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1" documentId="8_{3B23597E-AFFD-4F59-9C70-A736C27EABEA}" xr6:coauthVersionLast="47" xr6:coauthVersionMax="47" xr10:uidLastSave="{FADF3A7E-7017-4B9A-ACAF-8E745FFFEDB4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Div 1" sheetId="4" r:id="rId4"/>
    <sheet name="100" sheetId="20" r:id="rId5"/>
    <sheet name="Div 2" sheetId="5" r:id="rId6"/>
    <sheet name="200" sheetId="21" r:id="rId7"/>
    <sheet name="201" sheetId="22" r:id="rId8"/>
    <sheet name="202" sheetId="23" r:id="rId9"/>
    <sheet name="203" sheetId="24" r:id="rId10"/>
    <sheet name="204" sheetId="25" r:id="rId11"/>
    <sheet name="205" sheetId="26" r:id="rId12"/>
    <sheet name="206" sheetId="27" r:id="rId13"/>
    <sheet name="Div 3" sheetId="6" r:id="rId14"/>
    <sheet name="300" sheetId="7" r:id="rId15"/>
    <sheet name="300 &amp; 317" sheetId="8" r:id="rId16"/>
    <sheet name="301" sheetId="28" r:id="rId17"/>
    <sheet name="306" sheetId="29" r:id="rId18"/>
    <sheet name="308" sheetId="10" r:id="rId19"/>
    <sheet name="311" sheetId="32" r:id="rId20"/>
    <sheet name="324" sheetId="41" r:id="rId21"/>
    <sheet name="333" sheetId="13" r:id="rId22"/>
    <sheet name="307" sheetId="30" r:id="rId23"/>
    <sheet name="331" sheetId="11" r:id="rId24"/>
    <sheet name="315" sheetId="35" r:id="rId25"/>
    <sheet name="326" sheetId="43" r:id="rId26"/>
    <sheet name="332" sheetId="12" r:id="rId27"/>
    <sheet name="316" sheetId="36" r:id="rId28"/>
    <sheet name="Div 6" sheetId="19" r:id="rId29"/>
    <sheet name="317" sheetId="37" r:id="rId30"/>
    <sheet name="310" sheetId="9" r:id="rId31"/>
    <sheet name="313" sheetId="33" r:id="rId32"/>
    <sheet name="309" sheetId="31" r:id="rId33"/>
    <sheet name="321" sheetId="39" r:id="rId34"/>
    <sheet name="322" sheetId="40" r:id="rId35"/>
    <sheet name="325" sheetId="42" r:id="rId36"/>
    <sheet name="327" sheetId="44" r:id="rId37"/>
    <sheet name="Div 4" sheetId="14" r:id="rId38"/>
    <sheet name="310 &amp; 491" sheetId="15" r:id="rId39"/>
    <sheet name="491" sheetId="16" r:id="rId40"/>
    <sheet name="405" sheetId="45" r:id="rId41"/>
    <sheet name="406" sheetId="46" r:id="rId42"/>
    <sheet name="411" sheetId="47" r:id="rId43"/>
    <sheet name="412" sheetId="48" r:id="rId44"/>
    <sheet name="413" sheetId="49" r:id="rId45"/>
    <sheet name="414" sheetId="50" r:id="rId46"/>
    <sheet name="415" sheetId="51" r:id="rId47"/>
    <sheet name="418" sheetId="52" r:id="rId48"/>
    <sheet name="420" sheetId="53" r:id="rId49"/>
    <sheet name="423" sheetId="54" r:id="rId50"/>
    <sheet name="424" sheetId="55" r:id="rId51"/>
    <sheet name="425" sheetId="56" r:id="rId52"/>
    <sheet name="455" sheetId="62" r:id="rId53"/>
    <sheet name="492" sheetId="17" r:id="rId54"/>
    <sheet name="430" sheetId="57" r:id="rId55"/>
    <sheet name="433" sheetId="58" r:id="rId56"/>
    <sheet name="435" sheetId="59" r:id="rId57"/>
    <sheet name="444" sheetId="60" r:id="rId58"/>
    <sheet name="450" sheetId="61" r:id="rId59"/>
    <sheet name="Div 5" sheetId="18" r:id="rId60"/>
    <sheet name="501" sheetId="63" r:id="rId61"/>
    <sheet name="Dept" sheetId="64" state="hidden" r:id="rId62"/>
  </sheets>
  <definedNames>
    <definedName name="OSRRefD13x_0" localSheetId="14">'300'!$D$13:$D$81</definedName>
    <definedName name="OSRRefD13x_0" localSheetId="15">'300 &amp; 317'!$D$13:$D$96</definedName>
    <definedName name="OSRRefD13x_0" localSheetId="22">'307'!$D$13:$D$25</definedName>
    <definedName name="OSRRefD13x_0" localSheetId="18">'308'!$D$13:$D$38</definedName>
    <definedName name="OSRRefD13x_0" localSheetId="32">'309'!$D$13:$D$16</definedName>
    <definedName name="OSRRefD13x_0" localSheetId="30">'310'!$D$13:$D$23</definedName>
    <definedName name="OSRRefD13x_0" localSheetId="38">'310 &amp; 491'!$D$13:$D$26</definedName>
    <definedName name="OSRRefD13x_0" localSheetId="19">'311'!$D$13:$D$38</definedName>
    <definedName name="OSRRefD13x_0" localSheetId="31">'313'!$D$13:$D$16</definedName>
    <definedName name="OSRRefD13x_0" localSheetId="24">'315'!$D$13:$D$55</definedName>
    <definedName name="OSRRefD13x_0" localSheetId="27">'316'!$D$13:$D$25</definedName>
    <definedName name="OSRRefD13x_0" localSheetId="29">'317'!$D$13:$D$34</definedName>
    <definedName name="OSRRefD13x_0" localSheetId="33">'321'!$D$13:$D$16</definedName>
    <definedName name="OSRRefD13x_0" localSheetId="20">'324'!$D$13:$D$16</definedName>
    <definedName name="OSRRefD13x_0" localSheetId="35">'325'!$D$13:$D$14</definedName>
    <definedName name="OSRRefD13x_0" localSheetId="25">'326'!$D$13:$D$36</definedName>
    <definedName name="OSRRefD13x_0" localSheetId="36">'327'!$D$13:$D$14</definedName>
    <definedName name="OSRRefD13x_0" localSheetId="23">'331'!$D$13:$D$55</definedName>
    <definedName name="OSRRefD13x_0" localSheetId="26">'332'!$D$13:$D$25</definedName>
    <definedName name="OSRRefD13x_0" localSheetId="21">'333'!$D$13:$D$57</definedName>
    <definedName name="OSRRefD13x_0" localSheetId="40">'405'!$D$13:$D$14</definedName>
    <definedName name="OSRRefD13x_0" localSheetId="45">'414'!$D$13</definedName>
    <definedName name="OSRRefD13x_0" localSheetId="46">'415'!$D$13:$D$14</definedName>
    <definedName name="OSRRefD13x_0" localSheetId="48">'420'!$D$13:$D$14</definedName>
    <definedName name="OSRRefD13x_0" localSheetId="51">'425'!$D$13</definedName>
    <definedName name="OSRRefD13x_0" localSheetId="55">'433'!$D$13:$D$15</definedName>
    <definedName name="OSRRefD13x_0" localSheetId="56">'435'!$D$13:$D$14</definedName>
    <definedName name="OSRRefD13x_0" localSheetId="57">'444'!$D$13:$D$15</definedName>
    <definedName name="OSRRefD13x_0" localSheetId="58">'450'!$D$13:$D$15</definedName>
    <definedName name="OSRRefD13x_0" localSheetId="39">'491'!$D$13:$D$18</definedName>
    <definedName name="OSRRefD13x_0" localSheetId="53">'492'!$D$13:$D$17</definedName>
    <definedName name="OSRRefD13x_0" localSheetId="60">'501'!$D$13</definedName>
    <definedName name="OSRRefD13x_0" localSheetId="13">'Div 3'!$D$13:$D$86</definedName>
    <definedName name="OSRRefD13x_0" localSheetId="37">'Div 4'!$D$13:$D$21</definedName>
    <definedName name="OSRRefD13x_0" localSheetId="59">'Div 5'!$D$13</definedName>
    <definedName name="OSRRefD13x_0" localSheetId="28">'Div 6'!$D$13:$D$34</definedName>
    <definedName name="OSRRefD13x_0" localSheetId="2">Summary!$D$13:$D$106</definedName>
    <definedName name="OSRRefD16x_0" localSheetId="14">'300'!$D$84:$D$132</definedName>
    <definedName name="OSRRefD16x_0" localSheetId="15">'300 &amp; 317'!$D$99:$D$154</definedName>
    <definedName name="OSRRefD16x_0" localSheetId="16">'301'!$D$15:$D$16</definedName>
    <definedName name="OSRRefD16x_0" localSheetId="22">'307'!$D$28:$D$48</definedName>
    <definedName name="OSRRefD16x_0" localSheetId="18">'308'!$D$41:$D$57</definedName>
    <definedName name="OSRRefD16x_0" localSheetId="32">'309'!$D$19:$D$21</definedName>
    <definedName name="OSRRefD16x_0" localSheetId="30">'310'!$D$26:$D$28</definedName>
    <definedName name="OSRRefD16x_0" localSheetId="38">'310 &amp; 491'!$D$29:$D$31</definedName>
    <definedName name="OSRRefD16x_0" localSheetId="19">'311'!$D$41:$D$57</definedName>
    <definedName name="OSRRefD16x_0" localSheetId="31">'313'!$D$19</definedName>
    <definedName name="OSRRefD16x_0" localSheetId="24">'315'!$D$58:$D$82</definedName>
    <definedName name="OSRRefD16x_0" localSheetId="27">'316'!$D$28</definedName>
    <definedName name="OSRRefD16x_0" localSheetId="29">'317'!$D$37:$D$51</definedName>
    <definedName name="OSRRefD16x_0" localSheetId="33">'321'!$D$19:$D$21</definedName>
    <definedName name="OSRRefD16x_0" localSheetId="34">'322'!$D$15</definedName>
    <definedName name="OSRRefD16x_0" localSheetId="20">'324'!$D$19:$D$21</definedName>
    <definedName name="OSRRefD16x_0" localSheetId="35">'325'!$D$17:$D$18</definedName>
    <definedName name="OSRRefD16x_0" localSheetId="25">'326'!$D$39:$D$54</definedName>
    <definedName name="OSRRefD16x_0" localSheetId="36">'327'!$D$17:$D$18</definedName>
    <definedName name="OSRRefD16x_0" localSheetId="23">'331'!$D$58:$D$84</definedName>
    <definedName name="OSRRefD16x_0" localSheetId="26">'332'!$D$28:$D$30</definedName>
    <definedName name="OSRRefD16x_0" localSheetId="21">'333'!$D$60:$D$93</definedName>
    <definedName name="OSRRefD16x_0" localSheetId="40">'405'!$D$17:$D$18</definedName>
    <definedName name="OSRRefD16x_0" localSheetId="43">'412'!$D$15</definedName>
    <definedName name="OSRRefD16x_0" localSheetId="45">'414'!$D$16</definedName>
    <definedName name="OSRRefD16x_0" localSheetId="46">'415'!$D$17:$D$18</definedName>
    <definedName name="OSRRefD16x_0" localSheetId="47">'418'!$D$15</definedName>
    <definedName name="OSRRefD16x_0" localSheetId="50">'424'!$D$15</definedName>
    <definedName name="OSRRefD16x_0" localSheetId="51">'425'!$D$16</definedName>
    <definedName name="OSRRefD16x_0" localSheetId="55">'433'!$D$18:$D$19</definedName>
    <definedName name="OSRRefD16x_0" localSheetId="56">'435'!$D$17</definedName>
    <definedName name="OSRRefD16x_0" localSheetId="57">'444'!$D$18:$D$19</definedName>
    <definedName name="OSRRefD16x_0" localSheetId="58">'450'!$D$18:$D$19</definedName>
    <definedName name="OSRRefD16x_0" localSheetId="39">'491'!$D$21:$D$22</definedName>
    <definedName name="OSRRefD16x_0" localSheetId="53">'492'!$D$20:$D$21</definedName>
    <definedName name="OSRRefD16x_0" localSheetId="13">'Div 3'!$D$89:$D$139</definedName>
    <definedName name="OSRRefD16x_0" localSheetId="37">'Div 4'!$D$24:$D$25</definedName>
    <definedName name="OSRRefD16x_0" localSheetId="28">'Div 6'!$D$37:$D$51</definedName>
    <definedName name="OSRRefD16x_0" localSheetId="2">Summary!$D$109:$D$166</definedName>
    <definedName name="OSRRefD22_0x_0" localSheetId="6">'200'!$D$20:$D$21</definedName>
    <definedName name="OSRRefD22_0x_0" localSheetId="7">'201'!$D$20:$D$27</definedName>
    <definedName name="OSRRefD22_0x_0" localSheetId="8">'202'!$D$20:$D$27</definedName>
    <definedName name="OSRRefD22_0x_0" localSheetId="9">'203'!$D$20:$D$29</definedName>
    <definedName name="OSRRefD22_0x_0" localSheetId="10">'204'!$D$20:$D$28</definedName>
    <definedName name="OSRRefD22_0x_0" localSheetId="11">'205'!$D$20:$D$27</definedName>
    <definedName name="OSRRefD22_0x_0" localSheetId="12">'206'!$D$20:$D$27</definedName>
    <definedName name="OSRRefD22_0x_0" localSheetId="14">'300'!$D$138:$D$147</definedName>
    <definedName name="OSRRefD22_0x_0" localSheetId="15">'300 &amp; 317'!$D$160:$D$169</definedName>
    <definedName name="OSRRefD22_0x_0" localSheetId="16">'301'!$D$22:$D$31</definedName>
    <definedName name="OSRRefD22_0x_0" localSheetId="17">'306'!$D$20:$D$23</definedName>
    <definedName name="OSRRefD22_0x_0" localSheetId="22">'307'!$D$54:$D$60</definedName>
    <definedName name="OSRRefD22_0x_0" localSheetId="18">'308'!$D$63:$D$71</definedName>
    <definedName name="OSRRefD22_0x_0" localSheetId="32">'309'!$D$27:$D$28</definedName>
    <definedName name="OSRRefD22_0x_0" localSheetId="30">'310'!$D$34:$D$42</definedName>
    <definedName name="OSRRefD22_0x_0" localSheetId="38">'310 &amp; 491'!$D$37:$D$45</definedName>
    <definedName name="OSRRefD22_0x_0" localSheetId="19">'311'!$D$63:$D$71</definedName>
    <definedName name="OSRRefD22_0x_0" localSheetId="31">'313'!$D$25:$D$32</definedName>
    <definedName name="OSRRefD22_0x_0" localSheetId="24">'315'!$D$88:$D$95</definedName>
    <definedName name="OSRRefD22_0x_0" localSheetId="27">'316'!$D$34:$D$41</definedName>
    <definedName name="OSRRefD22_0x_0" localSheetId="29">'317'!$D$57:$D$65</definedName>
    <definedName name="OSRRefD22_0x_0" localSheetId="33">'321'!$D$27:$D$35</definedName>
    <definedName name="OSRRefD22_0x_0" localSheetId="34">'322'!$D$21:$D$25</definedName>
    <definedName name="OSRRefD22_0x_0" localSheetId="35">'325'!$D$24:$D$31</definedName>
    <definedName name="OSRRefD22_0x_0" localSheetId="25">'326'!$D$60:$D$67</definedName>
    <definedName name="OSRRefD22_0x_0" localSheetId="36">'327'!$D$24</definedName>
    <definedName name="OSRRefD22_0x_0" localSheetId="23">'331'!$D$90:$D$97</definedName>
    <definedName name="OSRRefD22_0x_0" localSheetId="26">'332'!$D$36:$D$43</definedName>
    <definedName name="OSRRefD22_0x_0" localSheetId="21">'333'!$D$99:$D$106</definedName>
    <definedName name="OSRRefD22_0x_0" localSheetId="40">'405'!$D$24:$D$31</definedName>
    <definedName name="OSRRefD22_0x_0" localSheetId="41">'406'!$D$20</definedName>
    <definedName name="OSRRefD22_0x_0" localSheetId="42">'411'!$D$20:$D$27</definedName>
    <definedName name="OSRRefD22_0x_0" localSheetId="43">'412'!$D$21</definedName>
    <definedName name="OSRRefD22_0x_0" localSheetId="44">'413'!$D$20:$D$24</definedName>
    <definedName name="OSRRefD22_0x_0" localSheetId="45">'414'!$D$22</definedName>
    <definedName name="OSRRefD22_0x_0" localSheetId="46">'415'!$D$24:$D$32</definedName>
    <definedName name="OSRRefD22_0x_0" localSheetId="47">'418'!$D$21:$D$28</definedName>
    <definedName name="OSRRefD22_0x_0" localSheetId="48">'420'!$D$22</definedName>
    <definedName name="OSRRefD22_0x_0" localSheetId="49">'423'!$D$20:$D$21</definedName>
    <definedName name="OSRRefD22_0x_0" localSheetId="50">'424'!$D$21</definedName>
    <definedName name="OSRRefD22_0x_0" localSheetId="51">'425'!$D$22:$D$26</definedName>
    <definedName name="OSRRefD22_0x_0" localSheetId="54">'430'!$D$20:$D$27</definedName>
    <definedName name="OSRRefD22_0x_0" localSheetId="55">'433'!$D$25:$D$33</definedName>
    <definedName name="OSRRefD22_0x_0" localSheetId="56">'435'!$D$23:$D$24</definedName>
    <definedName name="OSRRefD22_0x_0" localSheetId="57">'444'!$D$25:$D$33</definedName>
    <definedName name="OSRRefD22_0x_0" localSheetId="58">'450'!$D$25:$D$33</definedName>
    <definedName name="OSRRefD22_0x_0" localSheetId="39">'491'!$D$28:$D$36</definedName>
    <definedName name="OSRRefD22_0x_0" localSheetId="53">'492'!$D$27:$D$35</definedName>
    <definedName name="OSRRefD22_0x_0" localSheetId="60">'501'!$D$21:$D$29</definedName>
    <definedName name="OSRRefD22_0x_0" localSheetId="5">'Div 2'!$D$20:$D$30</definedName>
    <definedName name="OSRRefD22_0x_0" localSheetId="13">'Div 3'!$D$145:$D$154</definedName>
    <definedName name="OSRRefD22_0x_0" localSheetId="37">'Div 4'!$D$31:$D$39</definedName>
    <definedName name="OSRRefD22_0x_0" localSheetId="59">'Div 5'!$D$21:$D$29</definedName>
    <definedName name="OSRRefD22_0x_0" localSheetId="28">'Div 6'!$D$57:$D$65</definedName>
    <definedName name="OSRRefD22_0x_0" localSheetId="2">Summary!$D$172:$D$181</definedName>
    <definedName name="OSRRefD22_10x_0" localSheetId="7">'201'!$D$50:$D$52</definedName>
    <definedName name="OSRRefD22_10x_0" localSheetId="8">'202'!$D$52:$D$54</definedName>
    <definedName name="OSRRefD22_10x_0" localSheetId="9">'203'!$D$56:$D$59</definedName>
    <definedName name="OSRRefD22_10x_0" localSheetId="14">'300'!$D$176:$D$177</definedName>
    <definedName name="OSRRefD22_10x_0" localSheetId="15">'300 &amp; 317'!$D$198:$D$199</definedName>
    <definedName name="OSRRefD22_10x_0" localSheetId="16">'301'!$D$60</definedName>
    <definedName name="OSRRefD22_10x_0" localSheetId="22">'307'!$D$86</definedName>
    <definedName name="OSRRefD22_10x_0" localSheetId="18">'308'!$D$101:$D$102</definedName>
    <definedName name="OSRRefD22_10x_0" localSheetId="32">'309'!$D$51:$D$52</definedName>
    <definedName name="OSRRefD22_10x_0" localSheetId="30">'310'!$D$68</definedName>
    <definedName name="OSRRefD22_10x_0" localSheetId="38">'310 &amp; 491'!$D$73</definedName>
    <definedName name="OSRRefD22_10x_0" localSheetId="19">'311'!$D$101:$D$102</definedName>
    <definedName name="OSRRefD22_10x_0" localSheetId="24">'315'!$D$123:$D$124</definedName>
    <definedName name="OSRRefD22_10x_0" localSheetId="27">'316'!$D$67</definedName>
    <definedName name="OSRRefD22_10x_0" localSheetId="29">'317'!$D$91:$D$94</definedName>
    <definedName name="OSRRefD22_10x_0" localSheetId="33">'321'!$D$63:$D$67</definedName>
    <definedName name="OSRRefD22_10x_0" localSheetId="35">'325'!$D$54</definedName>
    <definedName name="OSRRefD22_10x_0" localSheetId="25">'326'!$D$92</definedName>
    <definedName name="OSRRefD22_10x_0" localSheetId="23">'331'!$D$124</definedName>
    <definedName name="OSRRefD22_10x_0" localSheetId="26">'332'!$D$69</definedName>
    <definedName name="OSRRefD22_10x_0" localSheetId="21">'333'!$D$133</definedName>
    <definedName name="OSRRefD22_10x_0" localSheetId="40">'405'!$D$55:$D$56</definedName>
    <definedName name="OSRRefD22_10x_0" localSheetId="42">'411'!$D$52</definedName>
    <definedName name="OSRRefD22_10x_0" localSheetId="46">'415'!$D$57</definedName>
    <definedName name="OSRRefD22_10x_0" localSheetId="47">'418'!$D$53</definedName>
    <definedName name="OSRRefD22_10x_0" localSheetId="55">'433'!$D$58</definedName>
    <definedName name="OSRRefD22_10x_0" localSheetId="57">'444'!$D$58</definedName>
    <definedName name="OSRRefD22_10x_0" localSheetId="58">'450'!$D$57</definedName>
    <definedName name="OSRRefD22_10x_0" localSheetId="39">'491'!$D$62</definedName>
    <definedName name="OSRRefD22_10x_0" localSheetId="53">'492'!$D$61</definedName>
    <definedName name="OSRRefD22_10x_0" localSheetId="60">'501'!$D$59</definedName>
    <definedName name="OSRRefD22_10x_0" localSheetId="5">'Div 2'!$D$56</definedName>
    <definedName name="OSRRefD22_10x_0" localSheetId="13">'Div 3'!$D$183:$D$184</definedName>
    <definedName name="OSRRefD22_10x_0" localSheetId="37">'Div 4'!$D$66</definedName>
    <definedName name="OSRRefD22_10x_0" localSheetId="59">'Div 5'!$D$59</definedName>
    <definedName name="OSRRefD22_10x_0" localSheetId="28">'Div 6'!$D$91:$D$94</definedName>
    <definedName name="OSRRefD22_10x_0" localSheetId="2">Summary!$D$210:$D$211</definedName>
    <definedName name="OSRRefD22_11x_0" localSheetId="7">'201'!$D$54:$D$56</definedName>
    <definedName name="OSRRefD22_11x_0" localSheetId="8">'202'!$D$56</definedName>
    <definedName name="OSRRefD22_11x_0" localSheetId="9">'203'!$D$61</definedName>
    <definedName name="OSRRefD22_11x_0" localSheetId="14">'300'!$D$179</definedName>
    <definedName name="OSRRefD22_11x_0" localSheetId="15">'300 &amp; 317'!$D$201</definedName>
    <definedName name="OSRRefD22_11x_0" localSheetId="16">'301'!$D$62</definedName>
    <definedName name="OSRRefD22_11x_0" localSheetId="22">'307'!$D$88:$D$91</definedName>
    <definedName name="OSRRefD22_11x_0" localSheetId="18">'308'!$D$104:$D$105</definedName>
    <definedName name="OSRRefD22_11x_0" localSheetId="32">'309'!$D$54</definedName>
    <definedName name="OSRRefD22_11x_0" localSheetId="30">'310'!$D$70</definedName>
    <definedName name="OSRRefD22_11x_0" localSheetId="38">'310 &amp; 491'!$D$75</definedName>
    <definedName name="OSRRefD22_11x_0" localSheetId="19">'311'!$D$104:$D$105</definedName>
    <definedName name="OSRRefD22_11x_0" localSheetId="24">'315'!$D$126:$D$127</definedName>
    <definedName name="OSRRefD22_11x_0" localSheetId="27">'316'!$D$69</definedName>
    <definedName name="OSRRefD22_11x_0" localSheetId="29">'317'!$D$96</definedName>
    <definedName name="OSRRefD22_11x_0" localSheetId="33">'321'!$D$69</definedName>
    <definedName name="OSRRefD22_11x_0" localSheetId="35">'325'!$D$56:$D$57</definedName>
    <definedName name="OSRRefD22_11x_0" localSheetId="25">'326'!$D$94:$D$96</definedName>
    <definedName name="OSRRefD22_11x_0" localSheetId="23">'331'!$D$126:$D$127</definedName>
    <definedName name="OSRRefD22_11x_0" localSheetId="26">'332'!$D$71</definedName>
    <definedName name="OSRRefD22_11x_0" localSheetId="21">'333'!$D$135:$D$136</definedName>
    <definedName name="OSRRefD22_11x_0" localSheetId="40">'405'!$D$58:$D$61</definedName>
    <definedName name="OSRRefD22_11x_0" localSheetId="42">'411'!$D$54:$D$57</definedName>
    <definedName name="OSRRefD22_11x_0" localSheetId="46">'415'!$D$59:$D$61</definedName>
    <definedName name="OSRRefD22_11x_0" localSheetId="47">'418'!$D$55:$D$61</definedName>
    <definedName name="OSRRefD22_11x_0" localSheetId="55">'433'!$D$60:$D$61</definedName>
    <definedName name="OSRRefD22_11x_0" localSheetId="57">'444'!$D$60:$D$61</definedName>
    <definedName name="OSRRefD22_11x_0" localSheetId="58">'450'!$D$59</definedName>
    <definedName name="OSRRefD22_11x_0" localSheetId="39">'491'!$D$64</definedName>
    <definedName name="OSRRefD22_11x_0" localSheetId="53">'492'!$D$63</definedName>
    <definedName name="OSRRefD22_11x_0" localSheetId="60">'501'!$D$61</definedName>
    <definedName name="OSRRefD22_11x_0" localSheetId="5">'Div 2'!$D$58</definedName>
    <definedName name="OSRRefD22_11x_0" localSheetId="13">'Div 3'!$D$186</definedName>
    <definedName name="OSRRefD22_11x_0" localSheetId="37">'Div 4'!$D$68</definedName>
    <definedName name="OSRRefD22_11x_0" localSheetId="59">'Div 5'!$D$61</definedName>
    <definedName name="OSRRefD22_11x_0" localSheetId="28">'Div 6'!$D$96</definedName>
    <definedName name="OSRRefD22_11x_0" localSheetId="2">Summary!$D$213</definedName>
    <definedName name="OSRRefD22_12x_0" localSheetId="7">'201'!$D$58</definedName>
    <definedName name="OSRRefD22_12x_0" localSheetId="8">'202'!$D$58</definedName>
    <definedName name="OSRRefD22_12x_0" localSheetId="9">'203'!$D$63</definedName>
    <definedName name="OSRRefD22_12x_0" localSheetId="14">'300'!$D$181</definedName>
    <definedName name="OSRRefD22_12x_0" localSheetId="15">'300 &amp; 317'!$D$203</definedName>
    <definedName name="OSRRefD22_12x_0" localSheetId="16">'301'!$D$64</definedName>
    <definedName name="OSRRefD22_12x_0" localSheetId="22">'307'!$D$93</definedName>
    <definedName name="OSRRefD22_12x_0" localSheetId="18">'308'!$D$107:$D$108</definedName>
    <definedName name="OSRRefD22_12x_0" localSheetId="32">'309'!$D$56</definedName>
    <definedName name="OSRRefD22_12x_0" localSheetId="30">'310'!$D$72:$D$73</definedName>
    <definedName name="OSRRefD22_12x_0" localSheetId="38">'310 &amp; 491'!$D$77</definedName>
    <definedName name="OSRRefD22_12x_0" localSheetId="19">'311'!$D$107:$D$108</definedName>
    <definedName name="OSRRefD22_12x_0" localSheetId="24">'315'!$D$129:$D$130</definedName>
    <definedName name="OSRRefD22_12x_0" localSheetId="27">'316'!$D$71:$D$76</definedName>
    <definedName name="OSRRefD22_12x_0" localSheetId="29">'317'!$D$98</definedName>
    <definedName name="OSRRefD22_12x_0" localSheetId="33">'321'!$D$71</definedName>
    <definedName name="OSRRefD22_12x_0" localSheetId="35">'325'!$D$59:$D$62</definedName>
    <definedName name="OSRRefD22_12x_0" localSheetId="25">'326'!$D$98:$D$100</definedName>
    <definedName name="OSRRefD22_12x_0" localSheetId="23">'331'!$D$129</definedName>
    <definedName name="OSRRefD22_12x_0" localSheetId="26">'332'!$D$73:$D$78</definedName>
    <definedName name="OSRRefD22_12x_0" localSheetId="21">'333'!$D$138</definedName>
    <definedName name="OSRRefD22_12x_0" localSheetId="40">'405'!$D$63</definedName>
    <definedName name="OSRRefD22_12x_0" localSheetId="42">'411'!$D$59:$D$61</definedName>
    <definedName name="OSRRefD22_12x_0" localSheetId="46">'415'!$D$63:$D$66</definedName>
    <definedName name="OSRRefD22_12x_0" localSheetId="47">'418'!$D$63</definedName>
    <definedName name="OSRRefD22_12x_0" localSheetId="55">'433'!$D$63:$D$65</definedName>
    <definedName name="OSRRefD22_12x_0" localSheetId="57">'444'!$D$63:$D$66</definedName>
    <definedName name="OSRRefD22_12x_0" localSheetId="58">'450'!$D$61:$D$62</definedName>
    <definedName name="OSRRefD22_12x_0" localSheetId="39">'491'!$D$66</definedName>
    <definedName name="OSRRefD22_12x_0" localSheetId="53">'492'!$D$65:$D$67</definedName>
    <definedName name="OSRRefD22_12x_0" localSheetId="5">'Div 2'!$D$60:$D$62</definedName>
    <definedName name="OSRRefD22_12x_0" localSheetId="13">'Div 3'!$D$188</definedName>
    <definedName name="OSRRefD22_12x_0" localSheetId="37">'Div 4'!$D$70</definedName>
    <definedName name="OSRRefD22_12x_0" localSheetId="28">'Div 6'!$D$98</definedName>
    <definedName name="OSRRefD22_12x_0" localSheetId="2">Summary!$D$215</definedName>
    <definedName name="OSRRefD22_13x_0" localSheetId="7">'201'!$D$60:$D$61</definedName>
    <definedName name="OSRRefD22_13x_0" localSheetId="8">'202'!$D$60</definedName>
    <definedName name="OSRRefD22_13x_0" localSheetId="9">'203'!$D$65</definedName>
    <definedName name="OSRRefD22_13x_0" localSheetId="14">'300'!$D$183:$D$184</definedName>
    <definedName name="OSRRefD22_13x_0" localSheetId="15">'300 &amp; 317'!$D$205:$D$206</definedName>
    <definedName name="OSRRefD22_13x_0" localSheetId="16">'301'!$D$66</definedName>
    <definedName name="OSRRefD22_13x_0" localSheetId="22">'307'!$D$95</definedName>
    <definedName name="OSRRefD22_13x_0" localSheetId="18">'308'!$D$110</definedName>
    <definedName name="OSRRefD22_13x_0" localSheetId="30">'310'!$D$75</definedName>
    <definedName name="OSRRefD22_13x_0" localSheetId="38">'310 &amp; 491'!$D$79</definedName>
    <definedName name="OSRRefD22_13x_0" localSheetId="19">'311'!$D$110</definedName>
    <definedName name="OSRRefD22_13x_0" localSheetId="24">'315'!$D$132:$D$136</definedName>
    <definedName name="OSRRefD22_13x_0" localSheetId="27">'316'!$D$78</definedName>
    <definedName name="OSRRefD22_13x_0" localSheetId="33">'321'!$D$73</definedName>
    <definedName name="OSRRefD22_13x_0" localSheetId="35">'325'!$D$64:$D$69</definedName>
    <definedName name="OSRRefD22_13x_0" localSheetId="25">'326'!$D$102:$D$103</definedName>
    <definedName name="OSRRefD22_13x_0" localSheetId="23">'331'!$D$131</definedName>
    <definedName name="OSRRefD22_13x_0" localSheetId="26">'332'!$D$80</definedName>
    <definedName name="OSRRefD22_13x_0" localSheetId="21">'333'!$D$140</definedName>
    <definedName name="OSRRefD22_13x_0" localSheetId="40">'405'!$D$65:$D$73</definedName>
    <definedName name="OSRRefD22_13x_0" localSheetId="42">'411'!$D$63</definedName>
    <definedName name="OSRRefD22_13x_0" localSheetId="46">'415'!$D$68</definedName>
    <definedName name="OSRRefD22_13x_0" localSheetId="47">'418'!$D$65</definedName>
    <definedName name="OSRRefD22_13x_0" localSheetId="55">'433'!$D$67:$D$74</definedName>
    <definedName name="OSRRefD22_13x_0" localSheetId="57">'444'!$D$68</definedName>
    <definedName name="OSRRefD22_13x_0" localSheetId="58">'450'!$D$64:$D$66</definedName>
    <definedName name="OSRRefD22_13x_0" localSheetId="39">'491'!$D$68</definedName>
    <definedName name="OSRRefD22_13x_0" localSheetId="53">'492'!$D$69:$D$72</definedName>
    <definedName name="OSRRefD22_13x_0" localSheetId="5">'Div 2'!$D$64:$D$67</definedName>
    <definedName name="OSRRefD22_13x_0" localSheetId="13">'Div 3'!$D$190</definedName>
    <definedName name="OSRRefD22_13x_0" localSheetId="37">'Div 4'!$D$72</definedName>
    <definedName name="OSRRefD22_13x_0" localSheetId="2">Summary!$D$217</definedName>
    <definedName name="OSRRefD22_14x_0" localSheetId="7">'201'!$D$63</definedName>
    <definedName name="OSRRefD22_14x_0" localSheetId="14">'300'!$D$186</definedName>
    <definedName name="OSRRefD22_14x_0" localSheetId="15">'300 &amp; 317'!$D$208</definedName>
    <definedName name="OSRRefD22_14x_0" localSheetId="16">'301'!$D$68</definedName>
    <definedName name="OSRRefD22_14x_0" localSheetId="18">'308'!$D$112</definedName>
    <definedName name="OSRRefD22_14x_0" localSheetId="30">'310'!$D$77:$D$80</definedName>
    <definedName name="OSRRefD22_14x_0" localSheetId="38">'310 &amp; 491'!$D$81:$D$84</definedName>
    <definedName name="OSRRefD22_14x_0" localSheetId="19">'311'!$D$112</definedName>
    <definedName name="OSRRefD22_14x_0" localSheetId="24">'315'!$D$138</definedName>
    <definedName name="OSRRefD22_14x_0" localSheetId="27">'316'!$D$80</definedName>
    <definedName name="OSRRefD22_14x_0" localSheetId="35">'325'!$D$71</definedName>
    <definedName name="OSRRefD22_14x_0" localSheetId="25">'326'!$D$105:$D$108</definedName>
    <definedName name="OSRRefD22_14x_0" localSheetId="23">'331'!$D$133:$D$135</definedName>
    <definedName name="OSRRefD22_14x_0" localSheetId="26">'332'!$D$82</definedName>
    <definedName name="OSRRefD22_14x_0" localSheetId="21">'333'!$D$142:$D$144</definedName>
    <definedName name="OSRRefD22_14x_0" localSheetId="40">'405'!$D$75</definedName>
    <definedName name="OSRRefD22_14x_0" localSheetId="42">'411'!$D$65:$D$67</definedName>
    <definedName name="OSRRefD22_14x_0" localSheetId="46">'415'!$D$70:$D$76</definedName>
    <definedName name="OSRRefD22_14x_0" localSheetId="55">'433'!$D$76</definedName>
    <definedName name="OSRRefD22_14x_0" localSheetId="57">'444'!$D$70:$D$77</definedName>
    <definedName name="OSRRefD22_14x_0" localSheetId="58">'450'!$D$68:$D$73</definedName>
    <definedName name="OSRRefD22_14x_0" localSheetId="39">'491'!$D$70:$D$73</definedName>
    <definedName name="OSRRefD22_14x_0" localSheetId="53">'492'!$D$74</definedName>
    <definedName name="OSRRefD22_14x_0" localSheetId="5">'Div 2'!$D$69</definedName>
    <definedName name="OSRRefD22_14x_0" localSheetId="13">'Div 3'!$D$192:$D$193</definedName>
    <definedName name="OSRRefD22_14x_0" localSheetId="37">'Div 4'!$D$74</definedName>
    <definedName name="OSRRefD22_14x_0" localSheetId="2">Summary!$D$219:$D$220</definedName>
    <definedName name="OSRRefD22_15x_0" localSheetId="7">'201'!$D$65</definedName>
    <definedName name="OSRRefD22_15x_0" localSheetId="14">'300'!$D$188</definedName>
    <definedName name="OSRRefD22_15x_0" localSheetId="15">'300 &amp; 317'!$D$210</definedName>
    <definedName name="OSRRefD22_15x_0" localSheetId="16">'301'!$D$70:$D$73</definedName>
    <definedName name="OSRRefD22_15x_0" localSheetId="30">'310'!$D$82:$D$87</definedName>
    <definedName name="OSRRefD22_15x_0" localSheetId="38">'310 &amp; 491'!$D$86</definedName>
    <definedName name="OSRRefD22_15x_0" localSheetId="24">'315'!$D$140</definedName>
    <definedName name="OSRRefD22_15x_0" localSheetId="35">'325'!$D$73</definedName>
    <definedName name="OSRRefD22_15x_0" localSheetId="25">'326'!$D$110</definedName>
    <definedName name="OSRRefD22_15x_0" localSheetId="23">'331'!$D$137:$D$138</definedName>
    <definedName name="OSRRefD22_15x_0" localSheetId="21">'333'!$D$146:$D$147</definedName>
    <definedName name="OSRRefD22_15x_0" localSheetId="40">'405'!$D$77</definedName>
    <definedName name="OSRRefD22_15x_0" localSheetId="42">'411'!$D$69</definedName>
    <definedName name="OSRRefD22_15x_0" localSheetId="46">'415'!$D$78</definedName>
    <definedName name="OSRRefD22_15x_0" localSheetId="55">'433'!$D$78</definedName>
    <definedName name="OSRRefD22_15x_0" localSheetId="57">'444'!$D$79</definedName>
    <definedName name="OSRRefD22_15x_0" localSheetId="58">'450'!$D$75</definedName>
    <definedName name="OSRRefD22_15x_0" localSheetId="39">'491'!$D$75</definedName>
    <definedName name="OSRRefD22_15x_0" localSheetId="53">'492'!$D$76:$D$83</definedName>
    <definedName name="OSRRefD22_15x_0" localSheetId="5">'Div 2'!$D$71:$D$72</definedName>
    <definedName name="OSRRefD22_15x_0" localSheetId="13">'Div 3'!$D$195</definedName>
    <definedName name="OSRRefD22_15x_0" localSheetId="37">'Div 4'!$D$76</definedName>
    <definedName name="OSRRefD22_15x_0" localSheetId="2">Summary!$D$222</definedName>
    <definedName name="OSRRefD22_16x_0" localSheetId="14">'300'!$D$190:$D$193</definedName>
    <definedName name="OSRRefD22_16x_0" localSheetId="15">'300 &amp; 317'!$D$212:$D$215</definedName>
    <definedName name="OSRRefD22_16x_0" localSheetId="16">'301'!$D$75:$D$77</definedName>
    <definedName name="OSRRefD22_16x_0" localSheetId="30">'310'!$D$89</definedName>
    <definedName name="OSRRefD22_16x_0" localSheetId="38">'310 &amp; 491'!$D$88:$D$91</definedName>
    <definedName name="OSRRefD22_16x_0" localSheetId="24">'315'!$D$142</definedName>
    <definedName name="OSRRefD22_16x_0" localSheetId="35">'325'!$D$75</definedName>
    <definedName name="OSRRefD22_16x_0" localSheetId="25">'326'!$D$112</definedName>
    <definedName name="OSRRefD22_16x_0" localSheetId="23">'331'!$D$140:$D$142</definedName>
    <definedName name="OSRRefD22_16x_0" localSheetId="21">'333'!$D$149:$D$152</definedName>
    <definedName name="OSRRefD22_16x_0" localSheetId="40">'405'!$D$79</definedName>
    <definedName name="OSRRefD22_16x_0" localSheetId="42">'411'!$D$71</definedName>
    <definedName name="OSRRefD22_16x_0" localSheetId="46">'415'!$D$80</definedName>
    <definedName name="OSRRefD22_16x_0" localSheetId="57">'444'!$D$81</definedName>
    <definedName name="OSRRefD22_16x_0" localSheetId="58">'450'!$D$77</definedName>
    <definedName name="OSRRefD22_16x_0" localSheetId="39">'491'!$D$77:$D$80</definedName>
    <definedName name="OSRRefD22_16x_0" localSheetId="53">'492'!$D$85</definedName>
    <definedName name="OSRRefD22_16x_0" localSheetId="5">'Div 2'!$D$74:$D$78</definedName>
    <definedName name="OSRRefD22_16x_0" localSheetId="13">'Div 3'!$D$197</definedName>
    <definedName name="OSRRefD22_16x_0" localSheetId="37">'Div 4'!$D$78:$D$81</definedName>
    <definedName name="OSRRefD22_16x_0" localSheetId="2">Summary!$D$224</definedName>
    <definedName name="OSRRefD22_17x_0" localSheetId="14">'300'!$D$195:$D$197</definedName>
    <definedName name="OSRRefD22_17x_0" localSheetId="15">'300 &amp; 317'!$D$217:$D$219</definedName>
    <definedName name="OSRRefD22_17x_0" localSheetId="16">'301'!$D$79:$D$80</definedName>
    <definedName name="OSRRefD22_17x_0" localSheetId="30">'310'!$D$91</definedName>
    <definedName name="OSRRefD22_17x_0" localSheetId="38">'310 &amp; 491'!$D$93</definedName>
    <definedName name="OSRRefD22_17x_0" localSheetId="25">'326'!$D$114</definedName>
    <definedName name="OSRRefD22_17x_0" localSheetId="23">'331'!$D$144:$D$145</definedName>
    <definedName name="OSRRefD22_17x_0" localSheetId="21">'333'!$D$154:$D$155</definedName>
    <definedName name="OSRRefD22_17x_0" localSheetId="42">'411'!$D$73:$D$74</definedName>
    <definedName name="OSRRefD22_17x_0" localSheetId="46">'415'!$D$82</definedName>
    <definedName name="OSRRefD22_17x_0" localSheetId="57">'444'!$D$83</definedName>
    <definedName name="OSRRefD22_17x_0" localSheetId="58">'450'!$D$79</definedName>
    <definedName name="OSRRefD22_17x_0" localSheetId="39">'491'!$D$82</definedName>
    <definedName name="OSRRefD22_17x_0" localSheetId="53">'492'!$D$87</definedName>
    <definedName name="OSRRefD22_17x_0" localSheetId="5">'Div 2'!$D$80:$D$81</definedName>
    <definedName name="OSRRefD22_17x_0" localSheetId="13">'Div 3'!$D$199:$D$202</definedName>
    <definedName name="OSRRefD22_17x_0" localSheetId="37">'Div 4'!$D$83</definedName>
    <definedName name="OSRRefD22_17x_0" localSheetId="2">Summary!$D$226</definedName>
    <definedName name="OSRRefD22_18x_0" localSheetId="14">'300'!$D$199:$D$202</definedName>
    <definedName name="OSRRefD22_18x_0" localSheetId="15">'300 &amp; 317'!$D$221:$D$224</definedName>
    <definedName name="OSRRefD22_18x_0" localSheetId="16">'301'!$D$82:$D$87</definedName>
    <definedName name="OSRRefD22_18x_0" localSheetId="30">'310'!$D$93</definedName>
    <definedName name="OSRRefD22_18x_0" localSheetId="38">'310 &amp; 491'!$D$95:$D$103</definedName>
    <definedName name="OSRRefD22_18x_0" localSheetId="23">'331'!$D$147:$D$152</definedName>
    <definedName name="OSRRefD22_18x_0" localSheetId="21">'333'!$D$157:$D$162</definedName>
    <definedName name="OSRRefD22_18x_0" localSheetId="42">'411'!$D$76</definedName>
    <definedName name="OSRRefD22_18x_0" localSheetId="39">'491'!$D$84:$D$92</definedName>
    <definedName name="OSRRefD22_18x_0" localSheetId="53">'492'!$D$89:$D$91</definedName>
    <definedName name="OSRRefD22_18x_0" localSheetId="5">'Div 2'!$D$83</definedName>
    <definedName name="OSRRefD22_18x_0" localSheetId="13">'Div 3'!$D$204:$D$206</definedName>
    <definedName name="OSRRefD22_18x_0" localSheetId="37">'Div 4'!$D$85:$D$88</definedName>
    <definedName name="OSRRefD22_18x_0" localSheetId="2">Summary!$D$228:$D$231</definedName>
    <definedName name="OSRRefD22_19x_0" localSheetId="14">'300'!$D$204:$D$205</definedName>
    <definedName name="OSRRefD22_19x_0" localSheetId="15">'300 &amp; 317'!$D$226:$D$227</definedName>
    <definedName name="OSRRefD22_19x_0" localSheetId="16">'301'!$D$89</definedName>
    <definedName name="OSRRefD22_19x_0" localSheetId="38">'310 &amp; 491'!$D$105</definedName>
    <definedName name="OSRRefD22_19x_0" localSheetId="23">'331'!$D$154</definedName>
    <definedName name="OSRRefD22_19x_0" localSheetId="21">'333'!$D$164</definedName>
    <definedName name="OSRRefD22_19x_0" localSheetId="39">'491'!$D$94</definedName>
    <definedName name="OSRRefD22_19x_0" localSheetId="5">'Div 2'!$D$85:$D$86</definedName>
    <definedName name="OSRRefD22_19x_0" localSheetId="13">'Div 3'!$D$208:$D$212</definedName>
    <definedName name="OSRRefD22_19x_0" localSheetId="37">'Div 4'!$D$90:$D$91</definedName>
    <definedName name="OSRRefD22_19x_0" localSheetId="2">Summary!$D$233:$D$235</definedName>
    <definedName name="OSRRefD22_1x_0" localSheetId="6">'200'!$D$23</definedName>
    <definedName name="OSRRefD22_1x_0" localSheetId="7">'201'!$D$29:$D$32</definedName>
    <definedName name="OSRRefD22_1x_0" localSheetId="8">'202'!$D$29:$D$31</definedName>
    <definedName name="OSRRefD22_1x_0" localSheetId="9">'203'!$D$31:$D$35</definedName>
    <definedName name="OSRRefD22_1x_0" localSheetId="10">'204'!$D$30:$D$32</definedName>
    <definedName name="OSRRefD22_1x_0" localSheetId="11">'205'!$D$29</definedName>
    <definedName name="OSRRefD22_1x_0" localSheetId="12">'206'!$D$29:$D$32</definedName>
    <definedName name="OSRRefD22_1x_0" localSheetId="14">'300'!$D$149:$D$155</definedName>
    <definedName name="OSRRefD22_1x_0" localSheetId="15">'300 &amp; 317'!$D$171:$D$177</definedName>
    <definedName name="OSRRefD22_1x_0" localSheetId="16">'301'!$D$33:$D$39</definedName>
    <definedName name="OSRRefD22_1x_0" localSheetId="17">'306'!$D$25:$D$26</definedName>
    <definedName name="OSRRefD22_1x_0" localSheetId="22">'307'!$D$62:$D$65</definedName>
    <definedName name="OSRRefD22_1x_0" localSheetId="18">'308'!$D$73:$D$79</definedName>
    <definedName name="OSRRefD22_1x_0" localSheetId="32">'309'!$D$30:$D$31</definedName>
    <definedName name="OSRRefD22_1x_0" localSheetId="30">'310'!$D$44:$D$49</definedName>
    <definedName name="OSRRefD22_1x_0" localSheetId="38">'310 &amp; 491'!$D$47:$D$53</definedName>
    <definedName name="OSRRefD22_1x_0" localSheetId="19">'311'!$D$73:$D$79</definedName>
    <definedName name="OSRRefD22_1x_0" localSheetId="31">'313'!$D$34</definedName>
    <definedName name="OSRRefD22_1x_0" localSheetId="24">'315'!$D$97:$D$102</definedName>
    <definedName name="OSRRefD22_1x_0" localSheetId="27">'316'!$D$43:$D$46</definedName>
    <definedName name="OSRRefD22_1x_0" localSheetId="29">'317'!$D$67:$D$71</definedName>
    <definedName name="OSRRefD22_1x_0" localSheetId="33">'321'!$D$37:$D$42</definedName>
    <definedName name="OSRRefD22_1x_0" localSheetId="34">'322'!$D$27</definedName>
    <definedName name="OSRRefD22_1x_0" localSheetId="35">'325'!$D$33:$D$35</definedName>
    <definedName name="OSRRefD22_1x_0" localSheetId="25">'326'!$D$69:$D$74</definedName>
    <definedName name="OSRRefD22_1x_0" localSheetId="36">'327'!$D$26</definedName>
    <definedName name="OSRRefD22_1x_0" localSheetId="23">'331'!$D$99:$D$104</definedName>
    <definedName name="OSRRefD22_1x_0" localSheetId="26">'332'!$D$45:$D$48</definedName>
    <definedName name="OSRRefD22_1x_0" localSheetId="21">'333'!$D$108:$D$113</definedName>
    <definedName name="OSRRefD22_1x_0" localSheetId="40">'405'!$D$33:$D$36</definedName>
    <definedName name="OSRRefD22_1x_0" localSheetId="41">'406'!$D$22</definedName>
    <definedName name="OSRRefD22_1x_0" localSheetId="42">'411'!$D$29:$D$33</definedName>
    <definedName name="OSRRefD22_1x_0" localSheetId="43">'412'!$D$23</definedName>
    <definedName name="OSRRefD22_1x_0" localSheetId="44">'413'!$D$26</definedName>
    <definedName name="OSRRefD22_1x_0" localSheetId="45">'414'!$D$24</definedName>
    <definedName name="OSRRefD22_1x_0" localSheetId="46">'415'!$D$34:$D$38</definedName>
    <definedName name="OSRRefD22_1x_0" localSheetId="47">'418'!$D$30:$D$33</definedName>
    <definedName name="OSRRefD22_1x_0" localSheetId="48">'420'!$D$24</definedName>
    <definedName name="OSRRefD22_1x_0" localSheetId="49">'423'!$D$23</definedName>
    <definedName name="OSRRefD22_1x_0" localSheetId="50">'424'!$D$23</definedName>
    <definedName name="OSRRefD22_1x_0" localSheetId="51">'425'!$D$28</definedName>
    <definedName name="OSRRefD22_1x_0" localSheetId="54">'430'!$D$29</definedName>
    <definedName name="OSRRefD22_1x_0" localSheetId="55">'433'!$D$35:$D$40</definedName>
    <definedName name="OSRRefD22_1x_0" localSheetId="56">'435'!$D$26</definedName>
    <definedName name="OSRRefD22_1x_0" localSheetId="57">'444'!$D$35:$D$40</definedName>
    <definedName name="OSRRefD22_1x_0" localSheetId="58">'450'!$D$35:$D$39</definedName>
    <definedName name="OSRRefD22_1x_0" localSheetId="39">'491'!$D$38:$D$43</definedName>
    <definedName name="OSRRefD22_1x_0" localSheetId="53">'492'!$D$37:$D$43</definedName>
    <definedName name="OSRRefD22_1x_0" localSheetId="60">'501'!$D$31:$D$36</definedName>
    <definedName name="OSRRefD22_1x_0" localSheetId="5">'Div 2'!$D$32:$D$37</definedName>
    <definedName name="OSRRefD22_1x_0" localSheetId="13">'Div 3'!$D$156:$D$162</definedName>
    <definedName name="OSRRefD22_1x_0" localSheetId="37">'Div 4'!$D$41:$D$47</definedName>
    <definedName name="OSRRefD22_1x_0" localSheetId="59">'Div 5'!$D$31:$D$36</definedName>
    <definedName name="OSRRefD22_1x_0" localSheetId="28">'Div 6'!$D$67:$D$71</definedName>
    <definedName name="OSRRefD22_1x_0" localSheetId="2">Summary!$D$183:$D$189</definedName>
    <definedName name="OSRRefD22_20x_0" localSheetId="14">'300'!$D$207:$D$213</definedName>
    <definedName name="OSRRefD22_20x_0" localSheetId="15">'300 &amp; 317'!$D$229:$D$235</definedName>
    <definedName name="OSRRefD22_20x_0" localSheetId="16">'301'!$D$91</definedName>
    <definedName name="OSRRefD22_20x_0" localSheetId="38">'310 &amp; 491'!$D$107</definedName>
    <definedName name="OSRRefD22_20x_0" localSheetId="23">'331'!$D$156</definedName>
    <definedName name="OSRRefD22_20x_0" localSheetId="21">'333'!$D$166</definedName>
    <definedName name="OSRRefD22_20x_0" localSheetId="39">'491'!$D$96</definedName>
    <definedName name="OSRRefD22_20x_0" localSheetId="13">'Div 3'!$D$214:$D$215</definedName>
    <definedName name="OSRRefD22_20x_0" localSheetId="37">'Div 4'!$D$93:$D$101</definedName>
    <definedName name="OSRRefD22_20x_0" localSheetId="2">Summary!$D$237:$D$241</definedName>
    <definedName name="OSRRefD22_21x_0" localSheetId="14">'300'!$D$215:$D$216</definedName>
    <definedName name="OSRRefD22_21x_0" localSheetId="15">'300 &amp; 317'!$D$237:$D$238</definedName>
    <definedName name="OSRRefD22_21x_0" localSheetId="16">'301'!$D$93:$D$95</definedName>
    <definedName name="OSRRefD22_21x_0" localSheetId="38">'310 &amp; 491'!$D$109:$D$110</definedName>
    <definedName name="OSRRefD22_21x_0" localSheetId="23">'331'!$D$158</definedName>
    <definedName name="OSRRefD22_21x_0" localSheetId="21">'333'!$D$168</definedName>
    <definedName name="OSRRefD22_21x_0" localSheetId="39">'491'!$D$98:$D$99</definedName>
    <definedName name="OSRRefD22_21x_0" localSheetId="13">'Div 3'!$D$217:$D$223</definedName>
    <definedName name="OSRRefD22_21x_0" localSheetId="37">'Div 4'!$D$103</definedName>
    <definedName name="OSRRefD22_21x_0" localSheetId="2">Summary!$D$243:$D$244</definedName>
    <definedName name="OSRRefD22_22x_0" localSheetId="14">'300'!$D$218</definedName>
    <definedName name="OSRRefD22_22x_0" localSheetId="15">'300 &amp; 317'!$D$240</definedName>
    <definedName name="OSRRefD22_22x_0" localSheetId="16">'301'!$D$97</definedName>
    <definedName name="OSRRefD22_22x_0" localSheetId="38">'310 &amp; 491'!$D$112</definedName>
    <definedName name="OSRRefD22_22x_0" localSheetId="23">'331'!$D$160</definedName>
    <definedName name="OSRRefD22_22x_0" localSheetId="21">'333'!$D$170</definedName>
    <definedName name="OSRRefD22_22x_0" localSheetId="39">'491'!$D$101</definedName>
    <definedName name="OSRRefD22_22x_0" localSheetId="13">'Div 3'!$D$225:$D$226</definedName>
    <definedName name="OSRRefD22_22x_0" localSheetId="37">'Div 4'!$D$105</definedName>
    <definedName name="OSRRefD22_22x_0" localSheetId="2">Summary!$D$246:$D$254</definedName>
    <definedName name="OSRRefD22_23x_0" localSheetId="14">'300'!$D$220:$D$222</definedName>
    <definedName name="OSRRefD22_23x_0" localSheetId="15">'300 &amp; 317'!$D$242:$D$244</definedName>
    <definedName name="OSRRefD22_23x_0" localSheetId="13">'Div 3'!$D$228</definedName>
    <definedName name="OSRRefD22_23x_0" localSheetId="37">'Div 4'!$D$107:$D$109</definedName>
    <definedName name="OSRRefD22_23x_0" localSheetId="2">Summary!$D$256:$D$257</definedName>
    <definedName name="OSRRefD22_24x_0" localSheetId="14">'300'!$D$224</definedName>
    <definedName name="OSRRefD22_24x_0" localSheetId="15">'300 &amp; 317'!$D$246</definedName>
    <definedName name="OSRRefD22_24x_0" localSheetId="13">'Div 3'!$D$230:$D$232</definedName>
    <definedName name="OSRRefD22_24x_0" localSheetId="37">'Div 4'!$D$111</definedName>
    <definedName name="OSRRefD22_24x_0" localSheetId="2">Summary!$D$259</definedName>
    <definedName name="OSRRefD22_25x_0" localSheetId="13">'Div 3'!$D$234</definedName>
    <definedName name="OSRRefD22_25x_0" localSheetId="2">Summary!$D$261:$D$263</definedName>
    <definedName name="OSRRefD22_26x_0" localSheetId="2">Summary!$D$265</definedName>
    <definedName name="OSRRefD22_2x_0" localSheetId="6">'200'!$D$25</definedName>
    <definedName name="OSRRefD22_2x_0" localSheetId="7">'201'!$D$34</definedName>
    <definedName name="OSRRefD22_2x_0" localSheetId="8">'202'!$D$33</definedName>
    <definedName name="OSRRefD22_2x_0" localSheetId="9">'203'!$D$37</definedName>
    <definedName name="OSRRefD22_2x_0" localSheetId="10">'204'!$D$34</definedName>
    <definedName name="OSRRefD22_2x_0" localSheetId="11">'205'!$D$31</definedName>
    <definedName name="OSRRefD22_2x_0" localSheetId="12">'206'!$D$34</definedName>
    <definedName name="OSRRefD22_2x_0" localSheetId="14">'300'!$D$157</definedName>
    <definedName name="OSRRefD22_2x_0" localSheetId="15">'300 &amp; 317'!$D$179</definedName>
    <definedName name="OSRRefD22_2x_0" localSheetId="16">'301'!$D$41</definedName>
    <definedName name="OSRRefD22_2x_0" localSheetId="17">'306'!$D$28</definedName>
    <definedName name="OSRRefD22_2x_0" localSheetId="22">'307'!$D$67</definedName>
    <definedName name="OSRRefD22_2x_0" localSheetId="18">'308'!$D$81</definedName>
    <definedName name="OSRRefD22_2x_0" localSheetId="32">'309'!$D$33</definedName>
    <definedName name="OSRRefD22_2x_0" localSheetId="30">'310'!$D$51</definedName>
    <definedName name="OSRRefD22_2x_0" localSheetId="38">'310 &amp; 491'!$D$55</definedName>
    <definedName name="OSRRefD22_2x_0" localSheetId="19">'311'!$D$81</definedName>
    <definedName name="OSRRefD22_2x_0" localSheetId="31">'313'!$D$36</definedName>
    <definedName name="OSRRefD22_2x_0" localSheetId="24">'315'!$D$104</definedName>
    <definedName name="OSRRefD22_2x_0" localSheetId="27">'316'!$D$48</definedName>
    <definedName name="OSRRefD22_2x_0" localSheetId="29">'317'!$D$73</definedName>
    <definedName name="OSRRefD22_2x_0" localSheetId="33">'321'!$D$44</definedName>
    <definedName name="OSRRefD22_2x_0" localSheetId="34">'322'!$D$29</definedName>
    <definedName name="OSRRefD22_2x_0" localSheetId="35">'325'!$D$37</definedName>
    <definedName name="OSRRefD22_2x_0" localSheetId="25">'326'!$D$76</definedName>
    <definedName name="OSRRefD22_2x_0" localSheetId="23">'331'!$D$106</definedName>
    <definedName name="OSRRefD22_2x_0" localSheetId="26">'332'!$D$50</definedName>
    <definedName name="OSRRefD22_2x_0" localSheetId="21">'333'!$D$115</definedName>
    <definedName name="OSRRefD22_2x_0" localSheetId="40">'405'!$D$38</definedName>
    <definedName name="OSRRefD22_2x_0" localSheetId="41">'406'!$D$24</definedName>
    <definedName name="OSRRefD22_2x_0" localSheetId="42">'411'!$D$35</definedName>
    <definedName name="OSRRefD22_2x_0" localSheetId="43">'412'!$D$25</definedName>
    <definedName name="OSRRefD22_2x_0" localSheetId="44">'413'!$D$28</definedName>
    <definedName name="OSRRefD22_2x_0" localSheetId="45">'414'!$D$26</definedName>
    <definedName name="OSRRefD22_2x_0" localSheetId="46">'415'!$D$40</definedName>
    <definedName name="OSRRefD22_2x_0" localSheetId="47">'418'!$D$35</definedName>
    <definedName name="OSRRefD22_2x_0" localSheetId="49">'423'!$D$25</definedName>
    <definedName name="OSRRefD22_2x_0" localSheetId="50">'424'!$D$25</definedName>
    <definedName name="OSRRefD22_2x_0" localSheetId="51">'425'!$D$30</definedName>
    <definedName name="OSRRefD22_2x_0" localSheetId="54">'430'!$D$31</definedName>
    <definedName name="OSRRefD22_2x_0" localSheetId="55">'433'!$D$42</definedName>
    <definedName name="OSRRefD22_2x_0" localSheetId="56">'435'!$D$28</definedName>
    <definedName name="OSRRefD22_2x_0" localSheetId="57">'444'!$D$42</definedName>
    <definedName name="OSRRefD22_2x_0" localSheetId="58">'450'!$D$41</definedName>
    <definedName name="OSRRefD22_2x_0" localSheetId="39">'491'!$D$45</definedName>
    <definedName name="OSRRefD22_2x_0" localSheetId="53">'492'!$D$45</definedName>
    <definedName name="OSRRefD22_2x_0" localSheetId="60">'501'!$D$38</definedName>
    <definedName name="OSRRefD22_2x_0" localSheetId="5">'Div 2'!$D$39</definedName>
    <definedName name="OSRRefD22_2x_0" localSheetId="13">'Div 3'!$D$164</definedName>
    <definedName name="OSRRefD22_2x_0" localSheetId="37">'Div 4'!$D$49</definedName>
    <definedName name="OSRRefD22_2x_0" localSheetId="59">'Div 5'!$D$38</definedName>
    <definedName name="OSRRefD22_2x_0" localSheetId="28">'Div 6'!$D$73</definedName>
    <definedName name="OSRRefD22_2x_0" localSheetId="2">Summary!$D$191</definedName>
    <definedName name="OSRRefD22_3x_0" localSheetId="6">'200'!$D$27</definedName>
    <definedName name="OSRRefD22_3x_0" localSheetId="7">'201'!$D$36</definedName>
    <definedName name="OSRRefD22_3x_0" localSheetId="8">'202'!$D$35</definedName>
    <definedName name="OSRRefD22_3x_0" localSheetId="9">'203'!$D$39</definedName>
    <definedName name="OSRRefD22_3x_0" localSheetId="10">'204'!$D$36</definedName>
    <definedName name="OSRRefD22_3x_0" localSheetId="11">'205'!$D$33</definedName>
    <definedName name="OSRRefD22_3x_0" localSheetId="12">'206'!$D$36</definedName>
    <definedName name="OSRRefD22_3x_0" localSheetId="14">'300'!$D$159:$D$160</definedName>
    <definedName name="OSRRefD22_3x_0" localSheetId="15">'300 &amp; 317'!$D$181:$D$182</definedName>
    <definedName name="OSRRefD22_3x_0" localSheetId="16">'301'!$D$43:$D$44</definedName>
    <definedName name="OSRRefD22_3x_0" localSheetId="17">'306'!$D$30</definedName>
    <definedName name="OSRRefD22_3x_0" localSheetId="22">'307'!$D$69</definedName>
    <definedName name="OSRRefD22_3x_0" localSheetId="18">'308'!$D$83:$D$84</definedName>
    <definedName name="OSRRefD22_3x_0" localSheetId="32">'309'!$D$35</definedName>
    <definedName name="OSRRefD22_3x_0" localSheetId="30">'310'!$D$53</definedName>
    <definedName name="OSRRefD22_3x_0" localSheetId="38">'310 &amp; 491'!$D$57</definedName>
    <definedName name="OSRRefD22_3x_0" localSheetId="19">'311'!$D$83:$D$84</definedName>
    <definedName name="OSRRefD22_3x_0" localSheetId="31">'313'!$D$38</definedName>
    <definedName name="OSRRefD22_3x_0" localSheetId="24">'315'!$D$106:$D$107</definedName>
    <definedName name="OSRRefD22_3x_0" localSheetId="27">'316'!$D$50</definedName>
    <definedName name="OSRRefD22_3x_0" localSheetId="29">'317'!$D$75</definedName>
    <definedName name="OSRRefD22_3x_0" localSheetId="33">'321'!$D$46</definedName>
    <definedName name="OSRRefD22_3x_0" localSheetId="34">'322'!$D$31</definedName>
    <definedName name="OSRRefD22_3x_0" localSheetId="35">'325'!$D$39</definedName>
    <definedName name="OSRRefD22_3x_0" localSheetId="25">'326'!$D$78</definedName>
    <definedName name="OSRRefD22_3x_0" localSheetId="23">'331'!$D$108</definedName>
    <definedName name="OSRRefD22_3x_0" localSheetId="26">'332'!$D$52</definedName>
    <definedName name="OSRRefD22_3x_0" localSheetId="21">'333'!$D$117</definedName>
    <definedName name="OSRRefD22_3x_0" localSheetId="40">'405'!$D$40</definedName>
    <definedName name="OSRRefD22_3x_0" localSheetId="41">'406'!$D$26</definedName>
    <definedName name="OSRRefD22_3x_0" localSheetId="42">'411'!$D$37</definedName>
    <definedName name="OSRRefD22_3x_0" localSheetId="43">'412'!$D$27:$D$28</definedName>
    <definedName name="OSRRefD22_3x_0" localSheetId="44">'413'!$D$30:$D$31</definedName>
    <definedName name="OSRRefD22_3x_0" localSheetId="45">'414'!$D$28</definedName>
    <definedName name="OSRRefD22_3x_0" localSheetId="46">'415'!$D$42</definedName>
    <definedName name="OSRRefD22_3x_0" localSheetId="47">'418'!$D$37</definedName>
    <definedName name="OSRRefD22_3x_0" localSheetId="49">'423'!$D$27</definedName>
    <definedName name="OSRRefD22_3x_0" localSheetId="50">'424'!$D$27</definedName>
    <definedName name="OSRRefD22_3x_0" localSheetId="51">'425'!$D$32</definedName>
    <definedName name="OSRRefD22_3x_0" localSheetId="54">'430'!$D$33</definedName>
    <definedName name="OSRRefD22_3x_0" localSheetId="55">'433'!$D$44</definedName>
    <definedName name="OSRRefD22_3x_0" localSheetId="56">'435'!$D$30</definedName>
    <definedName name="OSRRefD22_3x_0" localSheetId="57">'444'!$D$44</definedName>
    <definedName name="OSRRefD22_3x_0" localSheetId="58">'450'!$D$43</definedName>
    <definedName name="OSRRefD22_3x_0" localSheetId="39">'491'!$D$47</definedName>
    <definedName name="OSRRefD22_3x_0" localSheetId="53">'492'!$D$47</definedName>
    <definedName name="OSRRefD22_3x_0" localSheetId="60">'501'!$D$40</definedName>
    <definedName name="OSRRefD22_3x_0" localSheetId="5">'Div 2'!$D$41</definedName>
    <definedName name="OSRRefD22_3x_0" localSheetId="13">'Div 3'!$D$166:$D$167</definedName>
    <definedName name="OSRRefD22_3x_0" localSheetId="37">'Div 4'!$D$51</definedName>
    <definedName name="OSRRefD22_3x_0" localSheetId="59">'Div 5'!$D$40</definedName>
    <definedName name="OSRRefD22_3x_0" localSheetId="28">'Div 6'!$D$75</definedName>
    <definedName name="OSRRefD22_3x_0" localSheetId="2">Summary!$D$193:$D$194</definedName>
    <definedName name="OSRRefD22_4x_0" localSheetId="7">'201'!$D$38</definedName>
    <definedName name="OSRRefD22_4x_0" localSheetId="8">'202'!$D$37</definedName>
    <definedName name="OSRRefD22_4x_0" localSheetId="9">'203'!$D$41</definedName>
    <definedName name="OSRRefD22_4x_0" localSheetId="10">'204'!$D$38</definedName>
    <definedName name="OSRRefD22_4x_0" localSheetId="11">'205'!$D$35:$D$37</definedName>
    <definedName name="OSRRefD22_4x_0" localSheetId="12">'206'!$D$38</definedName>
    <definedName name="OSRRefD22_4x_0" localSheetId="14">'300'!$D$162</definedName>
    <definedName name="OSRRefD22_4x_0" localSheetId="15">'300 &amp; 317'!$D$184</definedName>
    <definedName name="OSRRefD22_4x_0" localSheetId="16">'301'!$D$46</definedName>
    <definedName name="OSRRefD22_4x_0" localSheetId="17">'306'!$D$32</definedName>
    <definedName name="OSRRefD22_4x_0" localSheetId="22">'307'!$D$71:$D$72</definedName>
    <definedName name="OSRRefD22_4x_0" localSheetId="18">'308'!$D$86</definedName>
    <definedName name="OSRRefD22_4x_0" localSheetId="32">'309'!$D$37</definedName>
    <definedName name="OSRRefD22_4x_0" localSheetId="30">'310'!$D$55</definedName>
    <definedName name="OSRRefD22_4x_0" localSheetId="38">'310 &amp; 491'!$D$59</definedName>
    <definedName name="OSRRefD22_4x_0" localSheetId="19">'311'!$D$86</definedName>
    <definedName name="OSRRefD22_4x_0" localSheetId="31">'313'!$D$40</definedName>
    <definedName name="OSRRefD22_4x_0" localSheetId="24">'315'!$D$109</definedName>
    <definedName name="OSRRefD22_4x_0" localSheetId="27">'316'!$D$52</definedName>
    <definedName name="OSRRefD22_4x_0" localSheetId="29">'317'!$D$77</definedName>
    <definedName name="OSRRefD22_4x_0" localSheetId="33">'321'!$D$48</definedName>
    <definedName name="OSRRefD22_4x_0" localSheetId="34">'322'!$D$33:$D$34</definedName>
    <definedName name="OSRRefD22_4x_0" localSheetId="35">'325'!$D$41</definedName>
    <definedName name="OSRRefD22_4x_0" localSheetId="25">'326'!$D$80</definedName>
    <definedName name="OSRRefD22_4x_0" localSheetId="23">'331'!$D$110</definedName>
    <definedName name="OSRRefD22_4x_0" localSheetId="26">'332'!$D$54</definedName>
    <definedName name="OSRRefD22_4x_0" localSheetId="21">'333'!$D$119</definedName>
    <definedName name="OSRRefD22_4x_0" localSheetId="40">'405'!$D$42</definedName>
    <definedName name="OSRRefD22_4x_0" localSheetId="41">'406'!$D$28</definedName>
    <definedName name="OSRRefD22_4x_0" localSheetId="42">'411'!$D$39:$D$40</definedName>
    <definedName name="OSRRefD22_4x_0" localSheetId="43">'412'!$D$30</definedName>
    <definedName name="OSRRefD22_4x_0" localSheetId="44">'413'!$D$33</definedName>
    <definedName name="OSRRefD22_4x_0" localSheetId="45">'414'!$D$30</definedName>
    <definedName name="OSRRefD22_4x_0" localSheetId="46">'415'!$D$44</definedName>
    <definedName name="OSRRefD22_4x_0" localSheetId="47">'418'!$D$39:$D$40</definedName>
    <definedName name="OSRRefD22_4x_0" localSheetId="51">'425'!$D$34</definedName>
    <definedName name="OSRRefD22_4x_0" localSheetId="54">'430'!$D$35</definedName>
    <definedName name="OSRRefD22_4x_0" localSheetId="55">'433'!$D$46</definedName>
    <definedName name="OSRRefD22_4x_0" localSheetId="56">'435'!$D$32</definedName>
    <definedName name="OSRRefD22_4x_0" localSheetId="57">'444'!$D$46</definedName>
    <definedName name="OSRRefD22_4x_0" localSheetId="58">'450'!$D$45</definedName>
    <definedName name="OSRRefD22_4x_0" localSheetId="39">'491'!$D$49</definedName>
    <definedName name="OSRRefD22_4x_0" localSheetId="53">'492'!$D$49</definedName>
    <definedName name="OSRRefD22_4x_0" localSheetId="60">'501'!$D$42:$D$43</definedName>
    <definedName name="OSRRefD22_4x_0" localSheetId="5">'Div 2'!$D$43</definedName>
    <definedName name="OSRRefD22_4x_0" localSheetId="13">'Div 3'!$D$169</definedName>
    <definedName name="OSRRefD22_4x_0" localSheetId="37">'Div 4'!$D$53</definedName>
    <definedName name="OSRRefD22_4x_0" localSheetId="59">'Div 5'!$D$42:$D$43</definedName>
    <definedName name="OSRRefD22_4x_0" localSheetId="28">'Div 6'!$D$77</definedName>
    <definedName name="OSRRefD22_4x_0" localSheetId="2">Summary!$D$196</definedName>
    <definedName name="OSRRefD22_5x_0" localSheetId="7">'201'!$D$40</definedName>
    <definedName name="OSRRefD22_5x_0" localSheetId="8">'202'!$D$39:$D$40</definedName>
    <definedName name="OSRRefD22_5x_0" localSheetId="9">'203'!$D$43</definedName>
    <definedName name="OSRRefD22_5x_0" localSheetId="10">'204'!$D$40:$D$43</definedName>
    <definedName name="OSRRefD22_5x_0" localSheetId="11">'205'!$D$39:$D$41</definedName>
    <definedName name="OSRRefD22_5x_0" localSheetId="12">'206'!$D$40</definedName>
    <definedName name="OSRRefD22_5x_0" localSheetId="14">'300'!$D$164:$D$165</definedName>
    <definedName name="OSRRefD22_5x_0" localSheetId="15">'300 &amp; 317'!$D$186:$D$187</definedName>
    <definedName name="OSRRefD22_5x_0" localSheetId="16">'301'!$D$48:$D$49</definedName>
    <definedName name="OSRRefD22_5x_0" localSheetId="17">'306'!$D$34</definedName>
    <definedName name="OSRRefD22_5x_0" localSheetId="22">'307'!$D$74</definedName>
    <definedName name="OSRRefD22_5x_0" localSheetId="18">'308'!$D$88</definedName>
    <definedName name="OSRRefD22_5x_0" localSheetId="32">'309'!$D$39</definedName>
    <definedName name="OSRRefD22_5x_0" localSheetId="30">'310'!$D$57:$D$58</definedName>
    <definedName name="OSRRefD22_5x_0" localSheetId="38">'310 &amp; 491'!$D$61:$D$62</definedName>
    <definedName name="OSRRefD22_5x_0" localSheetId="19">'311'!$D$88</definedName>
    <definedName name="OSRRefD22_5x_0" localSheetId="31">'313'!$D$42</definedName>
    <definedName name="OSRRefD22_5x_0" localSheetId="24">'315'!$D$111</definedName>
    <definedName name="OSRRefD22_5x_0" localSheetId="27">'316'!$D$54</definedName>
    <definedName name="OSRRefD22_5x_0" localSheetId="29">'317'!$D$79:$D$80</definedName>
    <definedName name="OSRRefD22_5x_0" localSheetId="33">'321'!$D$50</definedName>
    <definedName name="OSRRefD22_5x_0" localSheetId="34">'322'!$D$36</definedName>
    <definedName name="OSRRefD22_5x_0" localSheetId="35">'325'!$D$43:$D$44</definedName>
    <definedName name="OSRRefD22_5x_0" localSheetId="25">'326'!$D$82</definedName>
    <definedName name="OSRRefD22_5x_0" localSheetId="23">'331'!$D$112:$D$113</definedName>
    <definedName name="OSRRefD22_5x_0" localSheetId="26">'332'!$D$56</definedName>
    <definedName name="OSRRefD22_5x_0" localSheetId="21">'333'!$D$121:$D$122</definedName>
    <definedName name="OSRRefD22_5x_0" localSheetId="40">'405'!$D$44:$D$45</definedName>
    <definedName name="OSRRefD22_5x_0" localSheetId="42">'411'!$D$42</definedName>
    <definedName name="OSRRefD22_5x_0" localSheetId="43">'412'!$D$32</definedName>
    <definedName name="OSRRefD22_5x_0" localSheetId="44">'413'!$D$35</definedName>
    <definedName name="OSRRefD22_5x_0" localSheetId="45">'414'!$D$32:$D$33</definedName>
    <definedName name="OSRRefD22_5x_0" localSheetId="46">'415'!$D$46:$D$47</definedName>
    <definedName name="OSRRefD22_5x_0" localSheetId="47">'418'!$D$42</definedName>
    <definedName name="OSRRefD22_5x_0" localSheetId="51">'425'!$D$36:$D$37</definedName>
    <definedName name="OSRRefD22_5x_0" localSheetId="54">'430'!$D$37:$D$39</definedName>
    <definedName name="OSRRefD22_5x_0" localSheetId="55">'433'!$D$48</definedName>
    <definedName name="OSRRefD22_5x_0" localSheetId="56">'435'!$D$34</definedName>
    <definedName name="OSRRefD22_5x_0" localSheetId="57">'444'!$D$48</definedName>
    <definedName name="OSRRefD22_5x_0" localSheetId="58">'450'!$D$47</definedName>
    <definedName name="OSRRefD22_5x_0" localSheetId="39">'491'!$D$51:$D$52</definedName>
    <definedName name="OSRRefD22_5x_0" localSheetId="53">'492'!$D$51</definedName>
    <definedName name="OSRRefD22_5x_0" localSheetId="60">'501'!$D$45</definedName>
    <definedName name="OSRRefD22_5x_0" localSheetId="5">'Div 2'!$D$45</definedName>
    <definedName name="OSRRefD22_5x_0" localSheetId="13">'Div 3'!$D$171:$D$172</definedName>
    <definedName name="OSRRefD22_5x_0" localSheetId="37">'Div 4'!$D$55:$D$56</definedName>
    <definedName name="OSRRefD22_5x_0" localSheetId="59">'Div 5'!$D$45</definedName>
    <definedName name="OSRRefD22_5x_0" localSheetId="28">'Div 6'!$D$79:$D$80</definedName>
    <definedName name="OSRRefD22_5x_0" localSheetId="2">Summary!$D$198:$D$199</definedName>
    <definedName name="OSRRefD22_6x_0" localSheetId="7">'201'!$D$42</definedName>
    <definedName name="OSRRefD22_6x_0" localSheetId="8">'202'!$D$42</definedName>
    <definedName name="OSRRefD22_6x_0" localSheetId="9">'203'!$D$45</definedName>
    <definedName name="OSRRefD22_6x_0" localSheetId="10">'204'!$D$45</definedName>
    <definedName name="OSRRefD22_6x_0" localSheetId="11">'205'!$D$43</definedName>
    <definedName name="OSRRefD22_6x_0" localSheetId="12">'206'!$D$42</definedName>
    <definedName name="OSRRefD22_6x_0" localSheetId="14">'300'!$D$167:$D$168</definedName>
    <definedName name="OSRRefD22_6x_0" localSheetId="15">'300 &amp; 317'!$D$189:$D$190</definedName>
    <definedName name="OSRRefD22_6x_0" localSheetId="16">'301'!$D$51:$D$52</definedName>
    <definedName name="OSRRefD22_6x_0" localSheetId="22">'307'!$D$76</definedName>
    <definedName name="OSRRefD22_6x_0" localSheetId="18">'308'!$D$90:$D$91</definedName>
    <definedName name="OSRRefD22_6x_0" localSheetId="32">'309'!$D$41</definedName>
    <definedName name="OSRRefD22_6x_0" localSheetId="30">'310'!$D$60</definedName>
    <definedName name="OSRRefD22_6x_0" localSheetId="38">'310 &amp; 491'!$D$64</definedName>
    <definedName name="OSRRefD22_6x_0" localSheetId="19">'311'!$D$90:$D$91</definedName>
    <definedName name="OSRRefD22_6x_0" localSheetId="31">'313'!$D$44</definedName>
    <definedName name="OSRRefD22_6x_0" localSheetId="24">'315'!$D$113:$D$114</definedName>
    <definedName name="OSRRefD22_6x_0" localSheetId="27">'316'!$D$56:$D$57</definedName>
    <definedName name="OSRRefD22_6x_0" localSheetId="29">'317'!$D$82</definedName>
    <definedName name="OSRRefD22_6x_0" localSheetId="33">'321'!$D$52</definedName>
    <definedName name="OSRRefD22_6x_0" localSheetId="34">'322'!$D$38</definedName>
    <definedName name="OSRRefD22_6x_0" localSheetId="35">'325'!$D$46</definedName>
    <definedName name="OSRRefD22_6x_0" localSheetId="25">'326'!$D$84</definedName>
    <definedName name="OSRRefD22_6x_0" localSheetId="23">'331'!$D$115</definedName>
    <definedName name="OSRRefD22_6x_0" localSheetId="26">'332'!$D$58:$D$59</definedName>
    <definedName name="OSRRefD22_6x_0" localSheetId="21">'333'!$D$124</definedName>
    <definedName name="OSRRefD22_6x_0" localSheetId="40">'405'!$D$47</definedName>
    <definedName name="OSRRefD22_6x_0" localSheetId="42">'411'!$D$44</definedName>
    <definedName name="OSRRefD22_6x_0" localSheetId="43">'412'!$D$34</definedName>
    <definedName name="OSRRefD22_6x_0" localSheetId="46">'415'!$D$49</definedName>
    <definedName name="OSRRefD22_6x_0" localSheetId="47">'418'!$D$44</definedName>
    <definedName name="OSRRefD22_6x_0" localSheetId="51">'425'!$D$39</definedName>
    <definedName name="OSRRefD22_6x_0" localSheetId="54">'430'!$D$41</definedName>
    <definedName name="OSRRefD22_6x_0" localSheetId="55">'433'!$D$50</definedName>
    <definedName name="OSRRefD22_6x_0" localSheetId="57">'444'!$D$50</definedName>
    <definedName name="OSRRefD22_6x_0" localSheetId="58">'450'!$D$49</definedName>
    <definedName name="OSRRefD22_6x_0" localSheetId="39">'491'!$D$54</definedName>
    <definedName name="OSRRefD22_6x_0" localSheetId="53">'492'!$D$53</definedName>
    <definedName name="OSRRefD22_6x_0" localSheetId="60">'501'!$D$47</definedName>
    <definedName name="OSRRefD22_6x_0" localSheetId="5">'Div 2'!$D$47</definedName>
    <definedName name="OSRRefD22_6x_0" localSheetId="13">'Div 3'!$D$174:$D$175</definedName>
    <definedName name="OSRRefD22_6x_0" localSheetId="37">'Div 4'!$D$58</definedName>
    <definedName name="OSRRefD22_6x_0" localSheetId="59">'Div 5'!$D$47</definedName>
    <definedName name="OSRRefD22_6x_0" localSheetId="28">'Div 6'!$D$82</definedName>
    <definedName name="OSRRefD22_6x_0" localSheetId="2">Summary!$D$201:$D$202</definedName>
    <definedName name="OSRRefD22_7x_0" localSheetId="7">'201'!$D$44</definedName>
    <definedName name="OSRRefD22_7x_0" localSheetId="8">'202'!$D$44</definedName>
    <definedName name="OSRRefD22_7x_0" localSheetId="9">'203'!$D$47:$D$48</definedName>
    <definedName name="OSRRefD22_7x_0" localSheetId="10">'204'!$D$47:$D$48</definedName>
    <definedName name="OSRRefD22_7x_0" localSheetId="14">'300'!$D$170</definedName>
    <definedName name="OSRRefD22_7x_0" localSheetId="15">'300 &amp; 317'!$D$192</definedName>
    <definedName name="OSRRefD22_7x_0" localSheetId="16">'301'!$D$54</definedName>
    <definedName name="OSRRefD22_7x_0" localSheetId="22">'307'!$D$78</definedName>
    <definedName name="OSRRefD22_7x_0" localSheetId="18">'308'!$D$93</definedName>
    <definedName name="OSRRefD22_7x_0" localSheetId="32">'309'!$D$43</definedName>
    <definedName name="OSRRefD22_7x_0" localSheetId="30">'310'!$D$62</definedName>
    <definedName name="OSRRefD22_7x_0" localSheetId="38">'310 &amp; 491'!$D$66</definedName>
    <definedName name="OSRRefD22_7x_0" localSheetId="19">'311'!$D$93</definedName>
    <definedName name="OSRRefD22_7x_0" localSheetId="31">'313'!$D$46</definedName>
    <definedName name="OSRRefD22_7x_0" localSheetId="24">'315'!$D$116</definedName>
    <definedName name="OSRRefD22_7x_0" localSheetId="27">'316'!$D$59</definedName>
    <definedName name="OSRRefD22_7x_0" localSheetId="29">'317'!$D$84</definedName>
    <definedName name="OSRRefD22_7x_0" localSheetId="33">'321'!$D$54:$D$55</definedName>
    <definedName name="OSRRefD22_7x_0" localSheetId="34">'322'!$D$40</definedName>
    <definedName name="OSRRefD22_7x_0" localSheetId="35">'325'!$D$48</definedName>
    <definedName name="OSRRefD22_7x_0" localSheetId="25">'326'!$D$86</definedName>
    <definedName name="OSRRefD22_7x_0" localSheetId="23">'331'!$D$117</definedName>
    <definedName name="OSRRefD22_7x_0" localSheetId="26">'332'!$D$61</definedName>
    <definedName name="OSRRefD22_7x_0" localSheetId="21">'333'!$D$126</definedName>
    <definedName name="OSRRefD22_7x_0" localSheetId="40">'405'!$D$49</definedName>
    <definedName name="OSRRefD22_7x_0" localSheetId="42">'411'!$D$46</definedName>
    <definedName name="OSRRefD22_7x_0" localSheetId="46">'415'!$D$51</definedName>
    <definedName name="OSRRefD22_7x_0" localSheetId="47">'418'!$D$46</definedName>
    <definedName name="OSRRefD22_7x_0" localSheetId="51">'425'!$D$41:$D$43</definedName>
    <definedName name="OSRRefD22_7x_0" localSheetId="54">'430'!$D$43</definedName>
    <definedName name="OSRRefD22_7x_0" localSheetId="55">'433'!$D$52</definedName>
    <definedName name="OSRRefD22_7x_0" localSheetId="57">'444'!$D$52</definedName>
    <definedName name="OSRRefD22_7x_0" localSheetId="58">'450'!$D$51</definedName>
    <definedName name="OSRRefD22_7x_0" localSheetId="39">'491'!$D$56</definedName>
    <definedName name="OSRRefD22_7x_0" localSheetId="53">'492'!$D$55</definedName>
    <definedName name="OSRRefD22_7x_0" localSheetId="60">'501'!$D$49:$D$52</definedName>
    <definedName name="OSRRefD22_7x_0" localSheetId="5">'Div 2'!$D$49</definedName>
    <definedName name="OSRRefD22_7x_0" localSheetId="13">'Div 3'!$D$177</definedName>
    <definedName name="OSRRefD22_7x_0" localSheetId="37">'Div 4'!$D$60</definedName>
    <definedName name="OSRRefD22_7x_0" localSheetId="59">'Div 5'!$D$49:$D$52</definedName>
    <definedName name="OSRRefD22_7x_0" localSheetId="28">'Div 6'!$D$84</definedName>
    <definedName name="OSRRefD22_7x_0" localSheetId="2">Summary!$D$204</definedName>
    <definedName name="OSRRefD22_8x_0" localSheetId="7">'201'!$D$46</definedName>
    <definedName name="OSRRefD22_8x_0" localSheetId="8">'202'!$D$46:$D$48</definedName>
    <definedName name="OSRRefD22_8x_0" localSheetId="9">'203'!$D$50:$D$51</definedName>
    <definedName name="OSRRefD22_8x_0" localSheetId="10">'204'!$D$50</definedName>
    <definedName name="OSRRefD22_8x_0" localSheetId="14">'300'!$D$172</definedName>
    <definedName name="OSRRefD22_8x_0" localSheetId="15">'300 &amp; 317'!$D$194</definedName>
    <definedName name="OSRRefD22_8x_0" localSheetId="16">'301'!$D$56</definedName>
    <definedName name="OSRRefD22_8x_0" localSheetId="22">'307'!$D$80:$D$81</definedName>
    <definedName name="OSRRefD22_8x_0" localSheetId="18">'308'!$D$95</definedName>
    <definedName name="OSRRefD22_8x_0" localSheetId="32">'309'!$D$45:$D$46</definedName>
    <definedName name="OSRRefD22_8x_0" localSheetId="30">'310'!$D$64</definedName>
    <definedName name="OSRRefD22_8x_0" localSheetId="38">'310 &amp; 491'!$D$68:$D$69</definedName>
    <definedName name="OSRRefD22_8x_0" localSheetId="19">'311'!$D$95</definedName>
    <definedName name="OSRRefD22_8x_0" localSheetId="24">'315'!$D$118:$D$119</definedName>
    <definedName name="OSRRefD22_8x_0" localSheetId="27">'316'!$D$61</definedName>
    <definedName name="OSRRefD22_8x_0" localSheetId="29">'317'!$D$86:$D$87</definedName>
    <definedName name="OSRRefD22_8x_0" localSheetId="33">'321'!$D$57</definedName>
    <definedName name="OSRRefD22_8x_0" localSheetId="35">'325'!$D$50</definedName>
    <definedName name="OSRRefD22_8x_0" localSheetId="25">'326'!$D$88</definedName>
    <definedName name="OSRRefD22_8x_0" localSheetId="23">'331'!$D$119:$D$120</definedName>
    <definedName name="OSRRefD22_8x_0" localSheetId="26">'332'!$D$63</definedName>
    <definedName name="OSRRefD22_8x_0" localSheetId="21">'333'!$D$128:$D$129</definedName>
    <definedName name="OSRRefD22_8x_0" localSheetId="40">'405'!$D$51</definedName>
    <definedName name="OSRRefD22_8x_0" localSheetId="42">'411'!$D$48</definedName>
    <definedName name="OSRRefD22_8x_0" localSheetId="46">'415'!$D$53</definedName>
    <definedName name="OSRRefD22_8x_0" localSheetId="47">'418'!$D$48:$D$49</definedName>
    <definedName name="OSRRefD22_8x_0" localSheetId="51">'425'!$D$45</definedName>
    <definedName name="OSRRefD22_8x_0" localSheetId="54">'430'!$D$45</definedName>
    <definedName name="OSRRefD22_8x_0" localSheetId="55">'433'!$D$54</definedName>
    <definedName name="OSRRefD22_8x_0" localSheetId="57">'444'!$D$54</definedName>
    <definedName name="OSRRefD22_8x_0" localSheetId="58">'450'!$D$53</definedName>
    <definedName name="OSRRefD22_8x_0" localSheetId="39">'491'!$D$58</definedName>
    <definedName name="OSRRefD22_8x_0" localSheetId="53">'492'!$D$57</definedName>
    <definedName name="OSRRefD22_8x_0" localSheetId="60">'501'!$D$54</definedName>
    <definedName name="OSRRefD22_8x_0" localSheetId="5">'Div 2'!$D$51</definedName>
    <definedName name="OSRRefD22_8x_0" localSheetId="13">'Div 3'!$D$179</definedName>
    <definedName name="OSRRefD22_8x_0" localSheetId="37">'Div 4'!$D$62</definedName>
    <definedName name="OSRRefD22_8x_0" localSheetId="59">'Div 5'!$D$54</definedName>
    <definedName name="OSRRefD22_8x_0" localSheetId="28">'Div 6'!$D$86:$D$87</definedName>
    <definedName name="OSRRefD22_8x_0" localSheetId="2">Summary!$D$206</definedName>
    <definedName name="OSRRefD22_9x_0" localSheetId="7">'201'!$D$48</definedName>
    <definedName name="OSRRefD22_9x_0" localSheetId="8">'202'!$D$50</definedName>
    <definedName name="OSRRefD22_9x_0" localSheetId="9">'203'!$D$53:$D$54</definedName>
    <definedName name="OSRRefD22_9x_0" localSheetId="10">'204'!$D$52</definedName>
    <definedName name="OSRRefD22_9x_0" localSheetId="14">'300'!$D$174</definedName>
    <definedName name="OSRRefD22_9x_0" localSheetId="15">'300 &amp; 317'!$D$196</definedName>
    <definedName name="OSRRefD22_9x_0" localSheetId="16">'301'!$D$58</definedName>
    <definedName name="OSRRefD22_9x_0" localSheetId="22">'307'!$D$83:$D$84</definedName>
    <definedName name="OSRRefD22_9x_0" localSheetId="18">'308'!$D$97:$D$99</definedName>
    <definedName name="OSRRefD22_9x_0" localSheetId="32">'309'!$D$48:$D$49</definedName>
    <definedName name="OSRRefD22_9x_0" localSheetId="30">'310'!$D$66</definedName>
    <definedName name="OSRRefD22_9x_0" localSheetId="38">'310 &amp; 491'!$D$71</definedName>
    <definedName name="OSRRefD22_9x_0" localSheetId="19">'311'!$D$97:$D$99</definedName>
    <definedName name="OSRRefD22_9x_0" localSheetId="24">'315'!$D$121</definedName>
    <definedName name="OSRRefD22_9x_0" localSheetId="27">'316'!$D$63:$D$65</definedName>
    <definedName name="OSRRefD22_9x_0" localSheetId="29">'317'!$D$89</definedName>
    <definedName name="OSRRefD22_9x_0" localSheetId="33">'321'!$D$59:$D$61</definedName>
    <definedName name="OSRRefD22_9x_0" localSheetId="35">'325'!$D$52</definedName>
    <definedName name="OSRRefD22_9x_0" localSheetId="25">'326'!$D$90</definedName>
    <definedName name="OSRRefD22_9x_0" localSheetId="23">'331'!$D$122</definedName>
    <definedName name="OSRRefD22_9x_0" localSheetId="26">'332'!$D$65:$D$67</definedName>
    <definedName name="OSRRefD22_9x_0" localSheetId="21">'333'!$D$131</definedName>
    <definedName name="OSRRefD22_9x_0" localSheetId="40">'405'!$D$53</definedName>
    <definedName name="OSRRefD22_9x_0" localSheetId="42">'411'!$D$50</definedName>
    <definedName name="OSRRefD22_9x_0" localSheetId="46">'415'!$D$55</definedName>
    <definedName name="OSRRefD22_9x_0" localSheetId="47">'418'!$D$51</definedName>
    <definedName name="OSRRefD22_9x_0" localSheetId="55">'433'!$D$56</definedName>
    <definedName name="OSRRefD22_9x_0" localSheetId="57">'444'!$D$56</definedName>
    <definedName name="OSRRefD22_9x_0" localSheetId="58">'450'!$D$55</definedName>
    <definedName name="OSRRefD22_9x_0" localSheetId="39">'491'!$D$60</definedName>
    <definedName name="OSRRefD22_9x_0" localSheetId="53">'492'!$D$59</definedName>
    <definedName name="OSRRefD22_9x_0" localSheetId="60">'501'!$D$56:$D$57</definedName>
    <definedName name="OSRRefD22_9x_0" localSheetId="5">'Div 2'!$D$53:$D$54</definedName>
    <definedName name="OSRRefD22_9x_0" localSheetId="13">'Div 3'!$D$181</definedName>
    <definedName name="OSRRefD22_9x_0" localSheetId="37">'Div 4'!$D$64</definedName>
    <definedName name="OSRRefD22_9x_0" localSheetId="59">'Div 5'!$D$56:$D$57</definedName>
    <definedName name="OSRRefD22_9x_0" localSheetId="28">'Div 6'!$D$89</definedName>
    <definedName name="OSRRefD22_9x_0" localSheetId="2">Summary!$D$208</definedName>
    <definedName name="OSRRefD22x_0" localSheetId="6">'200'!$D$20:$D$21,'200'!$D$23,'200'!$D$25,'200'!$D$27</definedName>
    <definedName name="OSRRefD22x_0" localSheetId="7">'201'!$D$20:$D$27,'201'!$D$29:$D$32,'201'!$D$34,'201'!$D$36,'201'!$D$38,'201'!$D$40,'201'!$D$42,'201'!$D$44,'201'!$D$46,'201'!$D$48,'201'!$D$50:$D$52,'201'!$D$54:$D$56,'201'!$D$58,'201'!$D$60:$D$61,'201'!$D$63,'201'!$D$65</definedName>
    <definedName name="OSRRefD22x_0" localSheetId="8">'202'!$D$20:$D$27,'202'!$D$29:$D$31,'202'!$D$33,'202'!$D$35,'202'!$D$37,'202'!$D$39:$D$40,'202'!$D$42,'202'!$D$44,'202'!$D$46:$D$48,'202'!$D$50,'202'!$D$52:$D$54,'202'!$D$56,'202'!$D$58,'202'!$D$60</definedName>
    <definedName name="OSRRefD22x_0" localSheetId="9">'203'!$D$20:$D$29,'203'!$D$31:$D$35,'203'!$D$37,'203'!$D$39,'203'!$D$41,'203'!$D$43,'203'!$D$45,'203'!$D$47:$D$48,'203'!$D$50:$D$51,'203'!$D$53:$D$54,'203'!$D$56:$D$59,'203'!$D$61,'203'!$D$63,'203'!$D$65</definedName>
    <definedName name="OSRRefD22x_0" localSheetId="10">'204'!$D$20:$D$28,'204'!$D$30:$D$32,'204'!$D$34,'204'!$D$36,'204'!$D$38,'204'!$D$40:$D$43,'204'!$D$45,'204'!$D$47:$D$48,'204'!$D$50,'204'!$D$52</definedName>
    <definedName name="OSRRefD22x_0" localSheetId="11">'205'!$D$20:$D$27,'205'!$D$29,'205'!$D$31,'205'!$D$33,'205'!$D$35:$D$37,'205'!$D$39:$D$41,'205'!$D$43</definedName>
    <definedName name="OSRRefD22x_0" localSheetId="12">'206'!$D$20:$D$27,'206'!$D$29:$D$32,'206'!$D$34,'206'!$D$36,'206'!$D$38,'206'!$D$40,'206'!$D$42</definedName>
    <definedName name="OSRRefD22x_0" localSheetId="14">'300'!$D$138:$D$147,'300'!$D$149:$D$155,'300'!$D$157,'300'!$D$159:$D$160,'300'!$D$162,'300'!$D$164:$D$165,'300'!$D$167:$D$168,'300'!$D$170,'300'!$D$172,'300'!$D$174,'300'!$D$176:$D$177,'300'!$D$179,'300'!$D$181,'300'!$D$183:$D$184,'300'!$D$186,'300'!$D$188,'300'!$D$190:$D$193,'300'!$D$195:$D$197,'300'!$D$199:$D$202,'300'!$D$204:$D$205,'300'!$D$207:$D$213,'300'!$D$215:$D$216,'300'!$D$218,'300'!$D$220:$D$222,'300'!$D$224</definedName>
    <definedName name="OSRRefD22x_0" localSheetId="15">'300 &amp; 317'!$D$160:$D$169,'300 &amp; 317'!$D$171:$D$177,'300 &amp; 317'!$D$179,'300 &amp; 317'!$D$181:$D$182,'300 &amp; 317'!$D$184,'300 &amp; 317'!$D$186:$D$187,'300 &amp; 317'!$D$189:$D$190,'300 &amp; 317'!$D$192,'300 &amp; 317'!$D$194,'300 &amp; 317'!$D$196,'300 &amp; 317'!$D$198:$D$199,'300 &amp; 317'!$D$201,'300 &amp; 317'!$D$203,'300 &amp; 317'!$D$205:$D$206,'300 &amp; 317'!$D$208,'300 &amp; 317'!$D$210,'300 &amp; 317'!$D$212:$D$215,'300 &amp; 317'!$D$217:$D$219,'300 &amp; 317'!$D$221:$D$224,'300 &amp; 317'!$D$226:$D$227,'300 &amp; 317'!$D$229:$D$235,'300 &amp; 317'!$D$237:$D$238,'300 &amp; 317'!$D$240,'300 &amp; 317'!$D$242:$D$244,'300 &amp; 317'!$D$246</definedName>
    <definedName name="OSRRefD22x_0" localSheetId="16">'301'!$D$22:$D$31,'301'!$D$33:$D$39,'301'!$D$41,'301'!$D$43:$D$44,'301'!$D$46,'301'!$D$48:$D$49,'301'!$D$51:$D$52,'301'!$D$54,'301'!$D$56,'301'!$D$58,'301'!$D$60,'301'!$D$62,'301'!$D$64,'301'!$D$66,'301'!$D$68,'301'!$D$70:$D$73,'301'!$D$75:$D$77,'301'!$D$79:$D$80,'301'!$D$82:$D$87,'301'!$D$89,'301'!$D$91,'301'!$D$93:$D$95,'301'!$D$97</definedName>
    <definedName name="OSRRefD22x_0" localSheetId="17">'306'!$D$20:$D$23,'306'!$D$25:$D$26,'306'!$D$28,'306'!$D$30,'306'!$D$32,'306'!$D$34</definedName>
    <definedName name="OSRRefD22x_0" localSheetId="22">'307'!$D$54:$D$60,'307'!$D$62:$D$65,'307'!$D$67,'307'!$D$69,'307'!$D$71:$D$72,'307'!$D$74,'307'!$D$76,'307'!$D$78,'307'!$D$80:$D$81,'307'!$D$83:$D$84,'307'!$D$86,'307'!$D$88:$D$91,'307'!$D$93,'307'!$D$95</definedName>
    <definedName name="OSRRefD22x_0" localSheetId="18">'308'!$D$63:$D$71,'308'!$D$73:$D$79,'308'!$D$81,'308'!$D$83:$D$84,'308'!$D$86,'308'!$D$88,'308'!$D$90:$D$91,'308'!$D$93,'308'!$D$95,'308'!$D$97:$D$99,'308'!$D$101:$D$102,'308'!$D$104:$D$105,'308'!$D$107:$D$108,'308'!$D$110,'308'!$D$112</definedName>
    <definedName name="OSRRefD22x_0" localSheetId="32">'309'!$D$27:$D$28,'309'!$D$30:$D$31,'309'!$D$33,'309'!$D$35,'309'!$D$37,'309'!$D$39,'309'!$D$41,'309'!$D$43,'309'!$D$45:$D$46,'309'!$D$48:$D$49,'309'!$D$51:$D$52,'309'!$D$54,'309'!$D$56</definedName>
    <definedName name="OSRRefD22x_0" localSheetId="30">'310'!$D$34:$D$42,'310'!$D$44:$D$49,'310'!$D$51,'310'!$D$53,'310'!$D$55,'310'!$D$57:$D$58,'310'!$D$60,'310'!$D$62,'310'!$D$64,'310'!$D$66,'310'!$D$68,'310'!$D$70,'310'!$D$72:$D$73,'310'!$D$75,'310'!$D$77:$D$80,'310'!$D$82:$D$87,'310'!$D$89,'310'!$D$91,'310'!$D$93</definedName>
    <definedName name="OSRRefD22x_0" localSheetId="38">'310 &amp; 491'!$D$37:$D$45,'310 &amp; 491'!$D$47:$D$53,'310 &amp; 491'!$D$55,'310 &amp; 491'!$D$57,'310 &amp; 491'!$D$59,'310 &amp; 491'!$D$61:$D$62,'310 &amp; 491'!$D$64,'310 &amp; 491'!$D$66,'310 &amp; 491'!$D$68:$D$69,'310 &amp; 491'!$D$71,'310 &amp; 491'!$D$73,'310 &amp; 491'!$D$75,'310 &amp; 491'!$D$77,'310 &amp; 491'!$D$79,'310 &amp; 491'!$D$81:$D$84,'310 &amp; 491'!$D$86,'310 &amp; 491'!$D$88:$D$91,'310 &amp; 491'!$D$93,'310 &amp; 491'!$D$95:$D$103,'310 &amp; 491'!$D$105,'310 &amp; 491'!$D$107,'310 &amp; 491'!$D$109:$D$110,'310 &amp; 491'!$D$112</definedName>
    <definedName name="OSRRefD22x_0" localSheetId="19">'311'!$D$63:$D$71,'311'!$D$73:$D$79,'311'!$D$81,'311'!$D$83:$D$84,'311'!$D$86,'311'!$D$88,'311'!$D$90:$D$91,'311'!$D$93,'311'!$D$95,'311'!$D$97:$D$99,'311'!$D$101:$D$102,'311'!$D$104:$D$105,'311'!$D$107:$D$108,'311'!$D$110,'311'!$D$112</definedName>
    <definedName name="OSRRefD22x_0" localSheetId="31">'313'!$D$25:$D$32,'313'!$D$34,'313'!$D$36,'313'!$D$38,'313'!$D$40,'313'!$D$42,'313'!$D$44,'313'!$D$46</definedName>
    <definedName name="OSRRefD22x_0" localSheetId="24">'315'!$D$88:$D$95,'315'!$D$97:$D$102,'315'!$D$104,'315'!$D$106:$D$107,'315'!$D$109,'315'!$D$111,'315'!$D$113:$D$114,'315'!$D$116,'315'!$D$118:$D$119,'315'!$D$121,'315'!$D$123:$D$124,'315'!$D$126:$D$127,'315'!$D$129:$D$130,'315'!$D$132:$D$136,'315'!$D$138,'315'!$D$140,'315'!$D$142</definedName>
    <definedName name="OSRRefD22x_0" localSheetId="27">'316'!$D$34:$D$41,'316'!$D$43:$D$46,'316'!$D$48,'316'!$D$50,'316'!$D$52,'316'!$D$54,'316'!$D$56:$D$57,'316'!$D$59,'316'!$D$61,'316'!$D$63:$D$65,'316'!$D$67,'316'!$D$69,'316'!$D$71:$D$76,'316'!$D$78,'316'!$D$80</definedName>
    <definedName name="OSRRefD22x_0" localSheetId="29">'317'!$D$57:$D$65,'317'!$D$67:$D$71,'317'!$D$73,'317'!$D$75,'317'!$D$77,'317'!$D$79:$D$80,'317'!$D$82,'317'!$D$84,'317'!$D$86:$D$87,'317'!$D$89,'317'!$D$91:$D$94,'317'!$D$96,'317'!$D$98</definedName>
    <definedName name="OSRRefD22x_0" localSheetId="33">'321'!$D$27:$D$35,'321'!$D$37:$D$42,'321'!$D$44,'321'!$D$46,'321'!$D$48,'321'!$D$50,'321'!$D$52,'321'!$D$54:$D$55,'321'!$D$57,'321'!$D$59:$D$61,'321'!$D$63:$D$67,'321'!$D$69,'321'!$D$71,'321'!$D$73</definedName>
    <definedName name="OSRRefD22x_0" localSheetId="34">'322'!$D$21:$D$25,'322'!$D$27,'322'!$D$29,'322'!$D$31,'322'!$D$33:$D$34,'322'!$D$36,'322'!$D$38,'322'!$D$40</definedName>
    <definedName name="OSRRefD22x_0" localSheetId="35">'325'!$D$24:$D$31,'325'!$D$33:$D$35,'325'!$D$37,'325'!$D$39,'325'!$D$41,'325'!$D$43:$D$44,'325'!$D$46,'325'!$D$48,'325'!$D$50,'325'!$D$52,'325'!$D$54,'325'!$D$56:$D$57,'325'!$D$59:$D$62,'325'!$D$64:$D$69,'325'!$D$71,'325'!$D$73,'325'!$D$75</definedName>
    <definedName name="OSRRefD22x_0" localSheetId="25">'326'!$D$60:$D$67,'326'!$D$69:$D$74,'326'!$D$76,'326'!$D$78,'326'!$D$80,'326'!$D$82,'326'!$D$84,'326'!$D$86,'326'!$D$88,'326'!$D$90,'326'!$D$92,'326'!$D$94:$D$96,'326'!$D$98:$D$100,'326'!$D$102:$D$103,'326'!$D$105:$D$108,'326'!$D$110,'326'!$D$112,'326'!$D$114</definedName>
    <definedName name="OSRRefD22x_0" localSheetId="36">'327'!$D$24,'327'!$D$26</definedName>
    <definedName name="OSRRefD22x_0" localSheetId="23">'331'!$D$90:$D$97,'331'!$D$99:$D$104,'331'!$D$106,'331'!$D$108,'331'!$D$110,'331'!$D$112:$D$113,'331'!$D$115,'331'!$D$117,'331'!$D$119:$D$120,'331'!$D$122,'331'!$D$124,'331'!$D$126:$D$127,'331'!$D$129,'331'!$D$131,'331'!$D$133:$D$135,'331'!$D$137:$D$138,'331'!$D$140:$D$142,'331'!$D$144:$D$145,'331'!$D$147:$D$152,'331'!$D$154,'331'!$D$156,'331'!$D$158,'331'!$D$160</definedName>
    <definedName name="OSRRefD22x_0" localSheetId="26">'332'!$D$36:$D$43,'332'!$D$45:$D$48,'332'!$D$50,'332'!$D$52,'332'!$D$54,'332'!$D$56,'332'!$D$58:$D$59,'332'!$D$61,'332'!$D$63,'332'!$D$65:$D$67,'332'!$D$69,'332'!$D$71,'332'!$D$73:$D$78,'332'!$D$80,'332'!$D$82</definedName>
    <definedName name="OSRRefD22x_0" localSheetId="21">'333'!$D$99:$D$106,'333'!$D$108:$D$113,'333'!$D$115,'333'!$D$117,'333'!$D$119,'333'!$D$121:$D$122,'333'!$D$124,'333'!$D$126,'333'!$D$128:$D$129,'333'!$D$131,'333'!$D$133,'333'!$D$135:$D$136,'333'!$D$138,'333'!$D$140,'333'!$D$142:$D$144,'333'!$D$146:$D$147,'333'!$D$149:$D$152,'333'!$D$154:$D$155,'333'!$D$157:$D$162,'333'!$D$164,'333'!$D$166,'333'!$D$168,'333'!$D$170</definedName>
    <definedName name="OSRRefD22x_0" localSheetId="40">'405'!$D$24:$D$31,'405'!$D$33:$D$36,'405'!$D$38,'405'!$D$40,'405'!$D$42,'405'!$D$44:$D$45,'405'!$D$47,'405'!$D$49,'405'!$D$51,'405'!$D$53,'405'!$D$55:$D$56,'405'!$D$58:$D$61,'405'!$D$63,'405'!$D$65:$D$73,'405'!$D$75,'405'!$D$77,'405'!$D$79</definedName>
    <definedName name="OSRRefD22x_0" localSheetId="41">'406'!$D$20,'406'!$D$22,'406'!$D$24,'406'!$D$26,'406'!$D$28</definedName>
    <definedName name="OSRRefD22x_0" localSheetId="42">'411'!$D$20:$D$27,'411'!$D$29:$D$33,'411'!$D$35,'411'!$D$37,'411'!$D$39:$D$40,'411'!$D$42,'411'!$D$44,'411'!$D$46,'411'!$D$48,'411'!$D$50,'411'!$D$52,'411'!$D$54:$D$57,'411'!$D$59:$D$61,'411'!$D$63,'411'!$D$65:$D$67,'411'!$D$69,'411'!$D$71,'411'!$D$73:$D$74,'411'!$D$76</definedName>
    <definedName name="OSRRefD22x_0" localSheetId="43">'412'!$D$21,'412'!$D$23,'412'!$D$25,'412'!$D$27:$D$28,'412'!$D$30,'412'!$D$32,'412'!$D$34</definedName>
    <definedName name="OSRRefD22x_0" localSheetId="44">'413'!$D$20:$D$24,'413'!$D$26,'413'!$D$28,'413'!$D$30:$D$31,'413'!$D$33,'413'!$D$35</definedName>
    <definedName name="OSRRefD22x_0" localSheetId="45">'414'!$D$22,'414'!$D$24,'414'!$D$26,'414'!$D$28,'414'!$D$30,'414'!$D$32:$D$33</definedName>
    <definedName name="OSRRefD22x_0" localSheetId="46">'415'!$D$24:$D$32,'415'!$D$34:$D$38,'415'!$D$40,'415'!$D$42,'415'!$D$44,'415'!$D$46:$D$47,'415'!$D$49,'415'!$D$51,'415'!$D$53,'415'!$D$55,'415'!$D$57,'415'!$D$59:$D$61,'415'!$D$63:$D$66,'415'!$D$68,'415'!$D$70:$D$76,'415'!$D$78,'415'!$D$80,'415'!$D$82</definedName>
    <definedName name="OSRRefD22x_0" localSheetId="47">'418'!$D$21:$D$28,'418'!$D$30:$D$33,'418'!$D$35,'418'!$D$37,'418'!$D$39:$D$40,'418'!$D$42,'418'!$D$44,'418'!$D$46,'418'!$D$48:$D$49,'418'!$D$51,'418'!$D$53,'418'!$D$55:$D$61,'418'!$D$63,'418'!$D$65</definedName>
    <definedName name="OSRRefD22x_0" localSheetId="48">'420'!$D$22,'420'!$D$24</definedName>
    <definedName name="OSRRefD22x_0" localSheetId="49">'423'!$D$20:$D$21,'423'!$D$23,'423'!$D$25,'423'!$D$27</definedName>
    <definedName name="OSRRefD22x_0" localSheetId="50">'424'!$D$21,'424'!$D$23,'424'!$D$25,'424'!$D$27</definedName>
    <definedName name="OSRRefD22x_0" localSheetId="51">'425'!$D$22:$D$26,'425'!$D$28,'425'!$D$30,'425'!$D$32,'425'!$D$34,'425'!$D$36:$D$37,'425'!$D$39,'425'!$D$41:$D$43,'425'!$D$45</definedName>
    <definedName name="OSRRefD22x_0" localSheetId="54">'430'!$D$20:$D$27,'430'!$D$29,'430'!$D$31,'430'!$D$33,'430'!$D$35,'430'!$D$37:$D$39,'430'!$D$41,'430'!$D$43,'430'!$D$45</definedName>
    <definedName name="OSRRefD22x_0" localSheetId="55">'433'!$D$25:$D$33,'433'!$D$35:$D$40,'433'!$D$42,'433'!$D$44,'433'!$D$46,'433'!$D$48,'433'!$D$50,'433'!$D$52,'433'!$D$54,'433'!$D$56,'433'!$D$58,'433'!$D$60:$D$61,'433'!$D$63:$D$65,'433'!$D$67:$D$74,'433'!$D$76,'433'!$D$78</definedName>
    <definedName name="OSRRefD22x_0" localSheetId="56">'435'!$D$23:$D$24,'435'!$D$26,'435'!$D$28,'435'!$D$30,'435'!$D$32,'435'!$D$34</definedName>
    <definedName name="OSRRefD22x_0" localSheetId="57">'444'!$D$25:$D$33,'444'!$D$35:$D$40,'444'!$D$42,'444'!$D$44,'444'!$D$46,'444'!$D$48,'444'!$D$50,'444'!$D$52,'444'!$D$54,'444'!$D$56,'444'!$D$58,'444'!$D$60:$D$61,'444'!$D$63:$D$66,'444'!$D$68,'444'!$D$70:$D$77,'444'!$D$79,'444'!$D$81,'444'!$D$83</definedName>
    <definedName name="OSRRefD22x_0" localSheetId="58">'450'!$D$25:$D$33,'450'!$D$35:$D$39,'450'!$D$41,'450'!$D$43,'450'!$D$45,'450'!$D$47,'450'!$D$49,'450'!$D$51,'450'!$D$53,'450'!$D$55,'450'!$D$57,'450'!$D$59,'450'!$D$61:$D$62,'450'!$D$64:$D$66,'450'!$D$68:$D$73,'450'!$D$75,'450'!$D$77,'450'!$D$79</definedName>
    <definedName name="OSRRefD22x_0" localSheetId="39">'491'!$D$28:$D$36,'491'!$D$38:$D$43,'491'!$D$45,'491'!$D$47,'491'!$D$49,'491'!$D$51:$D$52,'491'!$D$54,'491'!$D$56,'491'!$D$58,'491'!$D$60,'491'!$D$62,'491'!$D$64,'491'!$D$66,'491'!$D$68,'491'!$D$70:$D$73,'491'!$D$75,'491'!$D$77:$D$80,'491'!$D$82,'491'!$D$84:$D$92,'491'!$D$94,'491'!$D$96,'491'!$D$98:$D$99,'491'!$D$101</definedName>
    <definedName name="OSRRefD22x_0" localSheetId="53">'492'!$D$27:$D$35,'492'!$D$37:$D$43,'492'!$D$45,'492'!$D$47,'492'!$D$49,'492'!$D$51,'492'!$D$53,'492'!$D$55,'492'!$D$57,'492'!$D$59,'492'!$D$61,'492'!$D$63,'492'!$D$65:$D$67,'492'!$D$69:$D$72,'492'!$D$74,'492'!$D$76:$D$83,'492'!$D$85,'492'!$D$87,'492'!$D$89:$D$91</definedName>
    <definedName name="OSRRefD22x_0" localSheetId="60">'501'!$D$21:$D$29,'501'!$D$31:$D$36,'501'!$D$38,'501'!$D$40,'501'!$D$42:$D$43,'501'!$D$45,'501'!$D$47,'501'!$D$49:$D$52,'501'!$D$54,'501'!$D$56:$D$57,'501'!$D$59,'501'!$D$61</definedName>
    <definedName name="OSRRefD22x_0" localSheetId="5">'Div 2'!$D$20:$D$30,'Div 2'!$D$32:$D$37,'Div 2'!$D$39,'Div 2'!$D$41,'Div 2'!$D$43,'Div 2'!$D$45,'Div 2'!$D$47,'Div 2'!$D$49,'Div 2'!$D$51,'Div 2'!$D$53:$D$54,'Div 2'!$D$56,'Div 2'!$D$58,'Div 2'!$D$60:$D$62,'Div 2'!$D$64:$D$67,'Div 2'!$D$69,'Div 2'!$D$71:$D$72,'Div 2'!$D$74:$D$78,'Div 2'!$D$80:$D$81,'Div 2'!$D$83,'Div 2'!$D$85:$D$86</definedName>
    <definedName name="OSRRefD22x_0" localSheetId="13">'Div 3'!$D$145:$D$154,'Div 3'!$D$156:$D$162,'Div 3'!$D$164,'Div 3'!$D$166:$D$167,'Div 3'!$D$169,'Div 3'!$D$171:$D$172,'Div 3'!$D$174:$D$175,'Div 3'!$D$177,'Div 3'!$D$179,'Div 3'!$D$181,'Div 3'!$D$183:$D$184,'Div 3'!$D$186,'Div 3'!$D$188,'Div 3'!$D$190,'Div 3'!$D$192:$D$193,'Div 3'!$D$195,'Div 3'!$D$197,'Div 3'!$D$199:$D$202,'Div 3'!$D$204:$D$206,'Div 3'!$D$208:$D$212,'Div 3'!$D$214:$D$215,'Div 3'!$D$217:$D$223,'Div 3'!$D$225:$D$226,'Div 3'!$D$228,'Div 3'!$D$230:$D$232,'Div 3'!$D$234</definedName>
    <definedName name="OSRRefD22x_0" localSheetId="37">'Div 4'!$D$31:$D$39,'Div 4'!$D$41:$D$47,'Div 4'!$D$49,'Div 4'!$D$51,'Div 4'!$D$53,'Div 4'!$D$55:$D$56,'Div 4'!$D$58,'Div 4'!$D$60,'Div 4'!$D$62,'Div 4'!$D$64,'Div 4'!$D$66,'Div 4'!$D$68,'Div 4'!$D$70,'Div 4'!$D$72,'Div 4'!$D$74,'Div 4'!$D$76,'Div 4'!$D$78:$D$81,'Div 4'!$D$83,'Div 4'!$D$85:$D$88,'Div 4'!$D$90:$D$91,'Div 4'!$D$93:$D$101,'Div 4'!$D$103,'Div 4'!$D$105,'Div 4'!$D$107:$D$109,'Div 4'!$D$111</definedName>
    <definedName name="OSRRefD22x_0" localSheetId="59">'Div 5'!$D$21:$D$29,'Div 5'!$D$31:$D$36,'Div 5'!$D$38,'Div 5'!$D$40,'Div 5'!$D$42:$D$43,'Div 5'!$D$45,'Div 5'!$D$47,'Div 5'!$D$49:$D$52,'Div 5'!$D$54,'Div 5'!$D$56:$D$57,'Div 5'!$D$59,'Div 5'!$D$61</definedName>
    <definedName name="OSRRefD22x_0" localSheetId="28">'Div 6'!$D$57:$D$65,'Div 6'!$D$67:$D$71,'Div 6'!$D$73,'Div 6'!$D$75,'Div 6'!$D$77,'Div 6'!$D$79:$D$80,'Div 6'!$D$82,'Div 6'!$D$84,'Div 6'!$D$86:$D$87,'Div 6'!$D$89,'Div 6'!$D$91:$D$94,'Div 6'!$D$96,'Div 6'!$D$98</definedName>
    <definedName name="OSRRefD22x_0" localSheetId="2">Summary!$D$172:$D$181,Summary!$D$183:$D$189,Summary!$D$191,Summary!$D$193:$D$194,Summary!$D$196,Summary!$D$198:$D$199,Summary!$D$201:$D$202,Summary!$D$204,Summary!$D$206,Summary!$D$208,Summary!$D$210:$D$211,Summary!$D$213,Summary!$D$215,Summary!$D$217,Summary!$D$219:$D$220,Summary!$D$222,Summary!$D$224,Summary!$D$226,Summary!$D$228:$D$231,Summary!$D$233:$D$235,Summary!$D$237:$D$241,Summary!$D$243:$D$244,Summary!$D$246:$D$254,Summary!$D$256:$D$257,Summary!$D$259,Summary!$D$261:$D$263,Summary!$D$265</definedName>
    <definedName name="OSRRefD25x_0" localSheetId="14">'300'!$D$227:$D$231</definedName>
    <definedName name="OSRRefD25x_0" localSheetId="15">'300 &amp; 317'!$D$249:$D$255</definedName>
    <definedName name="OSRRefD25x_0" localSheetId="16">'301'!$D$100</definedName>
    <definedName name="OSRRefD25x_0" localSheetId="18">'308'!$D$115:$D$117</definedName>
    <definedName name="OSRRefD25x_0" localSheetId="38">'310 &amp; 491'!$D$115:$D$117</definedName>
    <definedName name="OSRRefD25x_0" localSheetId="19">'311'!$D$115:$D$117</definedName>
    <definedName name="OSRRefD25x_0" localSheetId="24">'315'!$D$145:$D$147</definedName>
    <definedName name="OSRRefD25x_0" localSheetId="27">'316'!$D$83</definedName>
    <definedName name="OSRRefD25x_0" localSheetId="29">'317'!$D$101:$D$103</definedName>
    <definedName name="OSRRefD25x_0" localSheetId="23">'331'!$D$163:$D$165</definedName>
    <definedName name="OSRRefD25x_0" localSheetId="26">'332'!$D$85:$D$86</definedName>
    <definedName name="OSRRefD25x_0" localSheetId="21">'333'!$D$173:$D$175</definedName>
    <definedName name="OSRRefD25x_0" localSheetId="40">'405'!$D$82</definedName>
    <definedName name="OSRRefD25x_0" localSheetId="42">'411'!$D$79:$D$80</definedName>
    <definedName name="OSRRefD25x_0" localSheetId="46">'415'!$D$85</definedName>
    <definedName name="OSRRefD25x_0" localSheetId="47">'418'!$D$68</definedName>
    <definedName name="OSRRefD25x_0" localSheetId="49">'423'!$D$30</definedName>
    <definedName name="OSRRefD25x_0" localSheetId="52">'455'!$D$21:$D$22</definedName>
    <definedName name="OSRRefD25x_0" localSheetId="39">'491'!$D$104:$D$106</definedName>
    <definedName name="OSRRefD25x_0" localSheetId="60">'501'!$D$64</definedName>
    <definedName name="OSRRefD25x_0" localSheetId="13">'Div 3'!$D$237:$D$241</definedName>
    <definedName name="OSRRefD25x_0" localSheetId="37">'Div 4'!$D$114:$D$116</definedName>
    <definedName name="OSRRefD25x_0" localSheetId="59">'Div 5'!$D$64</definedName>
    <definedName name="OSRRefD25x_0" localSheetId="28">'Div 6'!$D$101:$D$103</definedName>
    <definedName name="OSRRefD25x_0" localSheetId="2">Summary!$D$268:$D$276</definedName>
    <definedName name="OSRRefH13x_0" localSheetId="14">'300'!$H$13:$H$81</definedName>
    <definedName name="OSRRefH13x_0" localSheetId="15">'300 &amp; 317'!$H$13:$H$96</definedName>
    <definedName name="OSRRefH13x_0" localSheetId="22">'307'!$H$13:$H$25</definedName>
    <definedName name="OSRRefH13x_0" localSheetId="18">'308'!$H$13:$H$38</definedName>
    <definedName name="OSRRefH13x_0" localSheetId="32">'309'!$H$13:$H$16</definedName>
    <definedName name="OSRRefH13x_0" localSheetId="30">'310'!$H$13:$H$23</definedName>
    <definedName name="OSRRefH13x_0" localSheetId="38">'310 &amp; 491'!$H$13:$H$26</definedName>
    <definedName name="OSRRefH13x_0" localSheetId="19">'311'!$H$13:$H$38</definedName>
    <definedName name="OSRRefH13x_0" localSheetId="31">'313'!$H$13:$H$16</definedName>
    <definedName name="OSRRefH13x_0" localSheetId="24">'315'!$H$13:$H$55</definedName>
    <definedName name="OSRRefH13x_0" localSheetId="27">'316'!$H$13:$H$25</definedName>
    <definedName name="OSRRefH13x_0" localSheetId="29">'317'!$H$13:$H$34</definedName>
    <definedName name="OSRRefH13x_0" localSheetId="33">'321'!$H$13:$H$16</definedName>
    <definedName name="OSRRefH13x_0" localSheetId="20">'324'!$H$13:$H$16</definedName>
    <definedName name="OSRRefH13x_0" localSheetId="35">'325'!$H$13:$H$14</definedName>
    <definedName name="OSRRefH13x_0" localSheetId="25">'326'!$H$13:$H$36</definedName>
    <definedName name="OSRRefH13x_0" localSheetId="36">'327'!$H$13:$H$14</definedName>
    <definedName name="OSRRefH13x_0" localSheetId="23">'331'!$H$13:$H$55</definedName>
    <definedName name="OSRRefH13x_0" localSheetId="26">'332'!$H$13:$H$25</definedName>
    <definedName name="OSRRefH13x_0" localSheetId="21">'333'!$H$13:$H$57</definedName>
    <definedName name="OSRRefH13x_0" localSheetId="40">'405'!$H$13:$H$14</definedName>
    <definedName name="OSRRefH13x_0" localSheetId="45">'414'!$H$13</definedName>
    <definedName name="OSRRefH13x_0" localSheetId="46">'415'!$H$13:$H$14</definedName>
    <definedName name="OSRRefH13x_0" localSheetId="48">'420'!$H$13:$H$14</definedName>
    <definedName name="OSRRefH13x_0" localSheetId="51">'425'!$H$13</definedName>
    <definedName name="OSRRefH13x_0" localSheetId="55">'433'!$H$13:$H$15</definedName>
    <definedName name="OSRRefH13x_0" localSheetId="56">'435'!$H$13:$H$14</definedName>
    <definedName name="OSRRefH13x_0" localSheetId="57">'444'!$H$13:$H$15</definedName>
    <definedName name="OSRRefH13x_0" localSheetId="58">'450'!$H$13:$H$15</definedName>
    <definedName name="OSRRefH13x_0" localSheetId="39">'491'!$H$13:$H$18</definedName>
    <definedName name="OSRRefH13x_0" localSheetId="53">'492'!$H$13:$H$17</definedName>
    <definedName name="OSRRefH13x_0" localSheetId="60">'501'!$H$13</definedName>
    <definedName name="OSRRefH13x_0" localSheetId="13">'Div 3'!$H$13:$H$86</definedName>
    <definedName name="OSRRefH13x_0" localSheetId="37">'Div 4'!$H$13:$H$21</definedName>
    <definedName name="OSRRefH13x_0" localSheetId="59">'Div 5'!$H$13</definedName>
    <definedName name="OSRRefH13x_0" localSheetId="28">'Div 6'!$H$13:$H$34</definedName>
    <definedName name="OSRRefH13x_0" localSheetId="2">Summary!$H$13:$H$106</definedName>
    <definedName name="OSRRefH16x_0" localSheetId="14">'300'!$H$84:$H$132</definedName>
    <definedName name="OSRRefH16x_0" localSheetId="15">'300 &amp; 317'!$H$99:$H$154</definedName>
    <definedName name="OSRRefH16x_0" localSheetId="16">'301'!$H$15:$H$16</definedName>
    <definedName name="OSRRefH16x_0" localSheetId="22">'307'!$H$28:$H$48</definedName>
    <definedName name="OSRRefH16x_0" localSheetId="18">'308'!$H$41:$H$57</definedName>
    <definedName name="OSRRefH16x_0" localSheetId="32">'309'!$H$19:$H$21</definedName>
    <definedName name="OSRRefH16x_0" localSheetId="30">'310'!$H$26:$H$28</definedName>
    <definedName name="OSRRefH16x_0" localSheetId="38">'310 &amp; 491'!$H$29:$H$31</definedName>
    <definedName name="OSRRefH16x_0" localSheetId="19">'311'!$H$41:$H$57</definedName>
    <definedName name="OSRRefH16x_0" localSheetId="31">'313'!$H$19</definedName>
    <definedName name="OSRRefH16x_0" localSheetId="24">'315'!$H$58:$H$82</definedName>
    <definedName name="OSRRefH16x_0" localSheetId="27">'316'!$H$28</definedName>
    <definedName name="OSRRefH16x_0" localSheetId="29">'317'!$H$37:$H$51</definedName>
    <definedName name="OSRRefH16x_0" localSheetId="33">'321'!$H$19:$H$21</definedName>
    <definedName name="OSRRefH16x_0" localSheetId="34">'322'!$H$15</definedName>
    <definedName name="OSRRefH16x_0" localSheetId="20">'324'!$H$19:$H$21</definedName>
    <definedName name="OSRRefH16x_0" localSheetId="35">'325'!$H$17:$H$18</definedName>
    <definedName name="OSRRefH16x_0" localSheetId="25">'326'!$H$39:$H$54</definedName>
    <definedName name="OSRRefH16x_0" localSheetId="36">'327'!$H$17:$H$18</definedName>
    <definedName name="OSRRefH16x_0" localSheetId="23">'331'!$H$58:$H$84</definedName>
    <definedName name="OSRRefH16x_0" localSheetId="26">'332'!$H$28:$H$30</definedName>
    <definedName name="OSRRefH16x_0" localSheetId="21">'333'!$H$60:$H$93</definedName>
    <definedName name="OSRRefH16x_0" localSheetId="40">'405'!$H$17:$H$18</definedName>
    <definedName name="OSRRefH16x_0" localSheetId="43">'412'!$H$15</definedName>
    <definedName name="OSRRefH16x_0" localSheetId="45">'414'!$H$16</definedName>
    <definedName name="OSRRefH16x_0" localSheetId="46">'415'!$H$17:$H$18</definedName>
    <definedName name="OSRRefH16x_0" localSheetId="47">'418'!$H$15</definedName>
    <definedName name="OSRRefH16x_0" localSheetId="50">'424'!$H$15</definedName>
    <definedName name="OSRRefH16x_0" localSheetId="51">'425'!$H$16</definedName>
    <definedName name="OSRRefH16x_0" localSheetId="55">'433'!$H$18:$H$19</definedName>
    <definedName name="OSRRefH16x_0" localSheetId="56">'435'!$H$17</definedName>
    <definedName name="OSRRefH16x_0" localSheetId="57">'444'!$H$18:$H$19</definedName>
    <definedName name="OSRRefH16x_0" localSheetId="58">'450'!$H$18:$H$19</definedName>
    <definedName name="OSRRefH16x_0" localSheetId="39">'491'!$H$21:$H$22</definedName>
    <definedName name="OSRRefH16x_0" localSheetId="53">'492'!$H$20:$H$21</definedName>
    <definedName name="OSRRefH16x_0" localSheetId="13">'Div 3'!$H$89:$H$139</definedName>
    <definedName name="OSRRefH16x_0" localSheetId="37">'Div 4'!$H$24:$H$25</definedName>
    <definedName name="OSRRefH16x_0" localSheetId="28">'Div 6'!$H$37:$H$51</definedName>
    <definedName name="OSRRefH16x_0" localSheetId="2">Summary!$H$109:$H$166</definedName>
    <definedName name="OSRRefH22_0x_0" localSheetId="6">'200'!$H$20:$H$21</definedName>
    <definedName name="OSRRefH22_0x_0" localSheetId="7">'201'!$H$20:$H$27</definedName>
    <definedName name="OSRRefH22_0x_0" localSheetId="8">'202'!$H$20:$H$27</definedName>
    <definedName name="OSRRefH22_0x_0" localSheetId="9">'203'!$H$20:$H$29</definedName>
    <definedName name="OSRRefH22_0x_0" localSheetId="10">'204'!$H$20:$H$28</definedName>
    <definedName name="OSRRefH22_0x_0" localSheetId="11">'205'!$H$20:$H$27</definedName>
    <definedName name="OSRRefH22_0x_0" localSheetId="12">'206'!$H$20:$H$27</definedName>
    <definedName name="OSRRefH22_0x_0" localSheetId="14">'300'!$H$138:$H$147</definedName>
    <definedName name="OSRRefH22_0x_0" localSheetId="15">'300 &amp; 317'!$H$160:$H$169</definedName>
    <definedName name="OSRRefH22_0x_0" localSheetId="16">'301'!$H$22:$H$31</definedName>
    <definedName name="OSRRefH22_0x_0" localSheetId="17">'306'!$H$20:$H$23</definedName>
    <definedName name="OSRRefH22_0x_0" localSheetId="22">'307'!$H$54:$H$60</definedName>
    <definedName name="OSRRefH22_0x_0" localSheetId="18">'308'!$H$63:$H$71</definedName>
    <definedName name="OSRRefH22_0x_0" localSheetId="32">'309'!$H$27:$H$28</definedName>
    <definedName name="OSRRefH22_0x_0" localSheetId="30">'310'!$H$34:$H$42</definedName>
    <definedName name="OSRRefH22_0x_0" localSheetId="38">'310 &amp; 491'!$H$37:$H$45</definedName>
    <definedName name="OSRRefH22_0x_0" localSheetId="19">'311'!$H$63:$H$71</definedName>
    <definedName name="OSRRefH22_0x_0" localSheetId="31">'313'!$H$25:$H$32</definedName>
    <definedName name="OSRRefH22_0x_0" localSheetId="24">'315'!$H$88:$H$95</definedName>
    <definedName name="OSRRefH22_0x_0" localSheetId="27">'316'!$H$34:$H$41</definedName>
    <definedName name="OSRRefH22_0x_0" localSheetId="29">'317'!$H$57:$H$65</definedName>
    <definedName name="OSRRefH22_0x_0" localSheetId="33">'321'!$H$27:$H$35</definedName>
    <definedName name="OSRRefH22_0x_0" localSheetId="34">'322'!$H$21:$H$25</definedName>
    <definedName name="OSRRefH22_0x_0" localSheetId="35">'325'!$H$24:$H$31</definedName>
    <definedName name="OSRRefH22_0x_0" localSheetId="25">'326'!$H$60:$H$67</definedName>
    <definedName name="OSRRefH22_0x_0" localSheetId="36">'327'!$H$24</definedName>
    <definedName name="OSRRefH22_0x_0" localSheetId="23">'331'!$H$90:$H$97</definedName>
    <definedName name="OSRRefH22_0x_0" localSheetId="26">'332'!$H$36:$H$43</definedName>
    <definedName name="OSRRefH22_0x_0" localSheetId="21">'333'!$H$99:$H$106</definedName>
    <definedName name="OSRRefH22_0x_0" localSheetId="40">'405'!$H$24:$H$31</definedName>
    <definedName name="OSRRefH22_0x_0" localSheetId="41">'406'!$H$20</definedName>
    <definedName name="OSRRefH22_0x_0" localSheetId="42">'411'!$H$20:$H$27</definedName>
    <definedName name="OSRRefH22_0x_0" localSheetId="43">'412'!$H$21</definedName>
    <definedName name="OSRRefH22_0x_0" localSheetId="44">'413'!$H$20:$H$24</definedName>
    <definedName name="OSRRefH22_0x_0" localSheetId="45">'414'!$H$22</definedName>
    <definedName name="OSRRefH22_0x_0" localSheetId="46">'415'!$H$24:$H$32</definedName>
    <definedName name="OSRRefH22_0x_0" localSheetId="47">'418'!$H$21:$H$28</definedName>
    <definedName name="OSRRefH22_0x_0" localSheetId="48">'420'!$H$22</definedName>
    <definedName name="OSRRefH22_0x_0" localSheetId="49">'423'!$H$20:$H$21</definedName>
    <definedName name="OSRRefH22_0x_0" localSheetId="50">'424'!$H$21</definedName>
    <definedName name="OSRRefH22_0x_0" localSheetId="51">'425'!$H$22:$H$26</definedName>
    <definedName name="OSRRefH22_0x_0" localSheetId="54">'430'!$H$20:$H$27</definedName>
    <definedName name="OSRRefH22_0x_0" localSheetId="55">'433'!$H$25:$H$33</definedName>
    <definedName name="OSRRefH22_0x_0" localSheetId="56">'435'!$H$23:$H$24</definedName>
    <definedName name="OSRRefH22_0x_0" localSheetId="57">'444'!$H$25:$H$33</definedName>
    <definedName name="OSRRefH22_0x_0" localSheetId="58">'450'!$H$25:$H$33</definedName>
    <definedName name="OSRRefH22_0x_0" localSheetId="39">'491'!$H$28:$H$36</definedName>
    <definedName name="OSRRefH22_0x_0" localSheetId="53">'492'!$H$27:$H$35</definedName>
    <definedName name="OSRRefH22_0x_0" localSheetId="60">'501'!$H$21:$H$29</definedName>
    <definedName name="OSRRefH22_0x_0" localSheetId="5">'Div 2'!$H$20:$H$30</definedName>
    <definedName name="OSRRefH22_0x_0" localSheetId="13">'Div 3'!$H$145:$H$154</definedName>
    <definedName name="OSRRefH22_0x_0" localSheetId="37">'Div 4'!$H$31:$H$39</definedName>
    <definedName name="OSRRefH22_0x_0" localSheetId="59">'Div 5'!$H$21:$H$29</definedName>
    <definedName name="OSRRefH22_0x_0" localSheetId="28">'Div 6'!$H$57:$H$65</definedName>
    <definedName name="OSRRefH22_0x_0" localSheetId="2">Summary!$H$172:$H$181</definedName>
    <definedName name="OSRRefH22_10x_0" localSheetId="7">'201'!$H$50:$H$52</definedName>
    <definedName name="OSRRefH22_10x_0" localSheetId="8">'202'!$H$52:$H$54</definedName>
    <definedName name="OSRRefH22_10x_0" localSheetId="9">'203'!$H$56:$H$59</definedName>
    <definedName name="OSRRefH22_10x_0" localSheetId="14">'300'!$H$176:$H$177</definedName>
    <definedName name="OSRRefH22_10x_0" localSheetId="15">'300 &amp; 317'!$H$198:$H$199</definedName>
    <definedName name="OSRRefH22_10x_0" localSheetId="16">'301'!$H$60</definedName>
    <definedName name="OSRRefH22_10x_0" localSheetId="22">'307'!$H$86</definedName>
    <definedName name="OSRRefH22_10x_0" localSheetId="18">'308'!$H$101:$H$102</definedName>
    <definedName name="OSRRefH22_10x_0" localSheetId="32">'309'!$H$51:$H$52</definedName>
    <definedName name="OSRRefH22_10x_0" localSheetId="30">'310'!$H$68</definedName>
    <definedName name="OSRRefH22_10x_0" localSheetId="38">'310 &amp; 491'!$H$73</definedName>
    <definedName name="OSRRefH22_10x_0" localSheetId="19">'311'!$H$101:$H$102</definedName>
    <definedName name="OSRRefH22_10x_0" localSheetId="24">'315'!$H$123:$H$124</definedName>
    <definedName name="OSRRefH22_10x_0" localSheetId="27">'316'!$H$67</definedName>
    <definedName name="OSRRefH22_10x_0" localSheetId="29">'317'!$H$91:$H$94</definedName>
    <definedName name="OSRRefH22_10x_0" localSheetId="33">'321'!$H$63:$H$67</definedName>
    <definedName name="OSRRefH22_10x_0" localSheetId="35">'325'!$H$54</definedName>
    <definedName name="OSRRefH22_10x_0" localSheetId="25">'326'!$H$92</definedName>
    <definedName name="OSRRefH22_10x_0" localSheetId="23">'331'!$H$124</definedName>
    <definedName name="OSRRefH22_10x_0" localSheetId="26">'332'!$H$69</definedName>
    <definedName name="OSRRefH22_10x_0" localSheetId="21">'333'!$H$133</definedName>
    <definedName name="OSRRefH22_10x_0" localSheetId="40">'405'!$H$55:$H$56</definedName>
    <definedName name="OSRRefH22_10x_0" localSheetId="42">'411'!$H$52</definedName>
    <definedName name="OSRRefH22_10x_0" localSheetId="46">'415'!$H$57</definedName>
    <definedName name="OSRRefH22_10x_0" localSheetId="47">'418'!$H$53</definedName>
    <definedName name="OSRRefH22_10x_0" localSheetId="55">'433'!$H$58</definedName>
    <definedName name="OSRRefH22_10x_0" localSheetId="57">'444'!$H$58</definedName>
    <definedName name="OSRRefH22_10x_0" localSheetId="58">'450'!$H$57</definedName>
    <definedName name="OSRRefH22_10x_0" localSheetId="39">'491'!$H$62</definedName>
    <definedName name="OSRRefH22_10x_0" localSheetId="53">'492'!$H$61</definedName>
    <definedName name="OSRRefH22_10x_0" localSheetId="60">'501'!$H$59</definedName>
    <definedName name="OSRRefH22_10x_0" localSheetId="5">'Div 2'!$H$56</definedName>
    <definedName name="OSRRefH22_10x_0" localSheetId="13">'Div 3'!$H$183:$H$184</definedName>
    <definedName name="OSRRefH22_10x_0" localSheetId="37">'Div 4'!$H$66</definedName>
    <definedName name="OSRRefH22_10x_0" localSheetId="59">'Div 5'!$H$59</definedName>
    <definedName name="OSRRefH22_10x_0" localSheetId="28">'Div 6'!$H$91:$H$94</definedName>
    <definedName name="OSRRefH22_10x_0" localSheetId="2">Summary!$H$210:$H$211</definedName>
    <definedName name="OSRRefH22_11x_0" localSheetId="7">'201'!$H$54:$H$56</definedName>
    <definedName name="OSRRefH22_11x_0" localSheetId="8">'202'!$H$56</definedName>
    <definedName name="OSRRefH22_11x_0" localSheetId="9">'203'!$H$61</definedName>
    <definedName name="OSRRefH22_11x_0" localSheetId="14">'300'!$H$179</definedName>
    <definedName name="OSRRefH22_11x_0" localSheetId="15">'300 &amp; 317'!$H$201</definedName>
    <definedName name="OSRRefH22_11x_0" localSheetId="16">'301'!$H$62</definedName>
    <definedName name="OSRRefH22_11x_0" localSheetId="22">'307'!$H$88:$H$91</definedName>
    <definedName name="OSRRefH22_11x_0" localSheetId="18">'308'!$H$104:$H$105</definedName>
    <definedName name="OSRRefH22_11x_0" localSheetId="32">'309'!$H$54</definedName>
    <definedName name="OSRRefH22_11x_0" localSheetId="30">'310'!$H$70</definedName>
    <definedName name="OSRRefH22_11x_0" localSheetId="38">'310 &amp; 491'!$H$75</definedName>
    <definedName name="OSRRefH22_11x_0" localSheetId="19">'311'!$H$104:$H$105</definedName>
    <definedName name="OSRRefH22_11x_0" localSheetId="24">'315'!$H$126:$H$127</definedName>
    <definedName name="OSRRefH22_11x_0" localSheetId="27">'316'!$H$69</definedName>
    <definedName name="OSRRefH22_11x_0" localSheetId="29">'317'!$H$96</definedName>
    <definedName name="OSRRefH22_11x_0" localSheetId="33">'321'!$H$69</definedName>
    <definedName name="OSRRefH22_11x_0" localSheetId="35">'325'!$H$56:$H$57</definedName>
    <definedName name="OSRRefH22_11x_0" localSheetId="25">'326'!$H$94:$H$96</definedName>
    <definedName name="OSRRefH22_11x_0" localSheetId="23">'331'!$H$126:$H$127</definedName>
    <definedName name="OSRRefH22_11x_0" localSheetId="26">'332'!$H$71</definedName>
    <definedName name="OSRRefH22_11x_0" localSheetId="21">'333'!$H$135:$H$136</definedName>
    <definedName name="OSRRefH22_11x_0" localSheetId="40">'405'!$H$58:$H$61</definedName>
    <definedName name="OSRRefH22_11x_0" localSheetId="42">'411'!$H$54:$H$57</definedName>
    <definedName name="OSRRefH22_11x_0" localSheetId="46">'415'!$H$59:$H$61</definedName>
    <definedName name="OSRRefH22_11x_0" localSheetId="47">'418'!$H$55:$H$61</definedName>
    <definedName name="OSRRefH22_11x_0" localSheetId="55">'433'!$H$60:$H$61</definedName>
    <definedName name="OSRRefH22_11x_0" localSheetId="57">'444'!$H$60:$H$61</definedName>
    <definedName name="OSRRefH22_11x_0" localSheetId="58">'450'!$H$59</definedName>
    <definedName name="OSRRefH22_11x_0" localSheetId="39">'491'!$H$64</definedName>
    <definedName name="OSRRefH22_11x_0" localSheetId="53">'492'!$H$63</definedName>
    <definedName name="OSRRefH22_11x_0" localSheetId="60">'501'!$H$61</definedName>
    <definedName name="OSRRefH22_11x_0" localSheetId="5">'Div 2'!$H$58</definedName>
    <definedName name="OSRRefH22_11x_0" localSheetId="13">'Div 3'!$H$186</definedName>
    <definedName name="OSRRefH22_11x_0" localSheetId="37">'Div 4'!$H$68</definedName>
    <definedName name="OSRRefH22_11x_0" localSheetId="59">'Div 5'!$H$61</definedName>
    <definedName name="OSRRefH22_11x_0" localSheetId="28">'Div 6'!$H$96</definedName>
    <definedName name="OSRRefH22_11x_0" localSheetId="2">Summary!$H$213</definedName>
    <definedName name="OSRRefH22_12x_0" localSheetId="7">'201'!$H$58</definedName>
    <definedName name="OSRRefH22_12x_0" localSheetId="8">'202'!$H$58</definedName>
    <definedName name="OSRRefH22_12x_0" localSheetId="9">'203'!$H$63</definedName>
    <definedName name="OSRRefH22_12x_0" localSheetId="14">'300'!$H$181</definedName>
    <definedName name="OSRRefH22_12x_0" localSheetId="15">'300 &amp; 317'!$H$203</definedName>
    <definedName name="OSRRefH22_12x_0" localSheetId="16">'301'!$H$64</definedName>
    <definedName name="OSRRefH22_12x_0" localSheetId="22">'307'!$H$93</definedName>
    <definedName name="OSRRefH22_12x_0" localSheetId="18">'308'!$H$107:$H$108</definedName>
    <definedName name="OSRRefH22_12x_0" localSheetId="32">'309'!$H$56</definedName>
    <definedName name="OSRRefH22_12x_0" localSheetId="30">'310'!$H$72:$H$73</definedName>
    <definedName name="OSRRefH22_12x_0" localSheetId="38">'310 &amp; 491'!$H$77</definedName>
    <definedName name="OSRRefH22_12x_0" localSheetId="19">'311'!$H$107:$H$108</definedName>
    <definedName name="OSRRefH22_12x_0" localSheetId="24">'315'!$H$129:$H$130</definedName>
    <definedName name="OSRRefH22_12x_0" localSheetId="27">'316'!$H$71:$H$76</definedName>
    <definedName name="OSRRefH22_12x_0" localSheetId="29">'317'!$H$98</definedName>
    <definedName name="OSRRefH22_12x_0" localSheetId="33">'321'!$H$71</definedName>
    <definedName name="OSRRefH22_12x_0" localSheetId="35">'325'!$H$59:$H$62</definedName>
    <definedName name="OSRRefH22_12x_0" localSheetId="25">'326'!$H$98:$H$100</definedName>
    <definedName name="OSRRefH22_12x_0" localSheetId="23">'331'!$H$129</definedName>
    <definedName name="OSRRefH22_12x_0" localSheetId="26">'332'!$H$73:$H$78</definedName>
    <definedName name="OSRRefH22_12x_0" localSheetId="21">'333'!$H$138</definedName>
    <definedName name="OSRRefH22_12x_0" localSheetId="40">'405'!$H$63</definedName>
    <definedName name="OSRRefH22_12x_0" localSheetId="42">'411'!$H$59:$H$61</definedName>
    <definedName name="OSRRefH22_12x_0" localSheetId="46">'415'!$H$63:$H$66</definedName>
    <definedName name="OSRRefH22_12x_0" localSheetId="47">'418'!$H$63</definedName>
    <definedName name="OSRRefH22_12x_0" localSheetId="55">'433'!$H$63:$H$65</definedName>
    <definedName name="OSRRefH22_12x_0" localSheetId="57">'444'!$H$63:$H$66</definedName>
    <definedName name="OSRRefH22_12x_0" localSheetId="58">'450'!$H$61:$H$62</definedName>
    <definedName name="OSRRefH22_12x_0" localSheetId="39">'491'!$H$66</definedName>
    <definedName name="OSRRefH22_12x_0" localSheetId="53">'492'!$H$65:$H$67</definedName>
    <definedName name="OSRRefH22_12x_0" localSheetId="5">'Div 2'!$H$60:$H$62</definedName>
    <definedName name="OSRRefH22_12x_0" localSheetId="13">'Div 3'!$H$188</definedName>
    <definedName name="OSRRefH22_12x_0" localSheetId="37">'Div 4'!$H$70</definedName>
    <definedName name="OSRRefH22_12x_0" localSheetId="28">'Div 6'!$H$98</definedName>
    <definedName name="OSRRefH22_12x_0" localSheetId="2">Summary!$H$215</definedName>
    <definedName name="OSRRefH22_13x_0" localSheetId="7">'201'!$H$60:$H$61</definedName>
    <definedName name="OSRRefH22_13x_0" localSheetId="8">'202'!$H$60</definedName>
    <definedName name="OSRRefH22_13x_0" localSheetId="9">'203'!$H$65</definedName>
    <definedName name="OSRRefH22_13x_0" localSheetId="14">'300'!$H$183:$H$184</definedName>
    <definedName name="OSRRefH22_13x_0" localSheetId="15">'300 &amp; 317'!$H$205:$H$206</definedName>
    <definedName name="OSRRefH22_13x_0" localSheetId="16">'301'!$H$66</definedName>
    <definedName name="OSRRefH22_13x_0" localSheetId="22">'307'!$H$95</definedName>
    <definedName name="OSRRefH22_13x_0" localSheetId="18">'308'!$H$110</definedName>
    <definedName name="OSRRefH22_13x_0" localSheetId="30">'310'!$H$75</definedName>
    <definedName name="OSRRefH22_13x_0" localSheetId="38">'310 &amp; 491'!$H$79</definedName>
    <definedName name="OSRRefH22_13x_0" localSheetId="19">'311'!$H$110</definedName>
    <definedName name="OSRRefH22_13x_0" localSheetId="24">'315'!$H$132:$H$136</definedName>
    <definedName name="OSRRefH22_13x_0" localSheetId="27">'316'!$H$78</definedName>
    <definedName name="OSRRefH22_13x_0" localSheetId="33">'321'!$H$73</definedName>
    <definedName name="OSRRefH22_13x_0" localSheetId="35">'325'!$H$64:$H$69</definedName>
    <definedName name="OSRRefH22_13x_0" localSheetId="25">'326'!$H$102:$H$103</definedName>
    <definedName name="OSRRefH22_13x_0" localSheetId="23">'331'!$H$131</definedName>
    <definedName name="OSRRefH22_13x_0" localSheetId="26">'332'!$H$80</definedName>
    <definedName name="OSRRefH22_13x_0" localSheetId="21">'333'!$H$140</definedName>
    <definedName name="OSRRefH22_13x_0" localSheetId="40">'405'!$H$65:$H$73</definedName>
    <definedName name="OSRRefH22_13x_0" localSheetId="42">'411'!$H$63</definedName>
    <definedName name="OSRRefH22_13x_0" localSheetId="46">'415'!$H$68</definedName>
    <definedName name="OSRRefH22_13x_0" localSheetId="47">'418'!$H$65</definedName>
    <definedName name="OSRRefH22_13x_0" localSheetId="55">'433'!$H$67:$H$74</definedName>
    <definedName name="OSRRefH22_13x_0" localSheetId="57">'444'!$H$68</definedName>
    <definedName name="OSRRefH22_13x_0" localSheetId="58">'450'!$H$64:$H$66</definedName>
    <definedName name="OSRRefH22_13x_0" localSheetId="39">'491'!$H$68</definedName>
    <definedName name="OSRRefH22_13x_0" localSheetId="53">'492'!$H$69:$H$72</definedName>
    <definedName name="OSRRefH22_13x_0" localSheetId="5">'Div 2'!$H$64:$H$67</definedName>
    <definedName name="OSRRefH22_13x_0" localSheetId="13">'Div 3'!$H$190</definedName>
    <definedName name="OSRRefH22_13x_0" localSheetId="37">'Div 4'!$H$72</definedName>
    <definedName name="OSRRefH22_13x_0" localSheetId="2">Summary!$H$217</definedName>
    <definedName name="OSRRefH22_14x_0" localSheetId="7">'201'!$H$63</definedName>
    <definedName name="OSRRefH22_14x_0" localSheetId="14">'300'!$H$186</definedName>
    <definedName name="OSRRefH22_14x_0" localSheetId="15">'300 &amp; 317'!$H$208</definedName>
    <definedName name="OSRRefH22_14x_0" localSheetId="16">'301'!$H$68</definedName>
    <definedName name="OSRRefH22_14x_0" localSheetId="18">'308'!$H$112</definedName>
    <definedName name="OSRRefH22_14x_0" localSheetId="30">'310'!$H$77:$H$80</definedName>
    <definedName name="OSRRefH22_14x_0" localSheetId="38">'310 &amp; 491'!$H$81:$H$84</definedName>
    <definedName name="OSRRefH22_14x_0" localSheetId="19">'311'!$H$112</definedName>
    <definedName name="OSRRefH22_14x_0" localSheetId="24">'315'!$H$138</definedName>
    <definedName name="OSRRefH22_14x_0" localSheetId="27">'316'!$H$80</definedName>
    <definedName name="OSRRefH22_14x_0" localSheetId="35">'325'!$H$71</definedName>
    <definedName name="OSRRefH22_14x_0" localSheetId="25">'326'!$H$105:$H$108</definedName>
    <definedName name="OSRRefH22_14x_0" localSheetId="23">'331'!$H$133:$H$135</definedName>
    <definedName name="OSRRefH22_14x_0" localSheetId="26">'332'!$H$82</definedName>
    <definedName name="OSRRefH22_14x_0" localSheetId="21">'333'!$H$142:$H$144</definedName>
    <definedName name="OSRRefH22_14x_0" localSheetId="40">'405'!$H$75</definedName>
    <definedName name="OSRRefH22_14x_0" localSheetId="42">'411'!$H$65:$H$67</definedName>
    <definedName name="OSRRefH22_14x_0" localSheetId="46">'415'!$H$70:$H$76</definedName>
    <definedName name="OSRRefH22_14x_0" localSheetId="55">'433'!$H$76</definedName>
    <definedName name="OSRRefH22_14x_0" localSheetId="57">'444'!$H$70:$H$77</definedName>
    <definedName name="OSRRefH22_14x_0" localSheetId="58">'450'!$H$68:$H$73</definedName>
    <definedName name="OSRRefH22_14x_0" localSheetId="39">'491'!$H$70:$H$73</definedName>
    <definedName name="OSRRefH22_14x_0" localSheetId="53">'492'!$H$74</definedName>
    <definedName name="OSRRefH22_14x_0" localSheetId="5">'Div 2'!$H$69</definedName>
    <definedName name="OSRRefH22_14x_0" localSheetId="13">'Div 3'!$H$192:$H$193</definedName>
    <definedName name="OSRRefH22_14x_0" localSheetId="37">'Div 4'!$H$74</definedName>
    <definedName name="OSRRefH22_14x_0" localSheetId="2">Summary!$H$219:$H$220</definedName>
    <definedName name="OSRRefH22_15x_0" localSheetId="7">'201'!$H$65</definedName>
    <definedName name="OSRRefH22_15x_0" localSheetId="14">'300'!$H$188</definedName>
    <definedName name="OSRRefH22_15x_0" localSheetId="15">'300 &amp; 317'!$H$210</definedName>
    <definedName name="OSRRefH22_15x_0" localSheetId="16">'301'!$H$70:$H$73</definedName>
    <definedName name="OSRRefH22_15x_0" localSheetId="30">'310'!$H$82:$H$87</definedName>
    <definedName name="OSRRefH22_15x_0" localSheetId="38">'310 &amp; 491'!$H$86</definedName>
    <definedName name="OSRRefH22_15x_0" localSheetId="24">'315'!$H$140</definedName>
    <definedName name="OSRRefH22_15x_0" localSheetId="35">'325'!$H$73</definedName>
    <definedName name="OSRRefH22_15x_0" localSheetId="25">'326'!$H$110</definedName>
    <definedName name="OSRRefH22_15x_0" localSheetId="23">'331'!$H$137:$H$138</definedName>
    <definedName name="OSRRefH22_15x_0" localSheetId="21">'333'!$H$146:$H$147</definedName>
    <definedName name="OSRRefH22_15x_0" localSheetId="40">'405'!$H$77</definedName>
    <definedName name="OSRRefH22_15x_0" localSheetId="42">'411'!$H$69</definedName>
    <definedName name="OSRRefH22_15x_0" localSheetId="46">'415'!$H$78</definedName>
    <definedName name="OSRRefH22_15x_0" localSheetId="55">'433'!$H$78</definedName>
    <definedName name="OSRRefH22_15x_0" localSheetId="57">'444'!$H$79</definedName>
    <definedName name="OSRRefH22_15x_0" localSheetId="58">'450'!$H$75</definedName>
    <definedName name="OSRRefH22_15x_0" localSheetId="39">'491'!$H$75</definedName>
    <definedName name="OSRRefH22_15x_0" localSheetId="53">'492'!$H$76:$H$83</definedName>
    <definedName name="OSRRefH22_15x_0" localSheetId="5">'Div 2'!$H$71:$H$72</definedName>
    <definedName name="OSRRefH22_15x_0" localSheetId="13">'Div 3'!$H$195</definedName>
    <definedName name="OSRRefH22_15x_0" localSheetId="37">'Div 4'!$H$76</definedName>
    <definedName name="OSRRefH22_15x_0" localSheetId="2">Summary!$H$222</definedName>
    <definedName name="OSRRefH22_16x_0" localSheetId="14">'300'!$H$190:$H$193</definedName>
    <definedName name="OSRRefH22_16x_0" localSheetId="15">'300 &amp; 317'!$H$212:$H$215</definedName>
    <definedName name="OSRRefH22_16x_0" localSheetId="16">'301'!$H$75:$H$77</definedName>
    <definedName name="OSRRefH22_16x_0" localSheetId="30">'310'!$H$89</definedName>
    <definedName name="OSRRefH22_16x_0" localSheetId="38">'310 &amp; 491'!$H$88:$H$91</definedName>
    <definedName name="OSRRefH22_16x_0" localSheetId="24">'315'!$H$142</definedName>
    <definedName name="OSRRefH22_16x_0" localSheetId="35">'325'!$H$75</definedName>
    <definedName name="OSRRefH22_16x_0" localSheetId="25">'326'!$H$112</definedName>
    <definedName name="OSRRefH22_16x_0" localSheetId="23">'331'!$H$140:$H$142</definedName>
    <definedName name="OSRRefH22_16x_0" localSheetId="21">'333'!$H$149:$H$152</definedName>
    <definedName name="OSRRefH22_16x_0" localSheetId="40">'405'!$H$79</definedName>
    <definedName name="OSRRefH22_16x_0" localSheetId="42">'411'!$H$71</definedName>
    <definedName name="OSRRefH22_16x_0" localSheetId="46">'415'!$H$80</definedName>
    <definedName name="OSRRefH22_16x_0" localSheetId="57">'444'!$H$81</definedName>
    <definedName name="OSRRefH22_16x_0" localSheetId="58">'450'!$H$77</definedName>
    <definedName name="OSRRefH22_16x_0" localSheetId="39">'491'!$H$77:$H$80</definedName>
    <definedName name="OSRRefH22_16x_0" localSheetId="53">'492'!$H$85</definedName>
    <definedName name="OSRRefH22_16x_0" localSheetId="5">'Div 2'!$H$74:$H$78</definedName>
    <definedName name="OSRRefH22_16x_0" localSheetId="13">'Div 3'!$H$197</definedName>
    <definedName name="OSRRefH22_16x_0" localSheetId="37">'Div 4'!$H$78:$H$81</definedName>
    <definedName name="OSRRefH22_16x_0" localSheetId="2">Summary!$H$224</definedName>
    <definedName name="OSRRefH22_17x_0" localSheetId="14">'300'!$H$195:$H$197</definedName>
    <definedName name="OSRRefH22_17x_0" localSheetId="15">'300 &amp; 317'!$H$217:$H$219</definedName>
    <definedName name="OSRRefH22_17x_0" localSheetId="16">'301'!$H$79:$H$80</definedName>
    <definedName name="OSRRefH22_17x_0" localSheetId="30">'310'!$H$91</definedName>
    <definedName name="OSRRefH22_17x_0" localSheetId="38">'310 &amp; 491'!$H$93</definedName>
    <definedName name="OSRRefH22_17x_0" localSheetId="25">'326'!$H$114</definedName>
    <definedName name="OSRRefH22_17x_0" localSheetId="23">'331'!$H$144:$H$145</definedName>
    <definedName name="OSRRefH22_17x_0" localSheetId="21">'333'!$H$154:$H$155</definedName>
    <definedName name="OSRRefH22_17x_0" localSheetId="42">'411'!$H$73:$H$74</definedName>
    <definedName name="OSRRefH22_17x_0" localSheetId="46">'415'!$H$82</definedName>
    <definedName name="OSRRefH22_17x_0" localSheetId="57">'444'!$H$83</definedName>
    <definedName name="OSRRefH22_17x_0" localSheetId="58">'450'!$H$79</definedName>
    <definedName name="OSRRefH22_17x_0" localSheetId="39">'491'!$H$82</definedName>
    <definedName name="OSRRefH22_17x_0" localSheetId="53">'492'!$H$87</definedName>
    <definedName name="OSRRefH22_17x_0" localSheetId="5">'Div 2'!$H$80:$H$81</definedName>
    <definedName name="OSRRefH22_17x_0" localSheetId="13">'Div 3'!$H$199:$H$202</definedName>
    <definedName name="OSRRefH22_17x_0" localSheetId="37">'Div 4'!$H$83</definedName>
    <definedName name="OSRRefH22_17x_0" localSheetId="2">Summary!$H$226</definedName>
    <definedName name="OSRRefH22_18x_0" localSheetId="14">'300'!$H$199:$H$202</definedName>
    <definedName name="OSRRefH22_18x_0" localSheetId="15">'300 &amp; 317'!$H$221:$H$224</definedName>
    <definedName name="OSRRefH22_18x_0" localSheetId="16">'301'!$H$82:$H$87</definedName>
    <definedName name="OSRRefH22_18x_0" localSheetId="30">'310'!$H$93</definedName>
    <definedName name="OSRRefH22_18x_0" localSheetId="38">'310 &amp; 491'!$H$95:$H$103</definedName>
    <definedName name="OSRRefH22_18x_0" localSheetId="23">'331'!$H$147:$H$152</definedName>
    <definedName name="OSRRefH22_18x_0" localSheetId="21">'333'!$H$157:$H$162</definedName>
    <definedName name="OSRRefH22_18x_0" localSheetId="42">'411'!$H$76</definedName>
    <definedName name="OSRRefH22_18x_0" localSheetId="39">'491'!$H$84:$H$92</definedName>
    <definedName name="OSRRefH22_18x_0" localSheetId="53">'492'!$H$89:$H$91</definedName>
    <definedName name="OSRRefH22_18x_0" localSheetId="5">'Div 2'!$H$83</definedName>
    <definedName name="OSRRefH22_18x_0" localSheetId="13">'Div 3'!$H$204:$H$206</definedName>
    <definedName name="OSRRefH22_18x_0" localSheetId="37">'Div 4'!$H$85:$H$88</definedName>
    <definedName name="OSRRefH22_18x_0" localSheetId="2">Summary!$H$228:$H$231</definedName>
    <definedName name="OSRRefH22_19x_0" localSheetId="14">'300'!$H$204:$H$205</definedName>
    <definedName name="OSRRefH22_19x_0" localSheetId="15">'300 &amp; 317'!$H$226:$H$227</definedName>
    <definedName name="OSRRefH22_19x_0" localSheetId="16">'301'!$H$89</definedName>
    <definedName name="OSRRefH22_19x_0" localSheetId="38">'310 &amp; 491'!$H$105</definedName>
    <definedName name="OSRRefH22_19x_0" localSheetId="23">'331'!$H$154</definedName>
    <definedName name="OSRRefH22_19x_0" localSheetId="21">'333'!$H$164</definedName>
    <definedName name="OSRRefH22_19x_0" localSheetId="39">'491'!$H$94</definedName>
    <definedName name="OSRRefH22_19x_0" localSheetId="5">'Div 2'!$H$85:$H$86</definedName>
    <definedName name="OSRRefH22_19x_0" localSheetId="13">'Div 3'!$H$208:$H$212</definedName>
    <definedName name="OSRRefH22_19x_0" localSheetId="37">'Div 4'!$H$90:$H$91</definedName>
    <definedName name="OSRRefH22_19x_0" localSheetId="2">Summary!$H$233:$H$235</definedName>
    <definedName name="OSRRefH22_1x_0" localSheetId="6">'200'!$H$23</definedName>
    <definedName name="OSRRefH22_1x_0" localSheetId="7">'201'!$H$29:$H$32</definedName>
    <definedName name="OSRRefH22_1x_0" localSheetId="8">'202'!$H$29:$H$31</definedName>
    <definedName name="OSRRefH22_1x_0" localSheetId="9">'203'!$H$31:$H$35</definedName>
    <definedName name="OSRRefH22_1x_0" localSheetId="10">'204'!$H$30:$H$32</definedName>
    <definedName name="OSRRefH22_1x_0" localSheetId="11">'205'!$H$29</definedName>
    <definedName name="OSRRefH22_1x_0" localSheetId="12">'206'!$H$29:$H$32</definedName>
    <definedName name="OSRRefH22_1x_0" localSheetId="14">'300'!$H$149:$H$155</definedName>
    <definedName name="OSRRefH22_1x_0" localSheetId="15">'300 &amp; 317'!$H$171:$H$177</definedName>
    <definedName name="OSRRefH22_1x_0" localSheetId="16">'301'!$H$33:$H$39</definedName>
    <definedName name="OSRRefH22_1x_0" localSheetId="17">'306'!$H$25:$H$26</definedName>
    <definedName name="OSRRefH22_1x_0" localSheetId="22">'307'!$H$62:$H$65</definedName>
    <definedName name="OSRRefH22_1x_0" localSheetId="18">'308'!$H$73:$H$79</definedName>
    <definedName name="OSRRefH22_1x_0" localSheetId="32">'309'!$H$30:$H$31</definedName>
    <definedName name="OSRRefH22_1x_0" localSheetId="30">'310'!$H$44:$H$49</definedName>
    <definedName name="OSRRefH22_1x_0" localSheetId="38">'310 &amp; 491'!$H$47:$H$53</definedName>
    <definedName name="OSRRefH22_1x_0" localSheetId="19">'311'!$H$73:$H$79</definedName>
    <definedName name="OSRRefH22_1x_0" localSheetId="31">'313'!$H$34</definedName>
    <definedName name="OSRRefH22_1x_0" localSheetId="24">'315'!$H$97:$H$102</definedName>
    <definedName name="OSRRefH22_1x_0" localSheetId="27">'316'!$H$43:$H$46</definedName>
    <definedName name="OSRRefH22_1x_0" localSheetId="29">'317'!$H$67:$H$71</definedName>
    <definedName name="OSRRefH22_1x_0" localSheetId="33">'321'!$H$37:$H$42</definedName>
    <definedName name="OSRRefH22_1x_0" localSheetId="34">'322'!$H$27</definedName>
    <definedName name="OSRRefH22_1x_0" localSheetId="35">'325'!$H$33:$H$35</definedName>
    <definedName name="OSRRefH22_1x_0" localSheetId="25">'326'!$H$69:$H$74</definedName>
    <definedName name="OSRRefH22_1x_0" localSheetId="36">'327'!$H$26</definedName>
    <definedName name="OSRRefH22_1x_0" localSheetId="23">'331'!$H$99:$H$104</definedName>
    <definedName name="OSRRefH22_1x_0" localSheetId="26">'332'!$H$45:$H$48</definedName>
    <definedName name="OSRRefH22_1x_0" localSheetId="21">'333'!$H$108:$H$113</definedName>
    <definedName name="OSRRefH22_1x_0" localSheetId="40">'405'!$H$33:$H$36</definedName>
    <definedName name="OSRRefH22_1x_0" localSheetId="41">'406'!$H$22</definedName>
    <definedName name="OSRRefH22_1x_0" localSheetId="42">'411'!$H$29:$H$33</definedName>
    <definedName name="OSRRefH22_1x_0" localSheetId="43">'412'!$H$23</definedName>
    <definedName name="OSRRefH22_1x_0" localSheetId="44">'413'!$H$26</definedName>
    <definedName name="OSRRefH22_1x_0" localSheetId="45">'414'!$H$24</definedName>
    <definedName name="OSRRefH22_1x_0" localSheetId="46">'415'!$H$34:$H$38</definedName>
    <definedName name="OSRRefH22_1x_0" localSheetId="47">'418'!$H$30:$H$33</definedName>
    <definedName name="OSRRefH22_1x_0" localSheetId="48">'420'!$H$24</definedName>
    <definedName name="OSRRefH22_1x_0" localSheetId="49">'423'!$H$23</definedName>
    <definedName name="OSRRefH22_1x_0" localSheetId="50">'424'!$H$23</definedName>
    <definedName name="OSRRefH22_1x_0" localSheetId="51">'425'!$H$28</definedName>
    <definedName name="OSRRefH22_1x_0" localSheetId="54">'430'!$H$29</definedName>
    <definedName name="OSRRefH22_1x_0" localSheetId="55">'433'!$H$35:$H$40</definedName>
    <definedName name="OSRRefH22_1x_0" localSheetId="56">'435'!$H$26</definedName>
    <definedName name="OSRRefH22_1x_0" localSheetId="57">'444'!$H$35:$H$40</definedName>
    <definedName name="OSRRefH22_1x_0" localSheetId="58">'450'!$H$35:$H$39</definedName>
    <definedName name="OSRRefH22_1x_0" localSheetId="39">'491'!$H$38:$H$43</definedName>
    <definedName name="OSRRefH22_1x_0" localSheetId="53">'492'!$H$37:$H$43</definedName>
    <definedName name="OSRRefH22_1x_0" localSheetId="60">'501'!$H$31:$H$36</definedName>
    <definedName name="OSRRefH22_1x_0" localSheetId="5">'Div 2'!$H$32:$H$37</definedName>
    <definedName name="OSRRefH22_1x_0" localSheetId="13">'Div 3'!$H$156:$H$162</definedName>
    <definedName name="OSRRefH22_1x_0" localSheetId="37">'Div 4'!$H$41:$H$47</definedName>
    <definedName name="OSRRefH22_1x_0" localSheetId="59">'Div 5'!$H$31:$H$36</definedName>
    <definedName name="OSRRefH22_1x_0" localSheetId="28">'Div 6'!$H$67:$H$71</definedName>
    <definedName name="OSRRefH22_1x_0" localSheetId="2">Summary!$H$183:$H$189</definedName>
    <definedName name="OSRRefH22_20x_0" localSheetId="14">'300'!$H$207:$H$213</definedName>
    <definedName name="OSRRefH22_20x_0" localSheetId="15">'300 &amp; 317'!$H$229:$H$235</definedName>
    <definedName name="OSRRefH22_20x_0" localSheetId="16">'301'!$H$91</definedName>
    <definedName name="OSRRefH22_20x_0" localSheetId="38">'310 &amp; 491'!$H$107</definedName>
    <definedName name="OSRRefH22_20x_0" localSheetId="23">'331'!$H$156</definedName>
    <definedName name="OSRRefH22_20x_0" localSheetId="21">'333'!$H$166</definedName>
    <definedName name="OSRRefH22_20x_0" localSheetId="39">'491'!$H$96</definedName>
    <definedName name="OSRRefH22_20x_0" localSheetId="13">'Div 3'!$H$214:$H$215</definedName>
    <definedName name="OSRRefH22_20x_0" localSheetId="37">'Div 4'!$H$93:$H$101</definedName>
    <definedName name="OSRRefH22_20x_0" localSheetId="2">Summary!$H$237:$H$241</definedName>
    <definedName name="OSRRefH22_21x_0" localSheetId="14">'300'!$H$215:$H$216</definedName>
    <definedName name="OSRRefH22_21x_0" localSheetId="15">'300 &amp; 317'!$H$237:$H$238</definedName>
    <definedName name="OSRRefH22_21x_0" localSheetId="16">'301'!$H$93:$H$95</definedName>
    <definedName name="OSRRefH22_21x_0" localSheetId="38">'310 &amp; 491'!$H$109:$H$110</definedName>
    <definedName name="OSRRefH22_21x_0" localSheetId="23">'331'!$H$158</definedName>
    <definedName name="OSRRefH22_21x_0" localSheetId="21">'333'!$H$168</definedName>
    <definedName name="OSRRefH22_21x_0" localSheetId="39">'491'!$H$98:$H$99</definedName>
    <definedName name="OSRRefH22_21x_0" localSheetId="13">'Div 3'!$H$217:$H$223</definedName>
    <definedName name="OSRRefH22_21x_0" localSheetId="37">'Div 4'!$H$103</definedName>
    <definedName name="OSRRefH22_21x_0" localSheetId="2">Summary!$H$243:$H$244</definedName>
    <definedName name="OSRRefH22_22x_0" localSheetId="14">'300'!$H$218</definedName>
    <definedName name="OSRRefH22_22x_0" localSheetId="15">'300 &amp; 317'!$H$240</definedName>
    <definedName name="OSRRefH22_22x_0" localSheetId="16">'301'!$H$97</definedName>
    <definedName name="OSRRefH22_22x_0" localSheetId="38">'310 &amp; 491'!$H$112</definedName>
    <definedName name="OSRRefH22_22x_0" localSheetId="23">'331'!$H$160</definedName>
    <definedName name="OSRRefH22_22x_0" localSheetId="21">'333'!$H$170</definedName>
    <definedName name="OSRRefH22_22x_0" localSheetId="39">'491'!$H$101</definedName>
    <definedName name="OSRRefH22_22x_0" localSheetId="13">'Div 3'!$H$225:$H$226</definedName>
    <definedName name="OSRRefH22_22x_0" localSheetId="37">'Div 4'!$H$105</definedName>
    <definedName name="OSRRefH22_22x_0" localSheetId="2">Summary!$H$246:$H$254</definedName>
    <definedName name="OSRRefH22_23x_0" localSheetId="14">'300'!$H$220:$H$222</definedName>
    <definedName name="OSRRefH22_23x_0" localSheetId="15">'300 &amp; 317'!$H$242:$H$244</definedName>
    <definedName name="OSRRefH22_23x_0" localSheetId="13">'Div 3'!$H$228</definedName>
    <definedName name="OSRRefH22_23x_0" localSheetId="37">'Div 4'!$H$107:$H$109</definedName>
    <definedName name="OSRRefH22_23x_0" localSheetId="2">Summary!$H$256:$H$257</definedName>
    <definedName name="OSRRefH22_24x_0" localSheetId="14">'300'!$H$224</definedName>
    <definedName name="OSRRefH22_24x_0" localSheetId="15">'300 &amp; 317'!$H$246</definedName>
    <definedName name="OSRRefH22_24x_0" localSheetId="13">'Div 3'!$H$230:$H$232</definedName>
    <definedName name="OSRRefH22_24x_0" localSheetId="37">'Div 4'!$H$111</definedName>
    <definedName name="OSRRefH22_24x_0" localSheetId="2">Summary!$H$259</definedName>
    <definedName name="OSRRefH22_25x_0" localSheetId="13">'Div 3'!$H$234</definedName>
    <definedName name="OSRRefH22_25x_0" localSheetId="2">Summary!$H$261:$H$263</definedName>
    <definedName name="OSRRefH22_26x_0" localSheetId="2">Summary!$H$265</definedName>
    <definedName name="OSRRefH22_2x_0" localSheetId="6">'200'!$H$25</definedName>
    <definedName name="OSRRefH22_2x_0" localSheetId="7">'201'!$H$34</definedName>
    <definedName name="OSRRefH22_2x_0" localSheetId="8">'202'!$H$33</definedName>
    <definedName name="OSRRefH22_2x_0" localSheetId="9">'203'!$H$37</definedName>
    <definedName name="OSRRefH22_2x_0" localSheetId="10">'204'!$H$34</definedName>
    <definedName name="OSRRefH22_2x_0" localSheetId="11">'205'!$H$31</definedName>
    <definedName name="OSRRefH22_2x_0" localSheetId="12">'206'!$H$34</definedName>
    <definedName name="OSRRefH22_2x_0" localSheetId="14">'300'!$H$157</definedName>
    <definedName name="OSRRefH22_2x_0" localSheetId="15">'300 &amp; 317'!$H$179</definedName>
    <definedName name="OSRRefH22_2x_0" localSheetId="16">'301'!$H$41</definedName>
    <definedName name="OSRRefH22_2x_0" localSheetId="17">'306'!$H$28</definedName>
    <definedName name="OSRRefH22_2x_0" localSheetId="22">'307'!$H$67</definedName>
    <definedName name="OSRRefH22_2x_0" localSheetId="18">'308'!$H$81</definedName>
    <definedName name="OSRRefH22_2x_0" localSheetId="32">'309'!$H$33</definedName>
    <definedName name="OSRRefH22_2x_0" localSheetId="30">'310'!$H$51</definedName>
    <definedName name="OSRRefH22_2x_0" localSheetId="38">'310 &amp; 491'!$H$55</definedName>
    <definedName name="OSRRefH22_2x_0" localSheetId="19">'311'!$H$81</definedName>
    <definedName name="OSRRefH22_2x_0" localSheetId="31">'313'!$H$36</definedName>
    <definedName name="OSRRefH22_2x_0" localSheetId="24">'315'!$H$104</definedName>
    <definedName name="OSRRefH22_2x_0" localSheetId="27">'316'!$H$48</definedName>
    <definedName name="OSRRefH22_2x_0" localSheetId="29">'317'!$H$73</definedName>
    <definedName name="OSRRefH22_2x_0" localSheetId="33">'321'!$H$44</definedName>
    <definedName name="OSRRefH22_2x_0" localSheetId="34">'322'!$H$29</definedName>
    <definedName name="OSRRefH22_2x_0" localSheetId="35">'325'!$H$37</definedName>
    <definedName name="OSRRefH22_2x_0" localSheetId="25">'326'!$H$76</definedName>
    <definedName name="OSRRefH22_2x_0" localSheetId="23">'331'!$H$106</definedName>
    <definedName name="OSRRefH22_2x_0" localSheetId="26">'332'!$H$50</definedName>
    <definedName name="OSRRefH22_2x_0" localSheetId="21">'333'!$H$115</definedName>
    <definedName name="OSRRefH22_2x_0" localSheetId="40">'405'!$H$38</definedName>
    <definedName name="OSRRefH22_2x_0" localSheetId="41">'406'!$H$24</definedName>
    <definedName name="OSRRefH22_2x_0" localSheetId="42">'411'!$H$35</definedName>
    <definedName name="OSRRefH22_2x_0" localSheetId="43">'412'!$H$25</definedName>
    <definedName name="OSRRefH22_2x_0" localSheetId="44">'413'!$H$28</definedName>
    <definedName name="OSRRefH22_2x_0" localSheetId="45">'414'!$H$26</definedName>
    <definedName name="OSRRefH22_2x_0" localSheetId="46">'415'!$H$40</definedName>
    <definedName name="OSRRefH22_2x_0" localSheetId="47">'418'!$H$35</definedName>
    <definedName name="OSRRefH22_2x_0" localSheetId="49">'423'!$H$25</definedName>
    <definedName name="OSRRefH22_2x_0" localSheetId="50">'424'!$H$25</definedName>
    <definedName name="OSRRefH22_2x_0" localSheetId="51">'425'!$H$30</definedName>
    <definedName name="OSRRefH22_2x_0" localSheetId="54">'430'!$H$31</definedName>
    <definedName name="OSRRefH22_2x_0" localSheetId="55">'433'!$H$42</definedName>
    <definedName name="OSRRefH22_2x_0" localSheetId="56">'435'!$H$28</definedName>
    <definedName name="OSRRefH22_2x_0" localSheetId="57">'444'!$H$42</definedName>
    <definedName name="OSRRefH22_2x_0" localSheetId="58">'450'!$H$41</definedName>
    <definedName name="OSRRefH22_2x_0" localSheetId="39">'491'!$H$45</definedName>
    <definedName name="OSRRefH22_2x_0" localSheetId="53">'492'!$H$45</definedName>
    <definedName name="OSRRefH22_2x_0" localSheetId="60">'501'!$H$38</definedName>
    <definedName name="OSRRefH22_2x_0" localSheetId="5">'Div 2'!$H$39</definedName>
    <definedName name="OSRRefH22_2x_0" localSheetId="13">'Div 3'!$H$164</definedName>
    <definedName name="OSRRefH22_2x_0" localSheetId="37">'Div 4'!$H$49</definedName>
    <definedName name="OSRRefH22_2x_0" localSheetId="59">'Div 5'!$H$38</definedName>
    <definedName name="OSRRefH22_2x_0" localSheetId="28">'Div 6'!$H$73</definedName>
    <definedName name="OSRRefH22_2x_0" localSheetId="2">Summary!$H$191</definedName>
    <definedName name="OSRRefH22_3x_0" localSheetId="6">'200'!$H$27</definedName>
    <definedName name="OSRRefH22_3x_0" localSheetId="7">'201'!$H$36</definedName>
    <definedName name="OSRRefH22_3x_0" localSheetId="8">'202'!$H$35</definedName>
    <definedName name="OSRRefH22_3x_0" localSheetId="9">'203'!$H$39</definedName>
    <definedName name="OSRRefH22_3x_0" localSheetId="10">'204'!$H$36</definedName>
    <definedName name="OSRRefH22_3x_0" localSheetId="11">'205'!$H$33</definedName>
    <definedName name="OSRRefH22_3x_0" localSheetId="12">'206'!$H$36</definedName>
    <definedName name="OSRRefH22_3x_0" localSheetId="14">'300'!$H$159:$H$160</definedName>
    <definedName name="OSRRefH22_3x_0" localSheetId="15">'300 &amp; 317'!$H$181:$H$182</definedName>
    <definedName name="OSRRefH22_3x_0" localSheetId="16">'301'!$H$43:$H$44</definedName>
    <definedName name="OSRRefH22_3x_0" localSheetId="17">'306'!$H$30</definedName>
    <definedName name="OSRRefH22_3x_0" localSheetId="22">'307'!$H$69</definedName>
    <definedName name="OSRRefH22_3x_0" localSheetId="18">'308'!$H$83:$H$84</definedName>
    <definedName name="OSRRefH22_3x_0" localSheetId="32">'309'!$H$35</definedName>
    <definedName name="OSRRefH22_3x_0" localSheetId="30">'310'!$H$53</definedName>
    <definedName name="OSRRefH22_3x_0" localSheetId="38">'310 &amp; 491'!$H$57</definedName>
    <definedName name="OSRRefH22_3x_0" localSheetId="19">'311'!$H$83:$H$84</definedName>
    <definedName name="OSRRefH22_3x_0" localSheetId="31">'313'!$H$38</definedName>
    <definedName name="OSRRefH22_3x_0" localSheetId="24">'315'!$H$106:$H$107</definedName>
    <definedName name="OSRRefH22_3x_0" localSheetId="27">'316'!$H$50</definedName>
    <definedName name="OSRRefH22_3x_0" localSheetId="29">'317'!$H$75</definedName>
    <definedName name="OSRRefH22_3x_0" localSheetId="33">'321'!$H$46</definedName>
    <definedName name="OSRRefH22_3x_0" localSheetId="34">'322'!$H$31</definedName>
    <definedName name="OSRRefH22_3x_0" localSheetId="35">'325'!$H$39</definedName>
    <definedName name="OSRRefH22_3x_0" localSheetId="25">'326'!$H$78</definedName>
    <definedName name="OSRRefH22_3x_0" localSheetId="23">'331'!$H$108</definedName>
    <definedName name="OSRRefH22_3x_0" localSheetId="26">'332'!$H$52</definedName>
    <definedName name="OSRRefH22_3x_0" localSheetId="21">'333'!$H$117</definedName>
    <definedName name="OSRRefH22_3x_0" localSheetId="40">'405'!$H$40</definedName>
    <definedName name="OSRRefH22_3x_0" localSheetId="41">'406'!$H$26</definedName>
    <definedName name="OSRRefH22_3x_0" localSheetId="42">'411'!$H$37</definedName>
    <definedName name="OSRRefH22_3x_0" localSheetId="43">'412'!$H$27:$H$28</definedName>
    <definedName name="OSRRefH22_3x_0" localSheetId="44">'413'!$H$30:$H$31</definedName>
    <definedName name="OSRRefH22_3x_0" localSheetId="45">'414'!$H$28</definedName>
    <definedName name="OSRRefH22_3x_0" localSheetId="46">'415'!$H$42</definedName>
    <definedName name="OSRRefH22_3x_0" localSheetId="47">'418'!$H$37</definedName>
    <definedName name="OSRRefH22_3x_0" localSheetId="49">'423'!$H$27</definedName>
    <definedName name="OSRRefH22_3x_0" localSheetId="50">'424'!$H$27</definedName>
    <definedName name="OSRRefH22_3x_0" localSheetId="51">'425'!$H$32</definedName>
    <definedName name="OSRRefH22_3x_0" localSheetId="54">'430'!$H$33</definedName>
    <definedName name="OSRRefH22_3x_0" localSheetId="55">'433'!$H$44</definedName>
    <definedName name="OSRRefH22_3x_0" localSheetId="56">'435'!$H$30</definedName>
    <definedName name="OSRRefH22_3x_0" localSheetId="57">'444'!$H$44</definedName>
    <definedName name="OSRRefH22_3x_0" localSheetId="58">'450'!$H$43</definedName>
    <definedName name="OSRRefH22_3x_0" localSheetId="39">'491'!$H$47</definedName>
    <definedName name="OSRRefH22_3x_0" localSheetId="53">'492'!$H$47</definedName>
    <definedName name="OSRRefH22_3x_0" localSheetId="60">'501'!$H$40</definedName>
    <definedName name="OSRRefH22_3x_0" localSheetId="5">'Div 2'!$H$41</definedName>
    <definedName name="OSRRefH22_3x_0" localSheetId="13">'Div 3'!$H$166:$H$167</definedName>
    <definedName name="OSRRefH22_3x_0" localSheetId="37">'Div 4'!$H$51</definedName>
    <definedName name="OSRRefH22_3x_0" localSheetId="59">'Div 5'!$H$40</definedName>
    <definedName name="OSRRefH22_3x_0" localSheetId="28">'Div 6'!$H$75</definedName>
    <definedName name="OSRRefH22_3x_0" localSheetId="2">Summary!$H$193:$H$194</definedName>
    <definedName name="OSRRefH22_4x_0" localSheetId="7">'201'!$H$38</definedName>
    <definedName name="OSRRefH22_4x_0" localSheetId="8">'202'!$H$37</definedName>
    <definedName name="OSRRefH22_4x_0" localSheetId="9">'203'!$H$41</definedName>
    <definedName name="OSRRefH22_4x_0" localSheetId="10">'204'!$H$38</definedName>
    <definedName name="OSRRefH22_4x_0" localSheetId="11">'205'!$H$35:$H$37</definedName>
    <definedName name="OSRRefH22_4x_0" localSheetId="12">'206'!$H$38</definedName>
    <definedName name="OSRRefH22_4x_0" localSheetId="14">'300'!$H$162</definedName>
    <definedName name="OSRRefH22_4x_0" localSheetId="15">'300 &amp; 317'!$H$184</definedName>
    <definedName name="OSRRefH22_4x_0" localSheetId="16">'301'!$H$46</definedName>
    <definedName name="OSRRefH22_4x_0" localSheetId="17">'306'!$H$32</definedName>
    <definedName name="OSRRefH22_4x_0" localSheetId="22">'307'!$H$71:$H$72</definedName>
    <definedName name="OSRRefH22_4x_0" localSheetId="18">'308'!$H$86</definedName>
    <definedName name="OSRRefH22_4x_0" localSheetId="32">'309'!$H$37</definedName>
    <definedName name="OSRRefH22_4x_0" localSheetId="30">'310'!$H$55</definedName>
    <definedName name="OSRRefH22_4x_0" localSheetId="38">'310 &amp; 491'!$H$59</definedName>
    <definedName name="OSRRefH22_4x_0" localSheetId="19">'311'!$H$86</definedName>
    <definedName name="OSRRefH22_4x_0" localSheetId="31">'313'!$H$40</definedName>
    <definedName name="OSRRefH22_4x_0" localSheetId="24">'315'!$H$109</definedName>
    <definedName name="OSRRefH22_4x_0" localSheetId="27">'316'!$H$52</definedName>
    <definedName name="OSRRefH22_4x_0" localSheetId="29">'317'!$H$77</definedName>
    <definedName name="OSRRefH22_4x_0" localSheetId="33">'321'!$H$48</definedName>
    <definedName name="OSRRefH22_4x_0" localSheetId="34">'322'!$H$33:$H$34</definedName>
    <definedName name="OSRRefH22_4x_0" localSheetId="35">'325'!$H$41</definedName>
    <definedName name="OSRRefH22_4x_0" localSheetId="25">'326'!$H$80</definedName>
    <definedName name="OSRRefH22_4x_0" localSheetId="23">'331'!$H$110</definedName>
    <definedName name="OSRRefH22_4x_0" localSheetId="26">'332'!$H$54</definedName>
    <definedName name="OSRRefH22_4x_0" localSheetId="21">'333'!$H$119</definedName>
    <definedName name="OSRRefH22_4x_0" localSheetId="40">'405'!$H$42</definedName>
    <definedName name="OSRRefH22_4x_0" localSheetId="41">'406'!$H$28</definedName>
    <definedName name="OSRRefH22_4x_0" localSheetId="42">'411'!$H$39:$H$40</definedName>
    <definedName name="OSRRefH22_4x_0" localSheetId="43">'412'!$H$30</definedName>
    <definedName name="OSRRefH22_4x_0" localSheetId="44">'413'!$H$33</definedName>
    <definedName name="OSRRefH22_4x_0" localSheetId="45">'414'!$H$30</definedName>
    <definedName name="OSRRefH22_4x_0" localSheetId="46">'415'!$H$44</definedName>
    <definedName name="OSRRefH22_4x_0" localSheetId="47">'418'!$H$39:$H$40</definedName>
    <definedName name="OSRRefH22_4x_0" localSheetId="51">'425'!$H$34</definedName>
    <definedName name="OSRRefH22_4x_0" localSheetId="54">'430'!$H$35</definedName>
    <definedName name="OSRRefH22_4x_0" localSheetId="55">'433'!$H$46</definedName>
    <definedName name="OSRRefH22_4x_0" localSheetId="56">'435'!$H$32</definedName>
    <definedName name="OSRRefH22_4x_0" localSheetId="57">'444'!$H$46</definedName>
    <definedName name="OSRRefH22_4x_0" localSheetId="58">'450'!$H$45</definedName>
    <definedName name="OSRRefH22_4x_0" localSheetId="39">'491'!$H$49</definedName>
    <definedName name="OSRRefH22_4x_0" localSheetId="53">'492'!$H$49</definedName>
    <definedName name="OSRRefH22_4x_0" localSheetId="60">'501'!$H$42:$H$43</definedName>
    <definedName name="OSRRefH22_4x_0" localSheetId="5">'Div 2'!$H$43</definedName>
    <definedName name="OSRRefH22_4x_0" localSheetId="13">'Div 3'!$H$169</definedName>
    <definedName name="OSRRefH22_4x_0" localSheetId="37">'Div 4'!$H$53</definedName>
    <definedName name="OSRRefH22_4x_0" localSheetId="59">'Div 5'!$H$42:$H$43</definedName>
    <definedName name="OSRRefH22_4x_0" localSheetId="28">'Div 6'!$H$77</definedName>
    <definedName name="OSRRefH22_4x_0" localSheetId="2">Summary!$H$196</definedName>
    <definedName name="OSRRefH22_5x_0" localSheetId="7">'201'!$H$40</definedName>
    <definedName name="OSRRefH22_5x_0" localSheetId="8">'202'!$H$39:$H$40</definedName>
    <definedName name="OSRRefH22_5x_0" localSheetId="9">'203'!$H$43</definedName>
    <definedName name="OSRRefH22_5x_0" localSheetId="10">'204'!$H$40:$H$43</definedName>
    <definedName name="OSRRefH22_5x_0" localSheetId="11">'205'!$H$39:$H$41</definedName>
    <definedName name="OSRRefH22_5x_0" localSheetId="12">'206'!$H$40</definedName>
    <definedName name="OSRRefH22_5x_0" localSheetId="14">'300'!$H$164:$H$165</definedName>
    <definedName name="OSRRefH22_5x_0" localSheetId="15">'300 &amp; 317'!$H$186:$H$187</definedName>
    <definedName name="OSRRefH22_5x_0" localSheetId="16">'301'!$H$48:$H$49</definedName>
    <definedName name="OSRRefH22_5x_0" localSheetId="17">'306'!$H$34</definedName>
    <definedName name="OSRRefH22_5x_0" localSheetId="22">'307'!$H$74</definedName>
    <definedName name="OSRRefH22_5x_0" localSheetId="18">'308'!$H$88</definedName>
    <definedName name="OSRRefH22_5x_0" localSheetId="32">'309'!$H$39</definedName>
    <definedName name="OSRRefH22_5x_0" localSheetId="30">'310'!$H$57:$H$58</definedName>
    <definedName name="OSRRefH22_5x_0" localSheetId="38">'310 &amp; 491'!$H$61:$H$62</definedName>
    <definedName name="OSRRefH22_5x_0" localSheetId="19">'311'!$H$88</definedName>
    <definedName name="OSRRefH22_5x_0" localSheetId="31">'313'!$H$42</definedName>
    <definedName name="OSRRefH22_5x_0" localSheetId="24">'315'!$H$111</definedName>
    <definedName name="OSRRefH22_5x_0" localSheetId="27">'316'!$H$54</definedName>
    <definedName name="OSRRefH22_5x_0" localSheetId="29">'317'!$H$79:$H$80</definedName>
    <definedName name="OSRRefH22_5x_0" localSheetId="33">'321'!$H$50</definedName>
    <definedName name="OSRRefH22_5x_0" localSheetId="34">'322'!$H$36</definedName>
    <definedName name="OSRRefH22_5x_0" localSheetId="35">'325'!$H$43:$H$44</definedName>
    <definedName name="OSRRefH22_5x_0" localSheetId="25">'326'!$H$82</definedName>
    <definedName name="OSRRefH22_5x_0" localSheetId="23">'331'!$H$112:$H$113</definedName>
    <definedName name="OSRRefH22_5x_0" localSheetId="26">'332'!$H$56</definedName>
    <definedName name="OSRRefH22_5x_0" localSheetId="21">'333'!$H$121:$H$122</definedName>
    <definedName name="OSRRefH22_5x_0" localSheetId="40">'405'!$H$44:$H$45</definedName>
    <definedName name="OSRRefH22_5x_0" localSheetId="42">'411'!$H$42</definedName>
    <definedName name="OSRRefH22_5x_0" localSheetId="43">'412'!$H$32</definedName>
    <definedName name="OSRRefH22_5x_0" localSheetId="44">'413'!$H$35</definedName>
    <definedName name="OSRRefH22_5x_0" localSheetId="45">'414'!$H$32:$H$33</definedName>
    <definedName name="OSRRefH22_5x_0" localSheetId="46">'415'!$H$46:$H$47</definedName>
    <definedName name="OSRRefH22_5x_0" localSheetId="47">'418'!$H$42</definedName>
    <definedName name="OSRRefH22_5x_0" localSheetId="51">'425'!$H$36:$H$37</definedName>
    <definedName name="OSRRefH22_5x_0" localSheetId="54">'430'!$H$37:$H$39</definedName>
    <definedName name="OSRRefH22_5x_0" localSheetId="55">'433'!$H$48</definedName>
    <definedName name="OSRRefH22_5x_0" localSheetId="56">'435'!$H$34</definedName>
    <definedName name="OSRRefH22_5x_0" localSheetId="57">'444'!$H$48</definedName>
    <definedName name="OSRRefH22_5x_0" localSheetId="58">'450'!$H$47</definedName>
    <definedName name="OSRRefH22_5x_0" localSheetId="39">'491'!$H$51:$H$52</definedName>
    <definedName name="OSRRefH22_5x_0" localSheetId="53">'492'!$H$51</definedName>
    <definedName name="OSRRefH22_5x_0" localSheetId="60">'501'!$H$45</definedName>
    <definedName name="OSRRefH22_5x_0" localSheetId="5">'Div 2'!$H$45</definedName>
    <definedName name="OSRRefH22_5x_0" localSheetId="13">'Div 3'!$H$171:$H$172</definedName>
    <definedName name="OSRRefH22_5x_0" localSheetId="37">'Div 4'!$H$55:$H$56</definedName>
    <definedName name="OSRRefH22_5x_0" localSheetId="59">'Div 5'!$H$45</definedName>
    <definedName name="OSRRefH22_5x_0" localSheetId="28">'Div 6'!$H$79:$H$80</definedName>
    <definedName name="OSRRefH22_5x_0" localSheetId="2">Summary!$H$198:$H$199</definedName>
    <definedName name="OSRRefH22_6x_0" localSheetId="7">'201'!$H$42</definedName>
    <definedName name="OSRRefH22_6x_0" localSheetId="8">'202'!$H$42</definedName>
    <definedName name="OSRRefH22_6x_0" localSheetId="9">'203'!$H$45</definedName>
    <definedName name="OSRRefH22_6x_0" localSheetId="10">'204'!$H$45</definedName>
    <definedName name="OSRRefH22_6x_0" localSheetId="11">'205'!$H$43</definedName>
    <definedName name="OSRRefH22_6x_0" localSheetId="12">'206'!$H$42</definedName>
    <definedName name="OSRRefH22_6x_0" localSheetId="14">'300'!$H$167:$H$168</definedName>
    <definedName name="OSRRefH22_6x_0" localSheetId="15">'300 &amp; 317'!$H$189:$H$190</definedName>
    <definedName name="OSRRefH22_6x_0" localSheetId="16">'301'!$H$51:$H$52</definedName>
    <definedName name="OSRRefH22_6x_0" localSheetId="22">'307'!$H$76</definedName>
    <definedName name="OSRRefH22_6x_0" localSheetId="18">'308'!$H$90:$H$91</definedName>
    <definedName name="OSRRefH22_6x_0" localSheetId="32">'309'!$H$41</definedName>
    <definedName name="OSRRefH22_6x_0" localSheetId="30">'310'!$H$60</definedName>
    <definedName name="OSRRefH22_6x_0" localSheetId="38">'310 &amp; 491'!$H$64</definedName>
    <definedName name="OSRRefH22_6x_0" localSheetId="19">'311'!$H$90:$H$91</definedName>
    <definedName name="OSRRefH22_6x_0" localSheetId="31">'313'!$H$44</definedName>
    <definedName name="OSRRefH22_6x_0" localSheetId="24">'315'!$H$113:$H$114</definedName>
    <definedName name="OSRRefH22_6x_0" localSheetId="27">'316'!$H$56:$H$57</definedName>
    <definedName name="OSRRefH22_6x_0" localSheetId="29">'317'!$H$82</definedName>
    <definedName name="OSRRefH22_6x_0" localSheetId="33">'321'!$H$52</definedName>
    <definedName name="OSRRefH22_6x_0" localSheetId="34">'322'!$H$38</definedName>
    <definedName name="OSRRefH22_6x_0" localSheetId="35">'325'!$H$46</definedName>
    <definedName name="OSRRefH22_6x_0" localSheetId="25">'326'!$H$84</definedName>
    <definedName name="OSRRefH22_6x_0" localSheetId="23">'331'!$H$115</definedName>
    <definedName name="OSRRefH22_6x_0" localSheetId="26">'332'!$H$58:$H$59</definedName>
    <definedName name="OSRRefH22_6x_0" localSheetId="21">'333'!$H$124</definedName>
    <definedName name="OSRRefH22_6x_0" localSheetId="40">'405'!$H$47</definedName>
    <definedName name="OSRRefH22_6x_0" localSheetId="42">'411'!$H$44</definedName>
    <definedName name="OSRRefH22_6x_0" localSheetId="43">'412'!$H$34</definedName>
    <definedName name="OSRRefH22_6x_0" localSheetId="46">'415'!$H$49</definedName>
    <definedName name="OSRRefH22_6x_0" localSheetId="47">'418'!$H$44</definedName>
    <definedName name="OSRRefH22_6x_0" localSheetId="51">'425'!$H$39</definedName>
    <definedName name="OSRRefH22_6x_0" localSheetId="54">'430'!$H$41</definedName>
    <definedName name="OSRRefH22_6x_0" localSheetId="55">'433'!$H$50</definedName>
    <definedName name="OSRRefH22_6x_0" localSheetId="57">'444'!$H$50</definedName>
    <definedName name="OSRRefH22_6x_0" localSheetId="58">'450'!$H$49</definedName>
    <definedName name="OSRRefH22_6x_0" localSheetId="39">'491'!$H$54</definedName>
    <definedName name="OSRRefH22_6x_0" localSheetId="53">'492'!$H$53</definedName>
    <definedName name="OSRRefH22_6x_0" localSheetId="60">'501'!$H$47</definedName>
    <definedName name="OSRRefH22_6x_0" localSheetId="5">'Div 2'!$H$47</definedName>
    <definedName name="OSRRefH22_6x_0" localSheetId="13">'Div 3'!$H$174:$H$175</definedName>
    <definedName name="OSRRefH22_6x_0" localSheetId="37">'Div 4'!$H$58</definedName>
    <definedName name="OSRRefH22_6x_0" localSheetId="59">'Div 5'!$H$47</definedName>
    <definedName name="OSRRefH22_6x_0" localSheetId="28">'Div 6'!$H$82</definedName>
    <definedName name="OSRRefH22_6x_0" localSheetId="2">Summary!$H$201:$H$202</definedName>
    <definedName name="OSRRefH22_7x_0" localSheetId="7">'201'!$H$44</definedName>
    <definedName name="OSRRefH22_7x_0" localSheetId="8">'202'!$H$44</definedName>
    <definedName name="OSRRefH22_7x_0" localSheetId="9">'203'!$H$47:$H$48</definedName>
    <definedName name="OSRRefH22_7x_0" localSheetId="10">'204'!$H$47:$H$48</definedName>
    <definedName name="OSRRefH22_7x_0" localSheetId="14">'300'!$H$170</definedName>
    <definedName name="OSRRefH22_7x_0" localSheetId="15">'300 &amp; 317'!$H$192</definedName>
    <definedName name="OSRRefH22_7x_0" localSheetId="16">'301'!$H$54</definedName>
    <definedName name="OSRRefH22_7x_0" localSheetId="22">'307'!$H$78</definedName>
    <definedName name="OSRRefH22_7x_0" localSheetId="18">'308'!$H$93</definedName>
    <definedName name="OSRRefH22_7x_0" localSheetId="32">'309'!$H$43</definedName>
    <definedName name="OSRRefH22_7x_0" localSheetId="30">'310'!$H$62</definedName>
    <definedName name="OSRRefH22_7x_0" localSheetId="38">'310 &amp; 491'!$H$66</definedName>
    <definedName name="OSRRefH22_7x_0" localSheetId="19">'311'!$H$93</definedName>
    <definedName name="OSRRefH22_7x_0" localSheetId="31">'313'!$H$46</definedName>
    <definedName name="OSRRefH22_7x_0" localSheetId="24">'315'!$H$116</definedName>
    <definedName name="OSRRefH22_7x_0" localSheetId="27">'316'!$H$59</definedName>
    <definedName name="OSRRefH22_7x_0" localSheetId="29">'317'!$H$84</definedName>
    <definedName name="OSRRefH22_7x_0" localSheetId="33">'321'!$H$54:$H$55</definedName>
    <definedName name="OSRRefH22_7x_0" localSheetId="34">'322'!$H$40</definedName>
    <definedName name="OSRRefH22_7x_0" localSheetId="35">'325'!$H$48</definedName>
    <definedName name="OSRRefH22_7x_0" localSheetId="25">'326'!$H$86</definedName>
    <definedName name="OSRRefH22_7x_0" localSheetId="23">'331'!$H$117</definedName>
    <definedName name="OSRRefH22_7x_0" localSheetId="26">'332'!$H$61</definedName>
    <definedName name="OSRRefH22_7x_0" localSheetId="21">'333'!$H$126</definedName>
    <definedName name="OSRRefH22_7x_0" localSheetId="40">'405'!$H$49</definedName>
    <definedName name="OSRRefH22_7x_0" localSheetId="42">'411'!$H$46</definedName>
    <definedName name="OSRRefH22_7x_0" localSheetId="46">'415'!$H$51</definedName>
    <definedName name="OSRRefH22_7x_0" localSheetId="47">'418'!$H$46</definedName>
    <definedName name="OSRRefH22_7x_0" localSheetId="51">'425'!$H$41:$H$43</definedName>
    <definedName name="OSRRefH22_7x_0" localSheetId="54">'430'!$H$43</definedName>
    <definedName name="OSRRefH22_7x_0" localSheetId="55">'433'!$H$52</definedName>
    <definedName name="OSRRefH22_7x_0" localSheetId="57">'444'!$H$52</definedName>
    <definedName name="OSRRefH22_7x_0" localSheetId="58">'450'!$H$51</definedName>
    <definedName name="OSRRefH22_7x_0" localSheetId="39">'491'!$H$56</definedName>
    <definedName name="OSRRefH22_7x_0" localSheetId="53">'492'!$H$55</definedName>
    <definedName name="OSRRefH22_7x_0" localSheetId="60">'501'!$H$49:$H$52</definedName>
    <definedName name="OSRRefH22_7x_0" localSheetId="5">'Div 2'!$H$49</definedName>
    <definedName name="OSRRefH22_7x_0" localSheetId="13">'Div 3'!$H$177</definedName>
    <definedName name="OSRRefH22_7x_0" localSheetId="37">'Div 4'!$H$60</definedName>
    <definedName name="OSRRefH22_7x_0" localSheetId="59">'Div 5'!$H$49:$H$52</definedName>
    <definedName name="OSRRefH22_7x_0" localSheetId="28">'Div 6'!$H$84</definedName>
    <definedName name="OSRRefH22_7x_0" localSheetId="2">Summary!$H$204</definedName>
    <definedName name="OSRRefH22_8x_0" localSheetId="7">'201'!$H$46</definedName>
    <definedName name="OSRRefH22_8x_0" localSheetId="8">'202'!$H$46:$H$48</definedName>
    <definedName name="OSRRefH22_8x_0" localSheetId="9">'203'!$H$50:$H$51</definedName>
    <definedName name="OSRRefH22_8x_0" localSheetId="10">'204'!$H$50</definedName>
    <definedName name="OSRRefH22_8x_0" localSheetId="14">'300'!$H$172</definedName>
    <definedName name="OSRRefH22_8x_0" localSheetId="15">'300 &amp; 317'!$H$194</definedName>
    <definedName name="OSRRefH22_8x_0" localSheetId="16">'301'!$H$56</definedName>
    <definedName name="OSRRefH22_8x_0" localSheetId="22">'307'!$H$80:$H$81</definedName>
    <definedName name="OSRRefH22_8x_0" localSheetId="18">'308'!$H$95</definedName>
    <definedName name="OSRRefH22_8x_0" localSheetId="32">'309'!$H$45:$H$46</definedName>
    <definedName name="OSRRefH22_8x_0" localSheetId="30">'310'!$H$64</definedName>
    <definedName name="OSRRefH22_8x_0" localSheetId="38">'310 &amp; 491'!$H$68:$H$69</definedName>
    <definedName name="OSRRefH22_8x_0" localSheetId="19">'311'!$H$95</definedName>
    <definedName name="OSRRefH22_8x_0" localSheetId="24">'315'!$H$118:$H$119</definedName>
    <definedName name="OSRRefH22_8x_0" localSheetId="27">'316'!$H$61</definedName>
    <definedName name="OSRRefH22_8x_0" localSheetId="29">'317'!$H$86:$H$87</definedName>
    <definedName name="OSRRefH22_8x_0" localSheetId="33">'321'!$H$57</definedName>
    <definedName name="OSRRefH22_8x_0" localSheetId="35">'325'!$H$50</definedName>
    <definedName name="OSRRefH22_8x_0" localSheetId="25">'326'!$H$88</definedName>
    <definedName name="OSRRefH22_8x_0" localSheetId="23">'331'!$H$119:$H$120</definedName>
    <definedName name="OSRRefH22_8x_0" localSheetId="26">'332'!$H$63</definedName>
    <definedName name="OSRRefH22_8x_0" localSheetId="21">'333'!$H$128:$H$129</definedName>
    <definedName name="OSRRefH22_8x_0" localSheetId="40">'405'!$H$51</definedName>
    <definedName name="OSRRefH22_8x_0" localSheetId="42">'411'!$H$48</definedName>
    <definedName name="OSRRefH22_8x_0" localSheetId="46">'415'!$H$53</definedName>
    <definedName name="OSRRefH22_8x_0" localSheetId="47">'418'!$H$48:$H$49</definedName>
    <definedName name="OSRRefH22_8x_0" localSheetId="51">'425'!$H$45</definedName>
    <definedName name="OSRRefH22_8x_0" localSheetId="54">'430'!$H$45</definedName>
    <definedName name="OSRRefH22_8x_0" localSheetId="55">'433'!$H$54</definedName>
    <definedName name="OSRRefH22_8x_0" localSheetId="57">'444'!$H$54</definedName>
    <definedName name="OSRRefH22_8x_0" localSheetId="58">'450'!$H$53</definedName>
    <definedName name="OSRRefH22_8x_0" localSheetId="39">'491'!$H$58</definedName>
    <definedName name="OSRRefH22_8x_0" localSheetId="53">'492'!$H$57</definedName>
    <definedName name="OSRRefH22_8x_0" localSheetId="60">'501'!$H$54</definedName>
    <definedName name="OSRRefH22_8x_0" localSheetId="5">'Div 2'!$H$51</definedName>
    <definedName name="OSRRefH22_8x_0" localSheetId="13">'Div 3'!$H$179</definedName>
    <definedName name="OSRRefH22_8x_0" localSheetId="37">'Div 4'!$H$62</definedName>
    <definedName name="OSRRefH22_8x_0" localSheetId="59">'Div 5'!$H$54</definedName>
    <definedName name="OSRRefH22_8x_0" localSheetId="28">'Div 6'!$H$86:$H$87</definedName>
    <definedName name="OSRRefH22_8x_0" localSheetId="2">Summary!$H$206</definedName>
    <definedName name="OSRRefH22_9x_0" localSheetId="7">'201'!$H$48</definedName>
    <definedName name="OSRRefH22_9x_0" localSheetId="8">'202'!$H$50</definedName>
    <definedName name="OSRRefH22_9x_0" localSheetId="9">'203'!$H$53:$H$54</definedName>
    <definedName name="OSRRefH22_9x_0" localSheetId="10">'204'!$H$52</definedName>
    <definedName name="OSRRefH22_9x_0" localSheetId="14">'300'!$H$174</definedName>
    <definedName name="OSRRefH22_9x_0" localSheetId="15">'300 &amp; 317'!$H$196</definedName>
    <definedName name="OSRRefH22_9x_0" localSheetId="16">'301'!$H$58</definedName>
    <definedName name="OSRRefH22_9x_0" localSheetId="22">'307'!$H$83:$H$84</definedName>
    <definedName name="OSRRefH22_9x_0" localSheetId="18">'308'!$H$97:$H$99</definedName>
    <definedName name="OSRRefH22_9x_0" localSheetId="32">'309'!$H$48:$H$49</definedName>
    <definedName name="OSRRefH22_9x_0" localSheetId="30">'310'!$H$66</definedName>
    <definedName name="OSRRefH22_9x_0" localSheetId="38">'310 &amp; 491'!$H$71</definedName>
    <definedName name="OSRRefH22_9x_0" localSheetId="19">'311'!$H$97:$H$99</definedName>
    <definedName name="OSRRefH22_9x_0" localSheetId="24">'315'!$H$121</definedName>
    <definedName name="OSRRefH22_9x_0" localSheetId="27">'316'!$H$63:$H$65</definedName>
    <definedName name="OSRRefH22_9x_0" localSheetId="29">'317'!$H$89</definedName>
    <definedName name="OSRRefH22_9x_0" localSheetId="33">'321'!$H$59:$H$61</definedName>
    <definedName name="OSRRefH22_9x_0" localSheetId="35">'325'!$H$52</definedName>
    <definedName name="OSRRefH22_9x_0" localSheetId="25">'326'!$H$90</definedName>
    <definedName name="OSRRefH22_9x_0" localSheetId="23">'331'!$H$122</definedName>
    <definedName name="OSRRefH22_9x_0" localSheetId="26">'332'!$H$65:$H$67</definedName>
    <definedName name="OSRRefH22_9x_0" localSheetId="21">'333'!$H$131</definedName>
    <definedName name="OSRRefH22_9x_0" localSheetId="40">'405'!$H$53</definedName>
    <definedName name="OSRRefH22_9x_0" localSheetId="42">'411'!$H$50</definedName>
    <definedName name="OSRRefH22_9x_0" localSheetId="46">'415'!$H$55</definedName>
    <definedName name="OSRRefH22_9x_0" localSheetId="47">'418'!$H$51</definedName>
    <definedName name="OSRRefH22_9x_0" localSheetId="55">'433'!$H$56</definedName>
    <definedName name="OSRRefH22_9x_0" localSheetId="57">'444'!$H$56</definedName>
    <definedName name="OSRRefH22_9x_0" localSheetId="58">'450'!$H$55</definedName>
    <definedName name="OSRRefH22_9x_0" localSheetId="39">'491'!$H$60</definedName>
    <definedName name="OSRRefH22_9x_0" localSheetId="53">'492'!$H$59</definedName>
    <definedName name="OSRRefH22_9x_0" localSheetId="60">'501'!$H$56:$H$57</definedName>
    <definedName name="OSRRefH22_9x_0" localSheetId="5">'Div 2'!$H$53:$H$54</definedName>
    <definedName name="OSRRefH22_9x_0" localSheetId="13">'Div 3'!$H$181</definedName>
    <definedName name="OSRRefH22_9x_0" localSheetId="37">'Div 4'!$H$64</definedName>
    <definedName name="OSRRefH22_9x_0" localSheetId="59">'Div 5'!$H$56:$H$57</definedName>
    <definedName name="OSRRefH22_9x_0" localSheetId="28">'Div 6'!$H$89</definedName>
    <definedName name="OSRRefH22_9x_0" localSheetId="2">Summary!$H$208</definedName>
    <definedName name="OSRRefH22x_0" localSheetId="6">'200'!$H$20:$H$21,'200'!$H$23,'200'!$H$25,'200'!$H$27</definedName>
    <definedName name="OSRRefH22x_0" localSheetId="7">'201'!$H$20:$H$27,'201'!$H$29:$H$32,'201'!$H$34,'201'!$H$36,'201'!$H$38,'201'!$H$40,'201'!$H$42,'201'!$H$44,'201'!$H$46,'201'!$H$48,'201'!$H$50:$H$52,'201'!$H$54:$H$56,'201'!$H$58,'201'!$H$60:$H$61,'201'!$H$63,'201'!$H$65</definedName>
    <definedName name="OSRRefH22x_0" localSheetId="8">'202'!$H$20:$H$27,'202'!$H$29:$H$31,'202'!$H$33,'202'!$H$35,'202'!$H$37,'202'!$H$39:$H$40,'202'!$H$42,'202'!$H$44,'202'!$H$46:$H$48,'202'!$H$50,'202'!$H$52:$H$54,'202'!$H$56,'202'!$H$58,'202'!$H$60</definedName>
    <definedName name="OSRRefH22x_0" localSheetId="9">'203'!$H$20:$H$29,'203'!$H$31:$H$35,'203'!$H$37,'203'!$H$39,'203'!$H$41,'203'!$H$43,'203'!$H$45,'203'!$H$47:$H$48,'203'!$H$50:$H$51,'203'!$H$53:$H$54,'203'!$H$56:$H$59,'203'!$H$61,'203'!$H$63,'203'!$H$65</definedName>
    <definedName name="OSRRefH22x_0" localSheetId="10">'204'!$H$20:$H$28,'204'!$H$30:$H$32,'204'!$H$34,'204'!$H$36,'204'!$H$38,'204'!$H$40:$H$43,'204'!$H$45,'204'!$H$47:$H$48,'204'!$H$50,'204'!$H$52</definedName>
    <definedName name="OSRRefH22x_0" localSheetId="11">'205'!$H$20:$H$27,'205'!$H$29,'205'!$H$31,'205'!$H$33,'205'!$H$35:$H$37,'205'!$H$39:$H$41,'205'!$H$43</definedName>
    <definedName name="OSRRefH22x_0" localSheetId="12">'206'!$H$20:$H$27,'206'!$H$29:$H$32,'206'!$H$34,'206'!$H$36,'206'!$H$38,'206'!$H$40,'206'!$H$42</definedName>
    <definedName name="OSRRefH22x_0" localSheetId="14">'300'!$H$138:$H$147,'300'!$H$149:$H$155,'300'!$H$157,'300'!$H$159:$H$160,'300'!$H$162,'300'!$H$164:$H$165,'300'!$H$167:$H$168,'300'!$H$170,'300'!$H$172,'300'!$H$174,'300'!$H$176:$H$177,'300'!$H$179,'300'!$H$181,'300'!$H$183:$H$184,'300'!$H$186,'300'!$H$188,'300'!$H$190:$H$193,'300'!$H$195:$H$197,'300'!$H$199:$H$202,'300'!$H$204:$H$205,'300'!$H$207:$H$213,'300'!$H$215:$H$216,'300'!$H$218,'300'!$H$220:$H$222,'300'!$H$224</definedName>
    <definedName name="OSRRefH22x_0" localSheetId="15">'300 &amp; 317'!$H$160:$H$169,'300 &amp; 317'!$H$171:$H$177,'300 &amp; 317'!$H$179,'300 &amp; 317'!$H$181:$H$182,'300 &amp; 317'!$H$184,'300 &amp; 317'!$H$186:$H$187,'300 &amp; 317'!$H$189:$H$190,'300 &amp; 317'!$H$192,'300 &amp; 317'!$H$194,'300 &amp; 317'!$H$196,'300 &amp; 317'!$H$198:$H$199,'300 &amp; 317'!$H$201,'300 &amp; 317'!$H$203,'300 &amp; 317'!$H$205:$H$206,'300 &amp; 317'!$H$208,'300 &amp; 317'!$H$210,'300 &amp; 317'!$H$212:$H$215,'300 &amp; 317'!$H$217:$H$219,'300 &amp; 317'!$H$221:$H$224,'300 &amp; 317'!$H$226:$H$227,'300 &amp; 317'!$H$229:$H$235,'300 &amp; 317'!$H$237:$H$238,'300 &amp; 317'!$H$240,'300 &amp; 317'!$H$242:$H$244,'300 &amp; 317'!$H$246</definedName>
    <definedName name="OSRRefH22x_0" localSheetId="16">'301'!$H$22:$H$31,'301'!$H$33:$H$39,'301'!$H$41,'301'!$H$43:$H$44,'301'!$H$46,'301'!$H$48:$H$49,'301'!$H$51:$H$52,'301'!$H$54,'301'!$H$56,'301'!$H$58,'301'!$H$60,'301'!$H$62,'301'!$H$64,'301'!$H$66,'301'!$H$68,'301'!$H$70:$H$73,'301'!$H$75:$H$77,'301'!$H$79:$H$80,'301'!$H$82:$H$87,'301'!$H$89,'301'!$H$91,'301'!$H$93:$H$95,'301'!$H$97</definedName>
    <definedName name="OSRRefH22x_0" localSheetId="17">'306'!$H$20:$H$23,'306'!$H$25:$H$26,'306'!$H$28,'306'!$H$30,'306'!$H$32,'306'!$H$34</definedName>
    <definedName name="OSRRefH22x_0" localSheetId="22">'307'!$H$54:$H$60,'307'!$H$62:$H$65,'307'!$H$67,'307'!$H$69,'307'!$H$71:$H$72,'307'!$H$74,'307'!$H$76,'307'!$H$78,'307'!$H$80:$H$81,'307'!$H$83:$H$84,'307'!$H$86,'307'!$H$88:$H$91,'307'!$H$93,'307'!$H$95</definedName>
    <definedName name="OSRRefH22x_0" localSheetId="18">'308'!$H$63:$H$71,'308'!$H$73:$H$79,'308'!$H$81,'308'!$H$83:$H$84,'308'!$H$86,'308'!$H$88,'308'!$H$90:$H$91,'308'!$H$93,'308'!$H$95,'308'!$H$97:$H$99,'308'!$H$101:$H$102,'308'!$H$104:$H$105,'308'!$H$107:$H$108,'308'!$H$110,'308'!$H$112</definedName>
    <definedName name="OSRRefH22x_0" localSheetId="32">'309'!$H$27:$H$28,'309'!$H$30:$H$31,'309'!$H$33,'309'!$H$35,'309'!$H$37,'309'!$H$39,'309'!$H$41,'309'!$H$43,'309'!$H$45:$H$46,'309'!$H$48:$H$49,'309'!$H$51:$H$52,'309'!$H$54,'309'!$H$56</definedName>
    <definedName name="OSRRefH22x_0" localSheetId="30">'310'!$H$34:$H$42,'310'!$H$44:$H$49,'310'!$H$51,'310'!$H$53,'310'!$H$55,'310'!$H$57:$H$58,'310'!$H$60,'310'!$H$62,'310'!$H$64,'310'!$H$66,'310'!$H$68,'310'!$H$70,'310'!$H$72:$H$73,'310'!$H$75,'310'!$H$77:$H$80,'310'!$H$82:$H$87,'310'!$H$89,'310'!$H$91,'310'!$H$93</definedName>
    <definedName name="OSRRefH22x_0" localSheetId="38">'310 &amp; 491'!$H$37:$H$45,'310 &amp; 491'!$H$47:$H$53,'310 &amp; 491'!$H$55,'310 &amp; 491'!$H$57,'310 &amp; 491'!$H$59,'310 &amp; 491'!$H$61:$H$62,'310 &amp; 491'!$H$64,'310 &amp; 491'!$H$66,'310 &amp; 491'!$H$68:$H$69,'310 &amp; 491'!$H$71,'310 &amp; 491'!$H$73,'310 &amp; 491'!$H$75,'310 &amp; 491'!$H$77,'310 &amp; 491'!$H$79,'310 &amp; 491'!$H$81:$H$84,'310 &amp; 491'!$H$86,'310 &amp; 491'!$H$88:$H$91,'310 &amp; 491'!$H$93,'310 &amp; 491'!$H$95:$H$103,'310 &amp; 491'!$H$105,'310 &amp; 491'!$H$107,'310 &amp; 491'!$H$109:$H$110,'310 &amp; 491'!$H$112</definedName>
    <definedName name="OSRRefH22x_0" localSheetId="19">'311'!$H$63:$H$71,'311'!$H$73:$H$79,'311'!$H$81,'311'!$H$83:$H$84,'311'!$H$86,'311'!$H$88,'311'!$H$90:$H$91,'311'!$H$93,'311'!$H$95,'311'!$H$97:$H$99,'311'!$H$101:$H$102,'311'!$H$104:$H$105,'311'!$H$107:$H$108,'311'!$H$110,'311'!$H$112</definedName>
    <definedName name="OSRRefH22x_0" localSheetId="31">'313'!$H$25:$H$32,'313'!$H$34,'313'!$H$36,'313'!$H$38,'313'!$H$40,'313'!$H$42,'313'!$H$44,'313'!$H$46</definedName>
    <definedName name="OSRRefH22x_0" localSheetId="24">'315'!$H$88:$H$95,'315'!$H$97:$H$102,'315'!$H$104,'315'!$H$106:$H$107,'315'!$H$109,'315'!$H$111,'315'!$H$113:$H$114,'315'!$H$116,'315'!$H$118:$H$119,'315'!$H$121,'315'!$H$123:$H$124,'315'!$H$126:$H$127,'315'!$H$129:$H$130,'315'!$H$132:$H$136,'315'!$H$138,'315'!$H$140,'315'!$H$142</definedName>
    <definedName name="OSRRefH22x_0" localSheetId="27">'316'!$H$34:$H$41,'316'!$H$43:$H$46,'316'!$H$48,'316'!$H$50,'316'!$H$52,'316'!$H$54,'316'!$H$56:$H$57,'316'!$H$59,'316'!$H$61,'316'!$H$63:$H$65,'316'!$H$67,'316'!$H$69,'316'!$H$71:$H$76,'316'!$H$78,'316'!$H$80</definedName>
    <definedName name="OSRRefH22x_0" localSheetId="29">'317'!$H$57:$H$65,'317'!$H$67:$H$71,'317'!$H$73,'317'!$H$75,'317'!$H$77,'317'!$H$79:$H$80,'317'!$H$82,'317'!$H$84,'317'!$H$86:$H$87,'317'!$H$89,'317'!$H$91:$H$94,'317'!$H$96,'317'!$H$98</definedName>
    <definedName name="OSRRefH22x_0" localSheetId="33">'321'!$H$27:$H$35,'321'!$H$37:$H$42,'321'!$H$44,'321'!$H$46,'321'!$H$48,'321'!$H$50,'321'!$H$52,'321'!$H$54:$H$55,'321'!$H$57,'321'!$H$59:$H$61,'321'!$H$63:$H$67,'321'!$H$69,'321'!$H$71,'321'!$H$73</definedName>
    <definedName name="OSRRefH22x_0" localSheetId="34">'322'!$H$21:$H$25,'322'!$H$27,'322'!$H$29,'322'!$H$31,'322'!$H$33:$H$34,'322'!$H$36,'322'!$H$38,'322'!$H$40</definedName>
    <definedName name="OSRRefH22x_0" localSheetId="35">'325'!$H$24:$H$31,'325'!$H$33:$H$35,'325'!$H$37,'325'!$H$39,'325'!$H$41,'325'!$H$43:$H$44,'325'!$H$46,'325'!$H$48,'325'!$H$50,'325'!$H$52,'325'!$H$54,'325'!$H$56:$H$57,'325'!$H$59:$H$62,'325'!$H$64:$H$69,'325'!$H$71,'325'!$H$73,'325'!$H$75</definedName>
    <definedName name="OSRRefH22x_0" localSheetId="25">'326'!$H$60:$H$67,'326'!$H$69:$H$74,'326'!$H$76,'326'!$H$78,'326'!$H$80,'326'!$H$82,'326'!$H$84,'326'!$H$86,'326'!$H$88,'326'!$H$90,'326'!$H$92,'326'!$H$94:$H$96,'326'!$H$98:$H$100,'326'!$H$102:$H$103,'326'!$H$105:$H$108,'326'!$H$110,'326'!$H$112,'326'!$H$114</definedName>
    <definedName name="OSRRefH22x_0" localSheetId="36">'327'!$H$24,'327'!$H$26</definedName>
    <definedName name="OSRRefH22x_0" localSheetId="23">'331'!$H$90:$H$97,'331'!$H$99:$H$104,'331'!$H$106,'331'!$H$108,'331'!$H$110,'331'!$H$112:$H$113,'331'!$H$115,'331'!$H$117,'331'!$H$119:$H$120,'331'!$H$122,'331'!$H$124,'331'!$H$126:$H$127,'331'!$H$129,'331'!$H$131,'331'!$H$133:$H$135,'331'!$H$137:$H$138,'331'!$H$140:$H$142,'331'!$H$144:$H$145,'331'!$H$147:$H$152,'331'!$H$154,'331'!$H$156,'331'!$H$158,'331'!$H$160</definedName>
    <definedName name="OSRRefH22x_0" localSheetId="26">'332'!$H$36:$H$43,'332'!$H$45:$H$48,'332'!$H$50,'332'!$H$52,'332'!$H$54,'332'!$H$56,'332'!$H$58:$H$59,'332'!$H$61,'332'!$H$63,'332'!$H$65:$H$67,'332'!$H$69,'332'!$H$71,'332'!$H$73:$H$78,'332'!$H$80,'332'!$H$82</definedName>
    <definedName name="OSRRefH22x_0" localSheetId="21">'333'!$H$99:$H$106,'333'!$H$108:$H$113,'333'!$H$115,'333'!$H$117,'333'!$H$119,'333'!$H$121:$H$122,'333'!$H$124,'333'!$H$126,'333'!$H$128:$H$129,'333'!$H$131,'333'!$H$133,'333'!$H$135:$H$136,'333'!$H$138,'333'!$H$140,'333'!$H$142:$H$144,'333'!$H$146:$H$147,'333'!$H$149:$H$152,'333'!$H$154:$H$155,'333'!$H$157:$H$162,'333'!$H$164,'333'!$H$166,'333'!$H$168,'333'!$H$170</definedName>
    <definedName name="OSRRefH22x_0" localSheetId="40">'405'!$H$24:$H$31,'405'!$H$33:$H$36,'405'!$H$38,'405'!$H$40,'405'!$H$42,'405'!$H$44:$H$45,'405'!$H$47,'405'!$H$49,'405'!$H$51,'405'!$H$53,'405'!$H$55:$H$56,'405'!$H$58:$H$61,'405'!$H$63,'405'!$H$65:$H$73,'405'!$H$75,'405'!$H$77,'405'!$H$79</definedName>
    <definedName name="OSRRefH22x_0" localSheetId="41">'406'!$H$20,'406'!$H$22,'406'!$H$24,'406'!$H$26,'406'!$H$28</definedName>
    <definedName name="OSRRefH22x_0" localSheetId="42">'411'!$H$20:$H$27,'411'!$H$29:$H$33,'411'!$H$35,'411'!$H$37,'411'!$H$39:$H$40,'411'!$H$42,'411'!$H$44,'411'!$H$46,'411'!$H$48,'411'!$H$50,'411'!$H$52,'411'!$H$54:$H$57,'411'!$H$59:$H$61,'411'!$H$63,'411'!$H$65:$H$67,'411'!$H$69,'411'!$H$71,'411'!$H$73:$H$74,'411'!$H$76</definedName>
    <definedName name="OSRRefH22x_0" localSheetId="43">'412'!$H$21,'412'!$H$23,'412'!$H$25,'412'!$H$27:$H$28,'412'!$H$30,'412'!$H$32,'412'!$H$34</definedName>
    <definedName name="OSRRefH22x_0" localSheetId="44">'413'!$H$20:$H$24,'413'!$H$26,'413'!$H$28,'413'!$H$30:$H$31,'413'!$H$33,'413'!$H$35</definedName>
    <definedName name="OSRRefH22x_0" localSheetId="45">'414'!$H$22,'414'!$H$24,'414'!$H$26,'414'!$H$28,'414'!$H$30,'414'!$H$32:$H$33</definedName>
    <definedName name="OSRRefH22x_0" localSheetId="46">'415'!$H$24:$H$32,'415'!$H$34:$H$38,'415'!$H$40,'415'!$H$42,'415'!$H$44,'415'!$H$46:$H$47,'415'!$H$49,'415'!$H$51,'415'!$H$53,'415'!$H$55,'415'!$H$57,'415'!$H$59:$H$61,'415'!$H$63:$H$66,'415'!$H$68,'415'!$H$70:$H$76,'415'!$H$78,'415'!$H$80,'415'!$H$82</definedName>
    <definedName name="OSRRefH22x_0" localSheetId="47">'418'!$H$21:$H$28,'418'!$H$30:$H$33,'418'!$H$35,'418'!$H$37,'418'!$H$39:$H$40,'418'!$H$42,'418'!$H$44,'418'!$H$46,'418'!$H$48:$H$49,'418'!$H$51,'418'!$H$53,'418'!$H$55:$H$61,'418'!$H$63,'418'!$H$65</definedName>
    <definedName name="OSRRefH22x_0" localSheetId="48">'420'!$H$22,'420'!$H$24</definedName>
    <definedName name="OSRRefH22x_0" localSheetId="49">'423'!$H$20:$H$21,'423'!$H$23,'423'!$H$25,'423'!$H$27</definedName>
    <definedName name="OSRRefH22x_0" localSheetId="50">'424'!$H$21,'424'!$H$23,'424'!$H$25,'424'!$H$27</definedName>
    <definedName name="OSRRefH22x_0" localSheetId="51">'425'!$H$22:$H$26,'425'!$H$28,'425'!$H$30,'425'!$H$32,'425'!$H$34,'425'!$H$36:$H$37,'425'!$H$39,'425'!$H$41:$H$43,'425'!$H$45</definedName>
    <definedName name="OSRRefH22x_0" localSheetId="54">'430'!$H$20:$H$27,'430'!$H$29,'430'!$H$31,'430'!$H$33,'430'!$H$35,'430'!$H$37:$H$39,'430'!$H$41,'430'!$H$43,'430'!$H$45</definedName>
    <definedName name="OSRRefH22x_0" localSheetId="55">'433'!$H$25:$H$33,'433'!$H$35:$H$40,'433'!$H$42,'433'!$H$44,'433'!$H$46,'433'!$H$48,'433'!$H$50,'433'!$H$52,'433'!$H$54,'433'!$H$56,'433'!$H$58,'433'!$H$60:$H$61,'433'!$H$63:$H$65,'433'!$H$67:$H$74,'433'!$H$76,'433'!$H$78</definedName>
    <definedName name="OSRRefH22x_0" localSheetId="56">'435'!$H$23:$H$24,'435'!$H$26,'435'!$H$28,'435'!$H$30,'435'!$H$32,'435'!$H$34</definedName>
    <definedName name="OSRRefH22x_0" localSheetId="57">'444'!$H$25:$H$33,'444'!$H$35:$H$40,'444'!$H$42,'444'!$H$44,'444'!$H$46,'444'!$H$48,'444'!$H$50,'444'!$H$52,'444'!$H$54,'444'!$H$56,'444'!$H$58,'444'!$H$60:$H$61,'444'!$H$63:$H$66,'444'!$H$68,'444'!$H$70:$H$77,'444'!$H$79,'444'!$H$81,'444'!$H$83</definedName>
    <definedName name="OSRRefH22x_0" localSheetId="58">'450'!$H$25:$H$33,'450'!$H$35:$H$39,'450'!$H$41,'450'!$H$43,'450'!$H$45,'450'!$H$47,'450'!$H$49,'450'!$H$51,'450'!$H$53,'450'!$H$55,'450'!$H$57,'450'!$H$59,'450'!$H$61:$H$62,'450'!$H$64:$H$66,'450'!$H$68:$H$73,'450'!$H$75,'450'!$H$77,'450'!$H$79</definedName>
    <definedName name="OSRRefH22x_0" localSheetId="39">'491'!$H$28:$H$36,'491'!$H$38:$H$43,'491'!$H$45,'491'!$H$47,'491'!$H$49,'491'!$H$51:$H$52,'491'!$H$54,'491'!$H$56,'491'!$H$58,'491'!$H$60,'491'!$H$62,'491'!$H$64,'491'!$H$66,'491'!$H$68,'491'!$H$70:$H$73,'491'!$H$75,'491'!$H$77:$H$80,'491'!$H$82,'491'!$H$84:$H$92,'491'!$H$94,'491'!$H$96,'491'!$H$98:$H$99,'491'!$H$101</definedName>
    <definedName name="OSRRefH22x_0" localSheetId="53">'492'!$H$27:$H$35,'492'!$H$37:$H$43,'492'!$H$45,'492'!$H$47,'492'!$H$49,'492'!$H$51,'492'!$H$53,'492'!$H$55,'492'!$H$57,'492'!$H$59,'492'!$H$61,'492'!$H$63,'492'!$H$65:$H$67,'492'!$H$69:$H$72,'492'!$H$74,'492'!$H$76:$H$83,'492'!$H$85,'492'!$H$87,'492'!$H$89:$H$91</definedName>
    <definedName name="OSRRefH22x_0" localSheetId="60">'501'!$H$21:$H$29,'501'!$H$31:$H$36,'501'!$H$38,'501'!$H$40,'501'!$H$42:$H$43,'501'!$H$45,'501'!$H$47,'501'!$H$49:$H$52,'501'!$H$54,'501'!$H$56:$H$57,'501'!$H$59,'501'!$H$61</definedName>
    <definedName name="OSRRefH22x_0" localSheetId="5">'Div 2'!$H$20:$H$30,'Div 2'!$H$32:$H$37,'Div 2'!$H$39,'Div 2'!$H$41,'Div 2'!$H$43,'Div 2'!$H$45,'Div 2'!$H$47,'Div 2'!$H$49,'Div 2'!$H$51,'Div 2'!$H$53:$H$54,'Div 2'!$H$56,'Div 2'!$H$58,'Div 2'!$H$60:$H$62,'Div 2'!$H$64:$H$67,'Div 2'!$H$69,'Div 2'!$H$71:$H$72,'Div 2'!$H$74:$H$78,'Div 2'!$H$80:$H$81,'Div 2'!$H$83,'Div 2'!$H$85:$H$86</definedName>
    <definedName name="OSRRefH22x_0" localSheetId="13">'Div 3'!$H$145:$H$154,'Div 3'!$H$156:$H$162,'Div 3'!$H$164,'Div 3'!$H$166:$H$167,'Div 3'!$H$169,'Div 3'!$H$171:$H$172,'Div 3'!$H$174:$H$175,'Div 3'!$H$177,'Div 3'!$H$179,'Div 3'!$H$181,'Div 3'!$H$183:$H$184,'Div 3'!$H$186,'Div 3'!$H$188,'Div 3'!$H$190,'Div 3'!$H$192:$H$193,'Div 3'!$H$195,'Div 3'!$H$197,'Div 3'!$H$199:$H$202,'Div 3'!$H$204:$H$206,'Div 3'!$H$208:$H$212,'Div 3'!$H$214:$H$215,'Div 3'!$H$217:$H$223,'Div 3'!$H$225:$H$226,'Div 3'!$H$228,'Div 3'!$H$230:$H$232,'Div 3'!$H$234</definedName>
    <definedName name="OSRRefH22x_0" localSheetId="37">'Div 4'!$H$31:$H$39,'Div 4'!$H$41:$H$47,'Div 4'!$H$49,'Div 4'!$H$51,'Div 4'!$H$53,'Div 4'!$H$55:$H$56,'Div 4'!$H$58,'Div 4'!$H$60,'Div 4'!$H$62,'Div 4'!$H$64,'Div 4'!$H$66,'Div 4'!$H$68,'Div 4'!$H$70,'Div 4'!$H$72,'Div 4'!$H$74,'Div 4'!$H$76,'Div 4'!$H$78:$H$81,'Div 4'!$H$83,'Div 4'!$H$85:$H$88,'Div 4'!$H$90:$H$91,'Div 4'!$H$93:$H$101,'Div 4'!$H$103,'Div 4'!$H$105,'Div 4'!$H$107:$H$109,'Div 4'!$H$111</definedName>
    <definedName name="OSRRefH22x_0" localSheetId="59">'Div 5'!$H$21:$H$29,'Div 5'!$H$31:$H$36,'Div 5'!$H$38,'Div 5'!$H$40,'Div 5'!$H$42:$H$43,'Div 5'!$H$45,'Div 5'!$H$47,'Div 5'!$H$49:$H$52,'Div 5'!$H$54,'Div 5'!$H$56:$H$57,'Div 5'!$H$59,'Div 5'!$H$61</definedName>
    <definedName name="OSRRefH22x_0" localSheetId="28">'Div 6'!$H$57:$H$65,'Div 6'!$H$67:$H$71,'Div 6'!$H$73,'Div 6'!$H$75,'Div 6'!$H$77,'Div 6'!$H$79:$H$80,'Div 6'!$H$82,'Div 6'!$H$84,'Div 6'!$H$86:$H$87,'Div 6'!$H$89,'Div 6'!$H$91:$H$94,'Div 6'!$H$96,'Div 6'!$H$98</definedName>
    <definedName name="OSRRefH22x_0" localSheetId="2">Summary!$H$172:$H$181,Summary!$H$183:$H$189,Summary!$H$191,Summary!$H$193:$H$194,Summary!$H$196,Summary!$H$198:$H$199,Summary!$H$201:$H$202,Summary!$H$204,Summary!$H$206,Summary!$H$208,Summary!$H$210:$H$211,Summary!$H$213,Summary!$H$215,Summary!$H$217,Summary!$H$219:$H$220,Summary!$H$222,Summary!$H$224,Summary!$H$226,Summary!$H$228:$H$231,Summary!$H$233:$H$235,Summary!$H$237:$H$241,Summary!$H$243:$H$244,Summary!$H$246:$H$254,Summary!$H$256:$H$257,Summary!$H$259,Summary!$H$261:$H$263,Summary!$H$265</definedName>
    <definedName name="OSRRefH25x_0" localSheetId="14">'300'!$H$227:$H$231</definedName>
    <definedName name="OSRRefH25x_0" localSheetId="15">'300 &amp; 317'!$H$249:$H$255</definedName>
    <definedName name="OSRRefH25x_0" localSheetId="16">'301'!$H$100</definedName>
    <definedName name="OSRRefH25x_0" localSheetId="18">'308'!$H$115:$H$117</definedName>
    <definedName name="OSRRefH25x_0" localSheetId="38">'310 &amp; 491'!$H$115:$H$117</definedName>
    <definedName name="OSRRefH25x_0" localSheetId="19">'311'!$H$115:$H$117</definedName>
    <definedName name="OSRRefH25x_0" localSheetId="24">'315'!$H$145:$H$147</definedName>
    <definedName name="OSRRefH25x_0" localSheetId="27">'316'!$H$83</definedName>
    <definedName name="OSRRefH25x_0" localSheetId="29">'317'!$H$101:$H$103</definedName>
    <definedName name="OSRRefH25x_0" localSheetId="23">'331'!$H$163:$H$165</definedName>
    <definedName name="OSRRefH25x_0" localSheetId="26">'332'!$H$85:$H$86</definedName>
    <definedName name="OSRRefH25x_0" localSheetId="21">'333'!$H$173:$H$175</definedName>
    <definedName name="OSRRefH25x_0" localSheetId="40">'405'!$H$82</definedName>
    <definedName name="OSRRefH25x_0" localSheetId="42">'411'!$H$79:$H$80</definedName>
    <definedName name="OSRRefH25x_0" localSheetId="46">'415'!$H$85</definedName>
    <definedName name="OSRRefH25x_0" localSheetId="47">'418'!$H$68</definedName>
    <definedName name="OSRRefH25x_0" localSheetId="49">'423'!$H$30</definedName>
    <definedName name="OSRRefH25x_0" localSheetId="52">'455'!$H$21:$H$22</definedName>
    <definedName name="OSRRefH25x_0" localSheetId="39">'491'!$H$104:$H$106</definedName>
    <definedName name="OSRRefH25x_0" localSheetId="60">'501'!$H$64</definedName>
    <definedName name="OSRRefH25x_0" localSheetId="13">'Div 3'!$H$237:$H$241</definedName>
    <definedName name="OSRRefH25x_0" localSheetId="37">'Div 4'!$H$114:$H$116</definedName>
    <definedName name="OSRRefH25x_0" localSheetId="59">'Div 5'!$H$64</definedName>
    <definedName name="OSRRefH25x_0" localSheetId="28">'Div 6'!$H$101:$H$103</definedName>
    <definedName name="OSRRefH25x_0" localSheetId="2">Summary!$H$268:$H$276</definedName>
    <definedName name="OSRRefP13x_0" localSheetId="14">'300'!$P$13:$P$81</definedName>
    <definedName name="OSRRefP13x_0" localSheetId="15">'300 &amp; 317'!$P$13:$P$96</definedName>
    <definedName name="OSRRefP13x_0" localSheetId="22">'307'!$P$13:$P$25</definedName>
    <definedName name="OSRRefP13x_0" localSheetId="18">'308'!$P$13:$P$38</definedName>
    <definedName name="OSRRefP13x_0" localSheetId="32">'309'!$P$13:$P$16</definedName>
    <definedName name="OSRRefP13x_0" localSheetId="30">'310'!$P$13:$P$23</definedName>
    <definedName name="OSRRefP13x_0" localSheetId="38">'310 &amp; 491'!$P$13:$P$26</definedName>
    <definedName name="OSRRefP13x_0" localSheetId="19">'311'!$P$13:$P$38</definedName>
    <definedName name="OSRRefP13x_0" localSheetId="31">'313'!$P$13:$P$16</definedName>
    <definedName name="OSRRefP13x_0" localSheetId="24">'315'!$P$13:$P$55</definedName>
    <definedName name="OSRRefP13x_0" localSheetId="27">'316'!$P$13:$P$25</definedName>
    <definedName name="OSRRefP13x_0" localSheetId="29">'317'!$P$13:$P$34</definedName>
    <definedName name="OSRRefP13x_0" localSheetId="33">'321'!$P$13:$P$16</definedName>
    <definedName name="OSRRefP13x_0" localSheetId="20">'324'!$P$13:$P$16</definedName>
    <definedName name="OSRRefP13x_0" localSheetId="35">'325'!$P$13:$P$14</definedName>
    <definedName name="OSRRefP13x_0" localSheetId="25">'326'!$P$13:$P$36</definedName>
    <definedName name="OSRRefP13x_0" localSheetId="36">'327'!$P$13:$P$14</definedName>
    <definedName name="OSRRefP13x_0" localSheetId="23">'331'!$P$13:$P$55</definedName>
    <definedName name="OSRRefP13x_0" localSheetId="26">'332'!$P$13:$P$25</definedName>
    <definedName name="OSRRefP13x_0" localSheetId="21">'333'!$P$13:$P$57</definedName>
    <definedName name="OSRRefP13x_0" localSheetId="40">'405'!$P$13:$P$14</definedName>
    <definedName name="OSRRefP13x_0" localSheetId="45">'414'!$P$13</definedName>
    <definedName name="OSRRefP13x_0" localSheetId="46">'415'!$P$13:$P$14</definedName>
    <definedName name="OSRRefP13x_0" localSheetId="48">'420'!$P$13:$P$14</definedName>
    <definedName name="OSRRefP13x_0" localSheetId="51">'425'!$P$13</definedName>
    <definedName name="OSRRefP13x_0" localSheetId="55">'433'!$P$13:$P$15</definedName>
    <definedName name="OSRRefP13x_0" localSheetId="56">'435'!$P$13:$P$14</definedName>
    <definedName name="OSRRefP13x_0" localSheetId="57">'444'!$P$13:$P$15</definedName>
    <definedName name="OSRRefP13x_0" localSheetId="58">'450'!$P$13:$P$15</definedName>
    <definedName name="OSRRefP13x_0" localSheetId="39">'491'!$P$13:$P$18</definedName>
    <definedName name="OSRRefP13x_0" localSheetId="53">'492'!$P$13:$P$17</definedName>
    <definedName name="OSRRefP13x_0" localSheetId="60">'501'!$P$13</definedName>
    <definedName name="OSRRefP13x_0" localSheetId="13">'Div 3'!$P$13:$P$86</definedName>
    <definedName name="OSRRefP13x_0" localSheetId="37">'Div 4'!$P$13:$P$21</definedName>
    <definedName name="OSRRefP13x_0" localSheetId="59">'Div 5'!$P$13</definedName>
    <definedName name="OSRRefP13x_0" localSheetId="28">'Div 6'!$P$13:$P$34</definedName>
    <definedName name="OSRRefP13x_0" localSheetId="2">Summary!$P$13:$P$106</definedName>
    <definedName name="OSRRefP16x_0" localSheetId="14">'300'!$P$84:$P$132</definedName>
    <definedName name="OSRRefP16x_0" localSheetId="15">'300 &amp; 317'!$P$99:$P$154</definedName>
    <definedName name="OSRRefP16x_0" localSheetId="16">'301'!$P$15:$P$16</definedName>
    <definedName name="OSRRefP16x_0" localSheetId="22">'307'!$P$28:$P$48</definedName>
    <definedName name="OSRRefP16x_0" localSheetId="18">'308'!$P$41:$P$57</definedName>
    <definedName name="OSRRefP16x_0" localSheetId="32">'309'!$P$19:$P$21</definedName>
    <definedName name="OSRRefP16x_0" localSheetId="30">'310'!$P$26:$P$28</definedName>
    <definedName name="OSRRefP16x_0" localSheetId="38">'310 &amp; 491'!$P$29:$P$31</definedName>
    <definedName name="OSRRefP16x_0" localSheetId="19">'311'!$P$41:$P$57</definedName>
    <definedName name="OSRRefP16x_0" localSheetId="31">'313'!$P$19</definedName>
    <definedName name="OSRRefP16x_0" localSheetId="24">'315'!$P$58:$P$82</definedName>
    <definedName name="OSRRefP16x_0" localSheetId="27">'316'!$P$28</definedName>
    <definedName name="OSRRefP16x_0" localSheetId="29">'317'!$P$37:$P$51</definedName>
    <definedName name="OSRRefP16x_0" localSheetId="33">'321'!$P$19:$P$21</definedName>
    <definedName name="OSRRefP16x_0" localSheetId="34">'322'!$P$15</definedName>
    <definedName name="OSRRefP16x_0" localSheetId="20">'324'!$P$19:$P$21</definedName>
    <definedName name="OSRRefP16x_0" localSheetId="35">'325'!$P$17:$P$18</definedName>
    <definedName name="OSRRefP16x_0" localSheetId="25">'326'!$P$39:$P$54</definedName>
    <definedName name="OSRRefP16x_0" localSheetId="36">'327'!$P$17:$P$18</definedName>
    <definedName name="OSRRefP16x_0" localSheetId="23">'331'!$P$58:$P$84</definedName>
    <definedName name="OSRRefP16x_0" localSheetId="26">'332'!$P$28:$P$30</definedName>
    <definedName name="OSRRefP16x_0" localSheetId="21">'333'!$P$60:$P$93</definedName>
    <definedName name="OSRRefP16x_0" localSheetId="40">'405'!$P$17:$P$18</definedName>
    <definedName name="OSRRefP16x_0" localSheetId="43">'412'!$P$15</definedName>
    <definedName name="OSRRefP16x_0" localSheetId="45">'414'!$P$16</definedName>
    <definedName name="OSRRefP16x_0" localSheetId="46">'415'!$P$17:$P$18</definedName>
    <definedName name="OSRRefP16x_0" localSheetId="47">'418'!$P$15</definedName>
    <definedName name="OSRRefP16x_0" localSheetId="50">'424'!$P$15</definedName>
    <definedName name="OSRRefP16x_0" localSheetId="51">'425'!$P$16</definedName>
    <definedName name="OSRRefP16x_0" localSheetId="55">'433'!$P$18:$P$19</definedName>
    <definedName name="OSRRefP16x_0" localSheetId="56">'435'!$P$17</definedName>
    <definedName name="OSRRefP16x_0" localSheetId="57">'444'!$P$18:$P$19</definedName>
    <definedName name="OSRRefP16x_0" localSheetId="58">'450'!$P$18:$P$19</definedName>
    <definedName name="OSRRefP16x_0" localSheetId="39">'491'!$P$21:$P$22</definedName>
    <definedName name="OSRRefP16x_0" localSheetId="53">'492'!$P$20:$P$21</definedName>
    <definedName name="OSRRefP16x_0" localSheetId="13">'Div 3'!$P$89:$P$139</definedName>
    <definedName name="OSRRefP16x_0" localSheetId="37">'Div 4'!$P$24:$P$25</definedName>
    <definedName name="OSRRefP16x_0" localSheetId="28">'Div 6'!$P$37:$P$51</definedName>
    <definedName name="OSRRefP16x_0" localSheetId="2">Summary!$P$109:$P$166</definedName>
    <definedName name="OSRRefP22_0x_0" localSheetId="6">'200'!$P$20:$P$21</definedName>
    <definedName name="OSRRefP22_0x_0" localSheetId="7">'201'!$P$20:$P$27</definedName>
    <definedName name="OSRRefP22_0x_0" localSheetId="8">'202'!$P$20:$P$27</definedName>
    <definedName name="OSRRefP22_0x_0" localSheetId="9">'203'!$P$20:$P$29</definedName>
    <definedName name="OSRRefP22_0x_0" localSheetId="10">'204'!$P$20:$P$28</definedName>
    <definedName name="OSRRefP22_0x_0" localSheetId="11">'205'!$P$20:$P$27</definedName>
    <definedName name="OSRRefP22_0x_0" localSheetId="12">'206'!$P$20:$P$27</definedName>
    <definedName name="OSRRefP22_0x_0" localSheetId="14">'300'!$P$138:$P$147</definedName>
    <definedName name="OSRRefP22_0x_0" localSheetId="15">'300 &amp; 317'!$P$160:$P$169</definedName>
    <definedName name="OSRRefP22_0x_0" localSheetId="16">'301'!$P$22:$P$31</definedName>
    <definedName name="OSRRefP22_0x_0" localSheetId="17">'306'!$P$20:$P$23</definedName>
    <definedName name="OSRRefP22_0x_0" localSheetId="22">'307'!$P$54:$P$60</definedName>
    <definedName name="OSRRefP22_0x_0" localSheetId="18">'308'!$P$63:$P$71</definedName>
    <definedName name="OSRRefP22_0x_0" localSheetId="32">'309'!$P$27:$P$28</definedName>
    <definedName name="OSRRefP22_0x_0" localSheetId="30">'310'!$P$34:$P$42</definedName>
    <definedName name="OSRRefP22_0x_0" localSheetId="38">'310 &amp; 491'!$P$37:$P$45</definedName>
    <definedName name="OSRRefP22_0x_0" localSheetId="19">'311'!$P$63:$P$71</definedName>
    <definedName name="OSRRefP22_0x_0" localSheetId="31">'313'!$P$25:$P$32</definedName>
    <definedName name="OSRRefP22_0x_0" localSheetId="24">'315'!$P$88:$P$95</definedName>
    <definedName name="OSRRefP22_0x_0" localSheetId="27">'316'!$P$34:$P$41</definedName>
    <definedName name="OSRRefP22_0x_0" localSheetId="29">'317'!$P$57:$P$65</definedName>
    <definedName name="OSRRefP22_0x_0" localSheetId="33">'321'!$P$27:$P$35</definedName>
    <definedName name="OSRRefP22_0x_0" localSheetId="34">'322'!$P$21:$P$25</definedName>
    <definedName name="OSRRefP22_0x_0" localSheetId="35">'325'!$P$24:$P$31</definedName>
    <definedName name="OSRRefP22_0x_0" localSheetId="25">'326'!$P$60:$P$67</definedName>
    <definedName name="OSRRefP22_0x_0" localSheetId="36">'327'!$P$24</definedName>
    <definedName name="OSRRefP22_0x_0" localSheetId="23">'331'!$P$90:$P$97</definedName>
    <definedName name="OSRRefP22_0x_0" localSheetId="26">'332'!$P$36:$P$43</definedName>
    <definedName name="OSRRefP22_0x_0" localSheetId="21">'333'!$P$99:$P$106</definedName>
    <definedName name="OSRRefP22_0x_0" localSheetId="40">'405'!$P$24:$P$31</definedName>
    <definedName name="OSRRefP22_0x_0" localSheetId="41">'406'!$P$20</definedName>
    <definedName name="OSRRefP22_0x_0" localSheetId="42">'411'!$P$20:$P$27</definedName>
    <definedName name="OSRRefP22_0x_0" localSheetId="43">'412'!$P$21</definedName>
    <definedName name="OSRRefP22_0x_0" localSheetId="44">'413'!$P$20:$P$24</definedName>
    <definedName name="OSRRefP22_0x_0" localSheetId="45">'414'!$P$22</definedName>
    <definedName name="OSRRefP22_0x_0" localSheetId="46">'415'!$P$24:$P$32</definedName>
    <definedName name="OSRRefP22_0x_0" localSheetId="47">'418'!$P$21:$P$28</definedName>
    <definedName name="OSRRefP22_0x_0" localSheetId="48">'420'!$P$22</definedName>
    <definedName name="OSRRefP22_0x_0" localSheetId="49">'423'!$P$20:$P$21</definedName>
    <definedName name="OSRRefP22_0x_0" localSheetId="50">'424'!$P$21</definedName>
    <definedName name="OSRRefP22_0x_0" localSheetId="51">'425'!$P$22:$P$26</definedName>
    <definedName name="OSRRefP22_0x_0" localSheetId="54">'430'!$P$20:$P$27</definedName>
    <definedName name="OSRRefP22_0x_0" localSheetId="55">'433'!$P$25:$P$33</definedName>
    <definedName name="OSRRefP22_0x_0" localSheetId="56">'435'!$P$23:$P$24</definedName>
    <definedName name="OSRRefP22_0x_0" localSheetId="57">'444'!$P$25:$P$33</definedName>
    <definedName name="OSRRefP22_0x_0" localSheetId="58">'450'!$P$25:$P$33</definedName>
    <definedName name="OSRRefP22_0x_0" localSheetId="39">'491'!$P$28:$P$36</definedName>
    <definedName name="OSRRefP22_0x_0" localSheetId="53">'492'!$P$27:$P$35</definedName>
    <definedName name="OSRRefP22_0x_0" localSheetId="60">'501'!$P$21:$P$29</definedName>
    <definedName name="OSRRefP22_0x_0" localSheetId="5">'Div 2'!$P$20:$P$30</definedName>
    <definedName name="OSRRefP22_0x_0" localSheetId="13">'Div 3'!$P$145:$P$154</definedName>
    <definedName name="OSRRefP22_0x_0" localSheetId="37">'Div 4'!$P$31:$P$39</definedName>
    <definedName name="OSRRefP22_0x_0" localSheetId="59">'Div 5'!$P$21:$P$29</definedName>
    <definedName name="OSRRefP22_0x_0" localSheetId="28">'Div 6'!$P$57:$P$65</definedName>
    <definedName name="OSRRefP22_0x_0" localSheetId="2">Summary!$P$172:$P$181</definedName>
    <definedName name="OSRRefP22_10x_0" localSheetId="7">'201'!$P$50:$P$52</definedName>
    <definedName name="OSRRefP22_10x_0" localSheetId="8">'202'!$P$52:$P$54</definedName>
    <definedName name="OSRRefP22_10x_0" localSheetId="9">'203'!$P$56:$P$59</definedName>
    <definedName name="OSRRefP22_10x_0" localSheetId="14">'300'!$P$176:$P$177</definedName>
    <definedName name="OSRRefP22_10x_0" localSheetId="15">'300 &amp; 317'!$P$198:$P$199</definedName>
    <definedName name="OSRRefP22_10x_0" localSheetId="16">'301'!$P$60</definedName>
    <definedName name="OSRRefP22_10x_0" localSheetId="22">'307'!$P$86</definedName>
    <definedName name="OSRRefP22_10x_0" localSheetId="18">'308'!$P$101:$P$102</definedName>
    <definedName name="OSRRefP22_10x_0" localSheetId="32">'309'!$P$51:$P$52</definedName>
    <definedName name="OSRRefP22_10x_0" localSheetId="30">'310'!$P$68</definedName>
    <definedName name="OSRRefP22_10x_0" localSheetId="38">'310 &amp; 491'!$P$73</definedName>
    <definedName name="OSRRefP22_10x_0" localSheetId="19">'311'!$P$101:$P$102</definedName>
    <definedName name="OSRRefP22_10x_0" localSheetId="24">'315'!$P$123:$P$124</definedName>
    <definedName name="OSRRefP22_10x_0" localSheetId="27">'316'!$P$67</definedName>
    <definedName name="OSRRefP22_10x_0" localSheetId="29">'317'!$P$91:$P$94</definedName>
    <definedName name="OSRRefP22_10x_0" localSheetId="33">'321'!$P$63:$P$67</definedName>
    <definedName name="OSRRefP22_10x_0" localSheetId="35">'325'!$P$54</definedName>
    <definedName name="OSRRefP22_10x_0" localSheetId="25">'326'!$P$92</definedName>
    <definedName name="OSRRefP22_10x_0" localSheetId="23">'331'!$P$124</definedName>
    <definedName name="OSRRefP22_10x_0" localSheetId="26">'332'!$P$69</definedName>
    <definedName name="OSRRefP22_10x_0" localSheetId="21">'333'!$P$133</definedName>
    <definedName name="OSRRefP22_10x_0" localSheetId="40">'405'!$P$55:$P$56</definedName>
    <definedName name="OSRRefP22_10x_0" localSheetId="42">'411'!$P$52</definedName>
    <definedName name="OSRRefP22_10x_0" localSheetId="46">'415'!$P$57</definedName>
    <definedName name="OSRRefP22_10x_0" localSheetId="47">'418'!$P$53</definedName>
    <definedName name="OSRRefP22_10x_0" localSheetId="55">'433'!$P$58</definedName>
    <definedName name="OSRRefP22_10x_0" localSheetId="57">'444'!$P$58</definedName>
    <definedName name="OSRRefP22_10x_0" localSheetId="58">'450'!$P$57</definedName>
    <definedName name="OSRRefP22_10x_0" localSheetId="39">'491'!$P$62</definedName>
    <definedName name="OSRRefP22_10x_0" localSheetId="53">'492'!$P$61</definedName>
    <definedName name="OSRRefP22_10x_0" localSheetId="60">'501'!$P$59</definedName>
    <definedName name="OSRRefP22_10x_0" localSheetId="5">'Div 2'!$P$56</definedName>
    <definedName name="OSRRefP22_10x_0" localSheetId="13">'Div 3'!$P$183:$P$184</definedName>
    <definedName name="OSRRefP22_10x_0" localSheetId="37">'Div 4'!$P$66</definedName>
    <definedName name="OSRRefP22_10x_0" localSheetId="59">'Div 5'!$P$59</definedName>
    <definedName name="OSRRefP22_10x_0" localSheetId="28">'Div 6'!$P$91:$P$94</definedName>
    <definedName name="OSRRefP22_10x_0" localSheetId="2">Summary!$P$210:$P$211</definedName>
    <definedName name="OSRRefP22_11x_0" localSheetId="7">'201'!$P$54:$P$56</definedName>
    <definedName name="OSRRefP22_11x_0" localSheetId="8">'202'!$P$56</definedName>
    <definedName name="OSRRefP22_11x_0" localSheetId="9">'203'!$P$61</definedName>
    <definedName name="OSRRefP22_11x_0" localSheetId="14">'300'!$P$179</definedName>
    <definedName name="OSRRefP22_11x_0" localSheetId="15">'300 &amp; 317'!$P$201</definedName>
    <definedName name="OSRRefP22_11x_0" localSheetId="16">'301'!$P$62</definedName>
    <definedName name="OSRRefP22_11x_0" localSheetId="22">'307'!$P$88:$P$91</definedName>
    <definedName name="OSRRefP22_11x_0" localSheetId="18">'308'!$P$104:$P$105</definedName>
    <definedName name="OSRRefP22_11x_0" localSheetId="32">'309'!$P$54</definedName>
    <definedName name="OSRRefP22_11x_0" localSheetId="30">'310'!$P$70</definedName>
    <definedName name="OSRRefP22_11x_0" localSheetId="38">'310 &amp; 491'!$P$75</definedName>
    <definedName name="OSRRefP22_11x_0" localSheetId="19">'311'!$P$104:$P$105</definedName>
    <definedName name="OSRRefP22_11x_0" localSheetId="24">'315'!$P$126:$P$127</definedName>
    <definedName name="OSRRefP22_11x_0" localSheetId="27">'316'!$P$69</definedName>
    <definedName name="OSRRefP22_11x_0" localSheetId="29">'317'!$P$96</definedName>
    <definedName name="OSRRefP22_11x_0" localSheetId="33">'321'!$P$69</definedName>
    <definedName name="OSRRefP22_11x_0" localSheetId="35">'325'!$P$56:$P$57</definedName>
    <definedName name="OSRRefP22_11x_0" localSheetId="25">'326'!$P$94:$P$96</definedName>
    <definedName name="OSRRefP22_11x_0" localSheetId="23">'331'!$P$126:$P$127</definedName>
    <definedName name="OSRRefP22_11x_0" localSheetId="26">'332'!$P$71</definedName>
    <definedName name="OSRRefP22_11x_0" localSheetId="21">'333'!$P$135:$P$136</definedName>
    <definedName name="OSRRefP22_11x_0" localSheetId="40">'405'!$P$58:$P$61</definedName>
    <definedName name="OSRRefP22_11x_0" localSheetId="42">'411'!$P$54:$P$57</definedName>
    <definedName name="OSRRefP22_11x_0" localSheetId="46">'415'!$P$59:$P$61</definedName>
    <definedName name="OSRRefP22_11x_0" localSheetId="47">'418'!$P$55:$P$61</definedName>
    <definedName name="OSRRefP22_11x_0" localSheetId="55">'433'!$P$60:$P$61</definedName>
    <definedName name="OSRRefP22_11x_0" localSheetId="57">'444'!$P$60:$P$61</definedName>
    <definedName name="OSRRefP22_11x_0" localSheetId="58">'450'!$P$59</definedName>
    <definedName name="OSRRefP22_11x_0" localSheetId="39">'491'!$P$64</definedName>
    <definedName name="OSRRefP22_11x_0" localSheetId="53">'492'!$P$63</definedName>
    <definedName name="OSRRefP22_11x_0" localSheetId="60">'501'!$P$61</definedName>
    <definedName name="OSRRefP22_11x_0" localSheetId="5">'Div 2'!$P$58</definedName>
    <definedName name="OSRRefP22_11x_0" localSheetId="13">'Div 3'!$P$186</definedName>
    <definedName name="OSRRefP22_11x_0" localSheetId="37">'Div 4'!$P$68</definedName>
    <definedName name="OSRRefP22_11x_0" localSheetId="59">'Div 5'!$P$61</definedName>
    <definedName name="OSRRefP22_11x_0" localSheetId="28">'Div 6'!$P$96</definedName>
    <definedName name="OSRRefP22_11x_0" localSheetId="2">Summary!$P$213</definedName>
    <definedName name="OSRRefP22_12x_0" localSheetId="7">'201'!$P$58</definedName>
    <definedName name="OSRRefP22_12x_0" localSheetId="8">'202'!$P$58</definedName>
    <definedName name="OSRRefP22_12x_0" localSheetId="9">'203'!$P$63</definedName>
    <definedName name="OSRRefP22_12x_0" localSheetId="14">'300'!$P$181</definedName>
    <definedName name="OSRRefP22_12x_0" localSheetId="15">'300 &amp; 317'!$P$203</definedName>
    <definedName name="OSRRefP22_12x_0" localSheetId="16">'301'!$P$64</definedName>
    <definedName name="OSRRefP22_12x_0" localSheetId="22">'307'!$P$93</definedName>
    <definedName name="OSRRefP22_12x_0" localSheetId="18">'308'!$P$107:$P$108</definedName>
    <definedName name="OSRRefP22_12x_0" localSheetId="32">'309'!$P$56</definedName>
    <definedName name="OSRRefP22_12x_0" localSheetId="30">'310'!$P$72:$P$73</definedName>
    <definedName name="OSRRefP22_12x_0" localSheetId="38">'310 &amp; 491'!$P$77</definedName>
    <definedName name="OSRRefP22_12x_0" localSheetId="19">'311'!$P$107:$P$108</definedName>
    <definedName name="OSRRefP22_12x_0" localSheetId="24">'315'!$P$129:$P$130</definedName>
    <definedName name="OSRRefP22_12x_0" localSheetId="27">'316'!$P$71:$P$76</definedName>
    <definedName name="OSRRefP22_12x_0" localSheetId="29">'317'!$P$98</definedName>
    <definedName name="OSRRefP22_12x_0" localSheetId="33">'321'!$P$71</definedName>
    <definedName name="OSRRefP22_12x_0" localSheetId="35">'325'!$P$59:$P$62</definedName>
    <definedName name="OSRRefP22_12x_0" localSheetId="25">'326'!$P$98:$P$100</definedName>
    <definedName name="OSRRefP22_12x_0" localSheetId="23">'331'!$P$129</definedName>
    <definedName name="OSRRefP22_12x_0" localSheetId="26">'332'!$P$73:$P$78</definedName>
    <definedName name="OSRRefP22_12x_0" localSheetId="21">'333'!$P$138</definedName>
    <definedName name="OSRRefP22_12x_0" localSheetId="40">'405'!$P$63</definedName>
    <definedName name="OSRRefP22_12x_0" localSheetId="42">'411'!$P$59:$P$61</definedName>
    <definedName name="OSRRefP22_12x_0" localSheetId="46">'415'!$P$63:$P$66</definedName>
    <definedName name="OSRRefP22_12x_0" localSheetId="47">'418'!$P$63</definedName>
    <definedName name="OSRRefP22_12x_0" localSheetId="55">'433'!$P$63:$P$65</definedName>
    <definedName name="OSRRefP22_12x_0" localSheetId="57">'444'!$P$63:$P$66</definedName>
    <definedName name="OSRRefP22_12x_0" localSheetId="58">'450'!$P$61:$P$62</definedName>
    <definedName name="OSRRefP22_12x_0" localSheetId="39">'491'!$P$66</definedName>
    <definedName name="OSRRefP22_12x_0" localSheetId="53">'492'!$P$65:$P$67</definedName>
    <definedName name="OSRRefP22_12x_0" localSheetId="5">'Div 2'!$P$60:$P$62</definedName>
    <definedName name="OSRRefP22_12x_0" localSheetId="13">'Div 3'!$P$188</definedName>
    <definedName name="OSRRefP22_12x_0" localSheetId="37">'Div 4'!$P$70</definedName>
    <definedName name="OSRRefP22_12x_0" localSheetId="28">'Div 6'!$P$98</definedName>
    <definedName name="OSRRefP22_12x_0" localSheetId="2">Summary!$P$215</definedName>
    <definedName name="OSRRefP22_13x_0" localSheetId="7">'201'!$P$60:$P$61</definedName>
    <definedName name="OSRRefP22_13x_0" localSheetId="8">'202'!$P$60</definedName>
    <definedName name="OSRRefP22_13x_0" localSheetId="9">'203'!$P$65</definedName>
    <definedName name="OSRRefP22_13x_0" localSheetId="14">'300'!$P$183:$P$184</definedName>
    <definedName name="OSRRefP22_13x_0" localSheetId="15">'300 &amp; 317'!$P$205:$P$206</definedName>
    <definedName name="OSRRefP22_13x_0" localSheetId="16">'301'!$P$66</definedName>
    <definedName name="OSRRefP22_13x_0" localSheetId="22">'307'!$P$95</definedName>
    <definedName name="OSRRefP22_13x_0" localSheetId="18">'308'!$P$110</definedName>
    <definedName name="OSRRefP22_13x_0" localSheetId="30">'310'!$P$75</definedName>
    <definedName name="OSRRefP22_13x_0" localSheetId="38">'310 &amp; 491'!$P$79</definedName>
    <definedName name="OSRRefP22_13x_0" localSheetId="19">'311'!$P$110</definedName>
    <definedName name="OSRRefP22_13x_0" localSheetId="24">'315'!$P$132:$P$136</definedName>
    <definedName name="OSRRefP22_13x_0" localSheetId="27">'316'!$P$78</definedName>
    <definedName name="OSRRefP22_13x_0" localSheetId="33">'321'!$P$73</definedName>
    <definedName name="OSRRefP22_13x_0" localSheetId="35">'325'!$P$64:$P$69</definedName>
    <definedName name="OSRRefP22_13x_0" localSheetId="25">'326'!$P$102:$P$103</definedName>
    <definedName name="OSRRefP22_13x_0" localSheetId="23">'331'!$P$131</definedName>
    <definedName name="OSRRefP22_13x_0" localSheetId="26">'332'!$P$80</definedName>
    <definedName name="OSRRefP22_13x_0" localSheetId="21">'333'!$P$140</definedName>
    <definedName name="OSRRefP22_13x_0" localSheetId="40">'405'!$P$65:$P$73</definedName>
    <definedName name="OSRRefP22_13x_0" localSheetId="42">'411'!$P$63</definedName>
    <definedName name="OSRRefP22_13x_0" localSheetId="46">'415'!$P$68</definedName>
    <definedName name="OSRRefP22_13x_0" localSheetId="47">'418'!$P$65</definedName>
    <definedName name="OSRRefP22_13x_0" localSheetId="55">'433'!$P$67:$P$74</definedName>
    <definedName name="OSRRefP22_13x_0" localSheetId="57">'444'!$P$68</definedName>
    <definedName name="OSRRefP22_13x_0" localSheetId="58">'450'!$P$64:$P$66</definedName>
    <definedName name="OSRRefP22_13x_0" localSheetId="39">'491'!$P$68</definedName>
    <definedName name="OSRRefP22_13x_0" localSheetId="53">'492'!$P$69:$P$72</definedName>
    <definedName name="OSRRefP22_13x_0" localSheetId="5">'Div 2'!$P$64:$P$67</definedName>
    <definedName name="OSRRefP22_13x_0" localSheetId="13">'Div 3'!$P$190</definedName>
    <definedName name="OSRRefP22_13x_0" localSheetId="37">'Div 4'!$P$72</definedName>
    <definedName name="OSRRefP22_13x_0" localSheetId="2">Summary!$P$217</definedName>
    <definedName name="OSRRefP22_14x_0" localSheetId="7">'201'!$P$63</definedName>
    <definedName name="OSRRefP22_14x_0" localSheetId="14">'300'!$P$186</definedName>
    <definedName name="OSRRefP22_14x_0" localSheetId="15">'300 &amp; 317'!$P$208</definedName>
    <definedName name="OSRRefP22_14x_0" localSheetId="16">'301'!$P$68</definedName>
    <definedName name="OSRRefP22_14x_0" localSheetId="18">'308'!$P$112</definedName>
    <definedName name="OSRRefP22_14x_0" localSheetId="30">'310'!$P$77:$P$80</definedName>
    <definedName name="OSRRefP22_14x_0" localSheetId="38">'310 &amp; 491'!$P$81:$P$84</definedName>
    <definedName name="OSRRefP22_14x_0" localSheetId="19">'311'!$P$112</definedName>
    <definedName name="OSRRefP22_14x_0" localSheetId="24">'315'!$P$138</definedName>
    <definedName name="OSRRefP22_14x_0" localSheetId="27">'316'!$P$80</definedName>
    <definedName name="OSRRefP22_14x_0" localSheetId="35">'325'!$P$71</definedName>
    <definedName name="OSRRefP22_14x_0" localSheetId="25">'326'!$P$105:$P$108</definedName>
    <definedName name="OSRRefP22_14x_0" localSheetId="23">'331'!$P$133:$P$135</definedName>
    <definedName name="OSRRefP22_14x_0" localSheetId="26">'332'!$P$82</definedName>
    <definedName name="OSRRefP22_14x_0" localSheetId="21">'333'!$P$142:$P$144</definedName>
    <definedName name="OSRRefP22_14x_0" localSheetId="40">'405'!$P$75</definedName>
    <definedName name="OSRRefP22_14x_0" localSheetId="42">'411'!$P$65:$P$67</definedName>
    <definedName name="OSRRefP22_14x_0" localSheetId="46">'415'!$P$70:$P$76</definedName>
    <definedName name="OSRRefP22_14x_0" localSheetId="55">'433'!$P$76</definedName>
    <definedName name="OSRRefP22_14x_0" localSheetId="57">'444'!$P$70:$P$77</definedName>
    <definedName name="OSRRefP22_14x_0" localSheetId="58">'450'!$P$68:$P$73</definedName>
    <definedName name="OSRRefP22_14x_0" localSheetId="39">'491'!$P$70:$P$73</definedName>
    <definedName name="OSRRefP22_14x_0" localSheetId="53">'492'!$P$74</definedName>
    <definedName name="OSRRefP22_14x_0" localSheetId="5">'Div 2'!$P$69</definedName>
    <definedName name="OSRRefP22_14x_0" localSheetId="13">'Div 3'!$P$192:$P$193</definedName>
    <definedName name="OSRRefP22_14x_0" localSheetId="37">'Div 4'!$P$74</definedName>
    <definedName name="OSRRefP22_14x_0" localSheetId="2">Summary!$P$219:$P$220</definedName>
    <definedName name="OSRRefP22_15x_0" localSheetId="7">'201'!$P$65</definedName>
    <definedName name="OSRRefP22_15x_0" localSheetId="14">'300'!$P$188</definedName>
    <definedName name="OSRRefP22_15x_0" localSheetId="15">'300 &amp; 317'!$P$210</definedName>
    <definedName name="OSRRefP22_15x_0" localSheetId="16">'301'!$P$70:$P$73</definedName>
    <definedName name="OSRRefP22_15x_0" localSheetId="30">'310'!$P$82:$P$87</definedName>
    <definedName name="OSRRefP22_15x_0" localSheetId="38">'310 &amp; 491'!$P$86</definedName>
    <definedName name="OSRRefP22_15x_0" localSheetId="24">'315'!$P$140</definedName>
    <definedName name="OSRRefP22_15x_0" localSheetId="35">'325'!$P$73</definedName>
    <definedName name="OSRRefP22_15x_0" localSheetId="25">'326'!$P$110</definedName>
    <definedName name="OSRRefP22_15x_0" localSheetId="23">'331'!$P$137:$P$138</definedName>
    <definedName name="OSRRefP22_15x_0" localSheetId="21">'333'!$P$146:$P$147</definedName>
    <definedName name="OSRRefP22_15x_0" localSheetId="40">'405'!$P$77</definedName>
    <definedName name="OSRRefP22_15x_0" localSheetId="42">'411'!$P$69</definedName>
    <definedName name="OSRRefP22_15x_0" localSheetId="46">'415'!$P$78</definedName>
    <definedName name="OSRRefP22_15x_0" localSheetId="55">'433'!$P$78</definedName>
    <definedName name="OSRRefP22_15x_0" localSheetId="57">'444'!$P$79</definedName>
    <definedName name="OSRRefP22_15x_0" localSheetId="58">'450'!$P$75</definedName>
    <definedName name="OSRRefP22_15x_0" localSheetId="39">'491'!$P$75</definedName>
    <definedName name="OSRRefP22_15x_0" localSheetId="53">'492'!$P$76:$P$83</definedName>
    <definedName name="OSRRefP22_15x_0" localSheetId="5">'Div 2'!$P$71:$P$72</definedName>
    <definedName name="OSRRefP22_15x_0" localSheetId="13">'Div 3'!$P$195</definedName>
    <definedName name="OSRRefP22_15x_0" localSheetId="37">'Div 4'!$P$76</definedName>
    <definedName name="OSRRefP22_15x_0" localSheetId="2">Summary!$P$222</definedName>
    <definedName name="OSRRefP22_16x_0" localSheetId="14">'300'!$P$190:$P$193</definedName>
    <definedName name="OSRRefP22_16x_0" localSheetId="15">'300 &amp; 317'!$P$212:$P$215</definedName>
    <definedName name="OSRRefP22_16x_0" localSheetId="16">'301'!$P$75:$P$77</definedName>
    <definedName name="OSRRefP22_16x_0" localSheetId="30">'310'!$P$89</definedName>
    <definedName name="OSRRefP22_16x_0" localSheetId="38">'310 &amp; 491'!$P$88:$P$91</definedName>
    <definedName name="OSRRefP22_16x_0" localSheetId="24">'315'!$P$142</definedName>
    <definedName name="OSRRefP22_16x_0" localSheetId="35">'325'!$P$75</definedName>
    <definedName name="OSRRefP22_16x_0" localSheetId="25">'326'!$P$112</definedName>
    <definedName name="OSRRefP22_16x_0" localSheetId="23">'331'!$P$140:$P$142</definedName>
    <definedName name="OSRRefP22_16x_0" localSheetId="21">'333'!$P$149:$P$152</definedName>
    <definedName name="OSRRefP22_16x_0" localSheetId="40">'405'!$P$79</definedName>
    <definedName name="OSRRefP22_16x_0" localSheetId="42">'411'!$P$71</definedName>
    <definedName name="OSRRefP22_16x_0" localSheetId="46">'415'!$P$80</definedName>
    <definedName name="OSRRefP22_16x_0" localSheetId="57">'444'!$P$81</definedName>
    <definedName name="OSRRefP22_16x_0" localSheetId="58">'450'!$P$77</definedName>
    <definedName name="OSRRefP22_16x_0" localSheetId="39">'491'!$P$77:$P$80</definedName>
    <definedName name="OSRRefP22_16x_0" localSheetId="53">'492'!$P$85</definedName>
    <definedName name="OSRRefP22_16x_0" localSheetId="5">'Div 2'!$P$74:$P$78</definedName>
    <definedName name="OSRRefP22_16x_0" localSheetId="13">'Div 3'!$P$197</definedName>
    <definedName name="OSRRefP22_16x_0" localSheetId="37">'Div 4'!$P$78:$P$81</definedName>
    <definedName name="OSRRefP22_16x_0" localSheetId="2">Summary!$P$224</definedName>
    <definedName name="OSRRefP22_17x_0" localSheetId="14">'300'!$P$195:$P$197</definedName>
    <definedName name="OSRRefP22_17x_0" localSheetId="15">'300 &amp; 317'!$P$217:$P$219</definedName>
    <definedName name="OSRRefP22_17x_0" localSheetId="16">'301'!$P$79:$P$80</definedName>
    <definedName name="OSRRefP22_17x_0" localSheetId="30">'310'!$P$91</definedName>
    <definedName name="OSRRefP22_17x_0" localSheetId="38">'310 &amp; 491'!$P$93</definedName>
    <definedName name="OSRRefP22_17x_0" localSheetId="25">'326'!$P$114</definedName>
    <definedName name="OSRRefP22_17x_0" localSheetId="23">'331'!$P$144:$P$145</definedName>
    <definedName name="OSRRefP22_17x_0" localSheetId="21">'333'!$P$154:$P$155</definedName>
    <definedName name="OSRRefP22_17x_0" localSheetId="42">'411'!$P$73:$P$74</definedName>
    <definedName name="OSRRefP22_17x_0" localSheetId="46">'415'!$P$82</definedName>
    <definedName name="OSRRefP22_17x_0" localSheetId="57">'444'!$P$83</definedName>
    <definedName name="OSRRefP22_17x_0" localSheetId="58">'450'!$P$79</definedName>
    <definedName name="OSRRefP22_17x_0" localSheetId="39">'491'!$P$82</definedName>
    <definedName name="OSRRefP22_17x_0" localSheetId="53">'492'!$P$87</definedName>
    <definedName name="OSRRefP22_17x_0" localSheetId="5">'Div 2'!$P$80:$P$81</definedName>
    <definedName name="OSRRefP22_17x_0" localSheetId="13">'Div 3'!$P$199:$P$202</definedName>
    <definedName name="OSRRefP22_17x_0" localSheetId="37">'Div 4'!$P$83</definedName>
    <definedName name="OSRRefP22_17x_0" localSheetId="2">Summary!$P$226</definedName>
    <definedName name="OSRRefP22_18x_0" localSheetId="14">'300'!$P$199:$P$202</definedName>
    <definedName name="OSRRefP22_18x_0" localSheetId="15">'300 &amp; 317'!$P$221:$P$224</definedName>
    <definedName name="OSRRefP22_18x_0" localSheetId="16">'301'!$P$82:$P$87</definedName>
    <definedName name="OSRRefP22_18x_0" localSheetId="30">'310'!$P$93</definedName>
    <definedName name="OSRRefP22_18x_0" localSheetId="38">'310 &amp; 491'!$P$95:$P$103</definedName>
    <definedName name="OSRRefP22_18x_0" localSheetId="23">'331'!$P$147:$P$152</definedName>
    <definedName name="OSRRefP22_18x_0" localSheetId="21">'333'!$P$157:$P$162</definedName>
    <definedName name="OSRRefP22_18x_0" localSheetId="42">'411'!$P$76</definedName>
    <definedName name="OSRRefP22_18x_0" localSheetId="39">'491'!$P$84:$P$92</definedName>
    <definedName name="OSRRefP22_18x_0" localSheetId="53">'492'!$P$89:$P$91</definedName>
    <definedName name="OSRRefP22_18x_0" localSheetId="5">'Div 2'!$P$83</definedName>
    <definedName name="OSRRefP22_18x_0" localSheetId="13">'Div 3'!$P$204:$P$206</definedName>
    <definedName name="OSRRefP22_18x_0" localSheetId="37">'Div 4'!$P$85:$P$88</definedName>
    <definedName name="OSRRefP22_18x_0" localSheetId="2">Summary!$P$228:$P$231</definedName>
    <definedName name="OSRRefP22_19x_0" localSheetId="14">'300'!$P$204:$P$205</definedName>
    <definedName name="OSRRefP22_19x_0" localSheetId="15">'300 &amp; 317'!$P$226:$P$227</definedName>
    <definedName name="OSRRefP22_19x_0" localSheetId="16">'301'!$P$89</definedName>
    <definedName name="OSRRefP22_19x_0" localSheetId="38">'310 &amp; 491'!$P$105</definedName>
    <definedName name="OSRRefP22_19x_0" localSheetId="23">'331'!$P$154</definedName>
    <definedName name="OSRRefP22_19x_0" localSheetId="21">'333'!$P$164</definedName>
    <definedName name="OSRRefP22_19x_0" localSheetId="39">'491'!$P$94</definedName>
    <definedName name="OSRRefP22_19x_0" localSheetId="5">'Div 2'!$P$85:$P$86</definedName>
    <definedName name="OSRRefP22_19x_0" localSheetId="13">'Div 3'!$P$208:$P$212</definedName>
    <definedName name="OSRRefP22_19x_0" localSheetId="37">'Div 4'!$P$90:$P$91</definedName>
    <definedName name="OSRRefP22_19x_0" localSheetId="2">Summary!$P$233:$P$235</definedName>
    <definedName name="OSRRefP22_1x_0" localSheetId="6">'200'!$P$23</definedName>
    <definedName name="OSRRefP22_1x_0" localSheetId="7">'201'!$P$29:$P$32</definedName>
    <definedName name="OSRRefP22_1x_0" localSheetId="8">'202'!$P$29:$P$31</definedName>
    <definedName name="OSRRefP22_1x_0" localSheetId="9">'203'!$P$31:$P$35</definedName>
    <definedName name="OSRRefP22_1x_0" localSheetId="10">'204'!$P$30:$P$32</definedName>
    <definedName name="OSRRefP22_1x_0" localSheetId="11">'205'!$P$29</definedName>
    <definedName name="OSRRefP22_1x_0" localSheetId="12">'206'!$P$29:$P$32</definedName>
    <definedName name="OSRRefP22_1x_0" localSheetId="14">'300'!$P$149:$P$155</definedName>
    <definedName name="OSRRefP22_1x_0" localSheetId="15">'300 &amp; 317'!$P$171:$P$177</definedName>
    <definedName name="OSRRefP22_1x_0" localSheetId="16">'301'!$P$33:$P$39</definedName>
    <definedName name="OSRRefP22_1x_0" localSheetId="17">'306'!$P$25:$P$26</definedName>
    <definedName name="OSRRefP22_1x_0" localSheetId="22">'307'!$P$62:$P$65</definedName>
    <definedName name="OSRRefP22_1x_0" localSheetId="18">'308'!$P$73:$P$79</definedName>
    <definedName name="OSRRefP22_1x_0" localSheetId="32">'309'!$P$30:$P$31</definedName>
    <definedName name="OSRRefP22_1x_0" localSheetId="30">'310'!$P$44:$P$49</definedName>
    <definedName name="OSRRefP22_1x_0" localSheetId="38">'310 &amp; 491'!$P$47:$P$53</definedName>
    <definedName name="OSRRefP22_1x_0" localSheetId="19">'311'!$P$73:$P$79</definedName>
    <definedName name="OSRRefP22_1x_0" localSheetId="31">'313'!$P$34</definedName>
    <definedName name="OSRRefP22_1x_0" localSheetId="24">'315'!$P$97:$P$102</definedName>
    <definedName name="OSRRefP22_1x_0" localSheetId="27">'316'!$P$43:$P$46</definedName>
    <definedName name="OSRRefP22_1x_0" localSheetId="29">'317'!$P$67:$P$71</definedName>
    <definedName name="OSRRefP22_1x_0" localSheetId="33">'321'!$P$37:$P$42</definedName>
    <definedName name="OSRRefP22_1x_0" localSheetId="34">'322'!$P$27</definedName>
    <definedName name="OSRRefP22_1x_0" localSheetId="35">'325'!$P$33:$P$35</definedName>
    <definedName name="OSRRefP22_1x_0" localSheetId="25">'326'!$P$69:$P$74</definedName>
    <definedName name="OSRRefP22_1x_0" localSheetId="36">'327'!$P$26</definedName>
    <definedName name="OSRRefP22_1x_0" localSheetId="23">'331'!$P$99:$P$104</definedName>
    <definedName name="OSRRefP22_1x_0" localSheetId="26">'332'!$P$45:$P$48</definedName>
    <definedName name="OSRRefP22_1x_0" localSheetId="21">'333'!$P$108:$P$113</definedName>
    <definedName name="OSRRefP22_1x_0" localSheetId="40">'405'!$P$33:$P$36</definedName>
    <definedName name="OSRRefP22_1x_0" localSheetId="41">'406'!$P$22</definedName>
    <definedName name="OSRRefP22_1x_0" localSheetId="42">'411'!$P$29:$P$33</definedName>
    <definedName name="OSRRefP22_1x_0" localSheetId="43">'412'!$P$23</definedName>
    <definedName name="OSRRefP22_1x_0" localSheetId="44">'413'!$P$26</definedName>
    <definedName name="OSRRefP22_1x_0" localSheetId="45">'414'!$P$24</definedName>
    <definedName name="OSRRefP22_1x_0" localSheetId="46">'415'!$P$34:$P$38</definedName>
    <definedName name="OSRRefP22_1x_0" localSheetId="47">'418'!$P$30:$P$33</definedName>
    <definedName name="OSRRefP22_1x_0" localSheetId="48">'420'!$P$24</definedName>
    <definedName name="OSRRefP22_1x_0" localSheetId="49">'423'!$P$23</definedName>
    <definedName name="OSRRefP22_1x_0" localSheetId="50">'424'!$P$23</definedName>
    <definedName name="OSRRefP22_1x_0" localSheetId="51">'425'!$P$28</definedName>
    <definedName name="OSRRefP22_1x_0" localSheetId="54">'430'!$P$29</definedName>
    <definedName name="OSRRefP22_1x_0" localSheetId="55">'433'!$P$35:$P$40</definedName>
    <definedName name="OSRRefP22_1x_0" localSheetId="56">'435'!$P$26</definedName>
    <definedName name="OSRRefP22_1x_0" localSheetId="57">'444'!$P$35:$P$40</definedName>
    <definedName name="OSRRefP22_1x_0" localSheetId="58">'450'!$P$35:$P$39</definedName>
    <definedName name="OSRRefP22_1x_0" localSheetId="39">'491'!$P$38:$P$43</definedName>
    <definedName name="OSRRefP22_1x_0" localSheetId="53">'492'!$P$37:$P$43</definedName>
    <definedName name="OSRRefP22_1x_0" localSheetId="60">'501'!$P$31:$P$36</definedName>
    <definedName name="OSRRefP22_1x_0" localSheetId="5">'Div 2'!$P$32:$P$37</definedName>
    <definedName name="OSRRefP22_1x_0" localSheetId="13">'Div 3'!$P$156:$P$162</definedName>
    <definedName name="OSRRefP22_1x_0" localSheetId="37">'Div 4'!$P$41:$P$47</definedName>
    <definedName name="OSRRefP22_1x_0" localSheetId="59">'Div 5'!$P$31:$P$36</definedName>
    <definedName name="OSRRefP22_1x_0" localSheetId="28">'Div 6'!$P$67:$P$71</definedName>
    <definedName name="OSRRefP22_1x_0" localSheetId="2">Summary!$P$183:$P$189</definedName>
    <definedName name="OSRRefP22_20x_0" localSheetId="14">'300'!$P$207:$P$213</definedName>
    <definedName name="OSRRefP22_20x_0" localSheetId="15">'300 &amp; 317'!$P$229:$P$235</definedName>
    <definedName name="OSRRefP22_20x_0" localSheetId="16">'301'!$P$91</definedName>
    <definedName name="OSRRefP22_20x_0" localSheetId="38">'310 &amp; 491'!$P$107</definedName>
    <definedName name="OSRRefP22_20x_0" localSheetId="23">'331'!$P$156</definedName>
    <definedName name="OSRRefP22_20x_0" localSheetId="21">'333'!$P$166</definedName>
    <definedName name="OSRRefP22_20x_0" localSheetId="39">'491'!$P$96</definedName>
    <definedName name="OSRRefP22_20x_0" localSheetId="13">'Div 3'!$P$214:$P$215</definedName>
    <definedName name="OSRRefP22_20x_0" localSheetId="37">'Div 4'!$P$93:$P$101</definedName>
    <definedName name="OSRRefP22_20x_0" localSheetId="2">Summary!$P$237:$P$241</definedName>
    <definedName name="OSRRefP22_21x_0" localSheetId="14">'300'!$P$215:$P$216</definedName>
    <definedName name="OSRRefP22_21x_0" localSheetId="15">'300 &amp; 317'!$P$237:$P$238</definedName>
    <definedName name="OSRRefP22_21x_0" localSheetId="16">'301'!$P$93:$P$95</definedName>
    <definedName name="OSRRefP22_21x_0" localSheetId="38">'310 &amp; 491'!$P$109:$P$110</definedName>
    <definedName name="OSRRefP22_21x_0" localSheetId="23">'331'!$P$158</definedName>
    <definedName name="OSRRefP22_21x_0" localSheetId="21">'333'!$P$168</definedName>
    <definedName name="OSRRefP22_21x_0" localSheetId="39">'491'!$P$98:$P$99</definedName>
    <definedName name="OSRRefP22_21x_0" localSheetId="13">'Div 3'!$P$217:$P$223</definedName>
    <definedName name="OSRRefP22_21x_0" localSheetId="37">'Div 4'!$P$103</definedName>
    <definedName name="OSRRefP22_21x_0" localSheetId="2">Summary!$P$243:$P$244</definedName>
    <definedName name="OSRRefP22_22x_0" localSheetId="14">'300'!$P$218</definedName>
    <definedName name="OSRRefP22_22x_0" localSheetId="15">'300 &amp; 317'!$P$240</definedName>
    <definedName name="OSRRefP22_22x_0" localSheetId="16">'301'!$P$97</definedName>
    <definedName name="OSRRefP22_22x_0" localSheetId="38">'310 &amp; 491'!$P$112</definedName>
    <definedName name="OSRRefP22_22x_0" localSheetId="23">'331'!$P$160</definedName>
    <definedName name="OSRRefP22_22x_0" localSheetId="21">'333'!$P$170</definedName>
    <definedName name="OSRRefP22_22x_0" localSheetId="39">'491'!$P$101</definedName>
    <definedName name="OSRRefP22_22x_0" localSheetId="13">'Div 3'!$P$225:$P$226</definedName>
    <definedName name="OSRRefP22_22x_0" localSheetId="37">'Div 4'!$P$105</definedName>
    <definedName name="OSRRefP22_22x_0" localSheetId="2">Summary!$P$246:$P$254</definedName>
    <definedName name="OSRRefP22_23x_0" localSheetId="14">'300'!$P$220:$P$222</definedName>
    <definedName name="OSRRefP22_23x_0" localSheetId="15">'300 &amp; 317'!$P$242:$P$244</definedName>
    <definedName name="OSRRefP22_23x_0" localSheetId="13">'Div 3'!$P$228</definedName>
    <definedName name="OSRRefP22_23x_0" localSheetId="37">'Div 4'!$P$107:$P$109</definedName>
    <definedName name="OSRRefP22_23x_0" localSheetId="2">Summary!$P$256:$P$257</definedName>
    <definedName name="OSRRefP22_24x_0" localSheetId="14">'300'!$P$224</definedName>
    <definedName name="OSRRefP22_24x_0" localSheetId="15">'300 &amp; 317'!$P$246</definedName>
    <definedName name="OSRRefP22_24x_0" localSheetId="13">'Div 3'!$P$230:$P$232</definedName>
    <definedName name="OSRRefP22_24x_0" localSheetId="37">'Div 4'!$P$111</definedName>
    <definedName name="OSRRefP22_24x_0" localSheetId="2">Summary!$P$259</definedName>
    <definedName name="OSRRefP22_25x_0" localSheetId="13">'Div 3'!$P$234</definedName>
    <definedName name="OSRRefP22_25x_0" localSheetId="2">Summary!$P$261:$P$263</definedName>
    <definedName name="OSRRefP22_26x_0" localSheetId="2">Summary!$P$265</definedName>
    <definedName name="OSRRefP22_2x_0" localSheetId="6">'200'!$P$25</definedName>
    <definedName name="OSRRefP22_2x_0" localSheetId="7">'201'!$P$34</definedName>
    <definedName name="OSRRefP22_2x_0" localSheetId="8">'202'!$P$33</definedName>
    <definedName name="OSRRefP22_2x_0" localSheetId="9">'203'!$P$37</definedName>
    <definedName name="OSRRefP22_2x_0" localSheetId="10">'204'!$P$34</definedName>
    <definedName name="OSRRefP22_2x_0" localSheetId="11">'205'!$P$31</definedName>
    <definedName name="OSRRefP22_2x_0" localSheetId="12">'206'!$P$34</definedName>
    <definedName name="OSRRefP22_2x_0" localSheetId="14">'300'!$P$157</definedName>
    <definedName name="OSRRefP22_2x_0" localSheetId="15">'300 &amp; 317'!$P$179</definedName>
    <definedName name="OSRRefP22_2x_0" localSheetId="16">'301'!$P$41</definedName>
    <definedName name="OSRRefP22_2x_0" localSheetId="17">'306'!$P$28</definedName>
    <definedName name="OSRRefP22_2x_0" localSheetId="22">'307'!$P$67</definedName>
    <definedName name="OSRRefP22_2x_0" localSheetId="18">'308'!$P$81</definedName>
    <definedName name="OSRRefP22_2x_0" localSheetId="32">'309'!$P$33</definedName>
    <definedName name="OSRRefP22_2x_0" localSheetId="30">'310'!$P$51</definedName>
    <definedName name="OSRRefP22_2x_0" localSheetId="38">'310 &amp; 491'!$P$55</definedName>
    <definedName name="OSRRefP22_2x_0" localSheetId="19">'311'!$P$81</definedName>
    <definedName name="OSRRefP22_2x_0" localSheetId="31">'313'!$P$36</definedName>
    <definedName name="OSRRefP22_2x_0" localSheetId="24">'315'!$P$104</definedName>
    <definedName name="OSRRefP22_2x_0" localSheetId="27">'316'!$P$48</definedName>
    <definedName name="OSRRefP22_2x_0" localSheetId="29">'317'!$P$73</definedName>
    <definedName name="OSRRefP22_2x_0" localSheetId="33">'321'!$P$44</definedName>
    <definedName name="OSRRefP22_2x_0" localSheetId="34">'322'!$P$29</definedName>
    <definedName name="OSRRefP22_2x_0" localSheetId="35">'325'!$P$37</definedName>
    <definedName name="OSRRefP22_2x_0" localSheetId="25">'326'!$P$76</definedName>
    <definedName name="OSRRefP22_2x_0" localSheetId="23">'331'!$P$106</definedName>
    <definedName name="OSRRefP22_2x_0" localSheetId="26">'332'!$P$50</definedName>
    <definedName name="OSRRefP22_2x_0" localSheetId="21">'333'!$P$115</definedName>
    <definedName name="OSRRefP22_2x_0" localSheetId="40">'405'!$P$38</definedName>
    <definedName name="OSRRefP22_2x_0" localSheetId="41">'406'!$P$24</definedName>
    <definedName name="OSRRefP22_2x_0" localSheetId="42">'411'!$P$35</definedName>
    <definedName name="OSRRefP22_2x_0" localSheetId="43">'412'!$P$25</definedName>
    <definedName name="OSRRefP22_2x_0" localSheetId="44">'413'!$P$28</definedName>
    <definedName name="OSRRefP22_2x_0" localSheetId="45">'414'!$P$26</definedName>
    <definedName name="OSRRefP22_2x_0" localSheetId="46">'415'!$P$40</definedName>
    <definedName name="OSRRefP22_2x_0" localSheetId="47">'418'!$P$35</definedName>
    <definedName name="OSRRefP22_2x_0" localSheetId="49">'423'!$P$25</definedName>
    <definedName name="OSRRefP22_2x_0" localSheetId="50">'424'!$P$25</definedName>
    <definedName name="OSRRefP22_2x_0" localSheetId="51">'425'!$P$30</definedName>
    <definedName name="OSRRefP22_2x_0" localSheetId="54">'430'!$P$31</definedName>
    <definedName name="OSRRefP22_2x_0" localSheetId="55">'433'!$P$42</definedName>
    <definedName name="OSRRefP22_2x_0" localSheetId="56">'435'!$P$28</definedName>
    <definedName name="OSRRefP22_2x_0" localSheetId="57">'444'!$P$42</definedName>
    <definedName name="OSRRefP22_2x_0" localSheetId="58">'450'!$P$41</definedName>
    <definedName name="OSRRefP22_2x_0" localSheetId="39">'491'!$P$45</definedName>
    <definedName name="OSRRefP22_2x_0" localSheetId="53">'492'!$P$45</definedName>
    <definedName name="OSRRefP22_2x_0" localSheetId="60">'501'!$P$38</definedName>
    <definedName name="OSRRefP22_2x_0" localSheetId="5">'Div 2'!$P$39</definedName>
    <definedName name="OSRRefP22_2x_0" localSheetId="13">'Div 3'!$P$164</definedName>
    <definedName name="OSRRefP22_2x_0" localSheetId="37">'Div 4'!$P$49</definedName>
    <definedName name="OSRRefP22_2x_0" localSheetId="59">'Div 5'!$P$38</definedName>
    <definedName name="OSRRefP22_2x_0" localSheetId="28">'Div 6'!$P$73</definedName>
    <definedName name="OSRRefP22_2x_0" localSheetId="2">Summary!$P$191</definedName>
    <definedName name="OSRRefP22_3x_0" localSheetId="6">'200'!$P$27</definedName>
    <definedName name="OSRRefP22_3x_0" localSheetId="7">'201'!$P$36</definedName>
    <definedName name="OSRRefP22_3x_0" localSheetId="8">'202'!$P$35</definedName>
    <definedName name="OSRRefP22_3x_0" localSheetId="9">'203'!$P$39</definedName>
    <definedName name="OSRRefP22_3x_0" localSheetId="10">'204'!$P$36</definedName>
    <definedName name="OSRRefP22_3x_0" localSheetId="11">'205'!$P$33</definedName>
    <definedName name="OSRRefP22_3x_0" localSheetId="12">'206'!$P$36</definedName>
    <definedName name="OSRRefP22_3x_0" localSheetId="14">'300'!$P$159:$P$160</definedName>
    <definedName name="OSRRefP22_3x_0" localSheetId="15">'300 &amp; 317'!$P$181:$P$182</definedName>
    <definedName name="OSRRefP22_3x_0" localSheetId="16">'301'!$P$43:$P$44</definedName>
    <definedName name="OSRRefP22_3x_0" localSheetId="17">'306'!$P$30</definedName>
    <definedName name="OSRRefP22_3x_0" localSheetId="22">'307'!$P$69</definedName>
    <definedName name="OSRRefP22_3x_0" localSheetId="18">'308'!$P$83:$P$84</definedName>
    <definedName name="OSRRefP22_3x_0" localSheetId="32">'309'!$P$35</definedName>
    <definedName name="OSRRefP22_3x_0" localSheetId="30">'310'!$P$53</definedName>
    <definedName name="OSRRefP22_3x_0" localSheetId="38">'310 &amp; 491'!$P$57</definedName>
    <definedName name="OSRRefP22_3x_0" localSheetId="19">'311'!$P$83:$P$84</definedName>
    <definedName name="OSRRefP22_3x_0" localSheetId="31">'313'!$P$38</definedName>
    <definedName name="OSRRefP22_3x_0" localSheetId="24">'315'!$P$106:$P$107</definedName>
    <definedName name="OSRRefP22_3x_0" localSheetId="27">'316'!$P$50</definedName>
    <definedName name="OSRRefP22_3x_0" localSheetId="29">'317'!$P$75</definedName>
    <definedName name="OSRRefP22_3x_0" localSheetId="33">'321'!$P$46</definedName>
    <definedName name="OSRRefP22_3x_0" localSheetId="34">'322'!$P$31</definedName>
    <definedName name="OSRRefP22_3x_0" localSheetId="35">'325'!$P$39</definedName>
    <definedName name="OSRRefP22_3x_0" localSheetId="25">'326'!$P$78</definedName>
    <definedName name="OSRRefP22_3x_0" localSheetId="23">'331'!$P$108</definedName>
    <definedName name="OSRRefP22_3x_0" localSheetId="26">'332'!$P$52</definedName>
    <definedName name="OSRRefP22_3x_0" localSheetId="21">'333'!$P$117</definedName>
    <definedName name="OSRRefP22_3x_0" localSheetId="40">'405'!$P$40</definedName>
    <definedName name="OSRRefP22_3x_0" localSheetId="41">'406'!$P$26</definedName>
    <definedName name="OSRRefP22_3x_0" localSheetId="42">'411'!$P$37</definedName>
    <definedName name="OSRRefP22_3x_0" localSheetId="43">'412'!$P$27:$P$28</definedName>
    <definedName name="OSRRefP22_3x_0" localSheetId="44">'413'!$P$30:$P$31</definedName>
    <definedName name="OSRRefP22_3x_0" localSheetId="45">'414'!$P$28</definedName>
    <definedName name="OSRRefP22_3x_0" localSheetId="46">'415'!$P$42</definedName>
    <definedName name="OSRRefP22_3x_0" localSheetId="47">'418'!$P$37</definedName>
    <definedName name="OSRRefP22_3x_0" localSheetId="49">'423'!$P$27</definedName>
    <definedName name="OSRRefP22_3x_0" localSheetId="50">'424'!$P$27</definedName>
    <definedName name="OSRRefP22_3x_0" localSheetId="51">'425'!$P$32</definedName>
    <definedName name="OSRRefP22_3x_0" localSheetId="54">'430'!$P$33</definedName>
    <definedName name="OSRRefP22_3x_0" localSheetId="55">'433'!$P$44</definedName>
    <definedName name="OSRRefP22_3x_0" localSheetId="56">'435'!$P$30</definedName>
    <definedName name="OSRRefP22_3x_0" localSheetId="57">'444'!$P$44</definedName>
    <definedName name="OSRRefP22_3x_0" localSheetId="58">'450'!$P$43</definedName>
    <definedName name="OSRRefP22_3x_0" localSheetId="39">'491'!$P$47</definedName>
    <definedName name="OSRRefP22_3x_0" localSheetId="53">'492'!$P$47</definedName>
    <definedName name="OSRRefP22_3x_0" localSheetId="60">'501'!$P$40</definedName>
    <definedName name="OSRRefP22_3x_0" localSheetId="5">'Div 2'!$P$41</definedName>
    <definedName name="OSRRefP22_3x_0" localSheetId="13">'Div 3'!$P$166:$P$167</definedName>
    <definedName name="OSRRefP22_3x_0" localSheetId="37">'Div 4'!$P$51</definedName>
    <definedName name="OSRRefP22_3x_0" localSheetId="59">'Div 5'!$P$40</definedName>
    <definedName name="OSRRefP22_3x_0" localSheetId="28">'Div 6'!$P$75</definedName>
    <definedName name="OSRRefP22_3x_0" localSheetId="2">Summary!$P$193:$P$194</definedName>
    <definedName name="OSRRefP22_4x_0" localSheetId="7">'201'!$P$38</definedName>
    <definedName name="OSRRefP22_4x_0" localSheetId="8">'202'!$P$37</definedName>
    <definedName name="OSRRefP22_4x_0" localSheetId="9">'203'!$P$41</definedName>
    <definedName name="OSRRefP22_4x_0" localSheetId="10">'204'!$P$38</definedName>
    <definedName name="OSRRefP22_4x_0" localSheetId="11">'205'!$P$35:$P$37</definedName>
    <definedName name="OSRRefP22_4x_0" localSheetId="12">'206'!$P$38</definedName>
    <definedName name="OSRRefP22_4x_0" localSheetId="14">'300'!$P$162</definedName>
    <definedName name="OSRRefP22_4x_0" localSheetId="15">'300 &amp; 317'!$P$184</definedName>
    <definedName name="OSRRefP22_4x_0" localSheetId="16">'301'!$P$46</definedName>
    <definedName name="OSRRefP22_4x_0" localSheetId="17">'306'!$P$32</definedName>
    <definedName name="OSRRefP22_4x_0" localSheetId="22">'307'!$P$71:$P$72</definedName>
    <definedName name="OSRRefP22_4x_0" localSheetId="18">'308'!$P$86</definedName>
    <definedName name="OSRRefP22_4x_0" localSheetId="32">'309'!$P$37</definedName>
    <definedName name="OSRRefP22_4x_0" localSheetId="30">'310'!$P$55</definedName>
    <definedName name="OSRRefP22_4x_0" localSheetId="38">'310 &amp; 491'!$P$59</definedName>
    <definedName name="OSRRefP22_4x_0" localSheetId="19">'311'!$P$86</definedName>
    <definedName name="OSRRefP22_4x_0" localSheetId="31">'313'!$P$40</definedName>
    <definedName name="OSRRefP22_4x_0" localSheetId="24">'315'!$P$109</definedName>
    <definedName name="OSRRefP22_4x_0" localSheetId="27">'316'!$P$52</definedName>
    <definedName name="OSRRefP22_4x_0" localSheetId="29">'317'!$P$77</definedName>
    <definedName name="OSRRefP22_4x_0" localSheetId="33">'321'!$P$48</definedName>
    <definedName name="OSRRefP22_4x_0" localSheetId="34">'322'!$P$33:$P$34</definedName>
    <definedName name="OSRRefP22_4x_0" localSheetId="35">'325'!$P$41</definedName>
    <definedName name="OSRRefP22_4x_0" localSheetId="25">'326'!$P$80</definedName>
    <definedName name="OSRRefP22_4x_0" localSheetId="23">'331'!$P$110</definedName>
    <definedName name="OSRRefP22_4x_0" localSheetId="26">'332'!$P$54</definedName>
    <definedName name="OSRRefP22_4x_0" localSheetId="21">'333'!$P$119</definedName>
    <definedName name="OSRRefP22_4x_0" localSheetId="40">'405'!$P$42</definedName>
    <definedName name="OSRRefP22_4x_0" localSheetId="41">'406'!$P$28</definedName>
    <definedName name="OSRRefP22_4x_0" localSheetId="42">'411'!$P$39:$P$40</definedName>
    <definedName name="OSRRefP22_4x_0" localSheetId="43">'412'!$P$30</definedName>
    <definedName name="OSRRefP22_4x_0" localSheetId="44">'413'!$P$33</definedName>
    <definedName name="OSRRefP22_4x_0" localSheetId="45">'414'!$P$30</definedName>
    <definedName name="OSRRefP22_4x_0" localSheetId="46">'415'!$P$44</definedName>
    <definedName name="OSRRefP22_4x_0" localSheetId="47">'418'!$P$39:$P$40</definedName>
    <definedName name="OSRRefP22_4x_0" localSheetId="51">'425'!$P$34</definedName>
    <definedName name="OSRRefP22_4x_0" localSheetId="54">'430'!$P$35</definedName>
    <definedName name="OSRRefP22_4x_0" localSheetId="55">'433'!$P$46</definedName>
    <definedName name="OSRRefP22_4x_0" localSheetId="56">'435'!$P$32</definedName>
    <definedName name="OSRRefP22_4x_0" localSheetId="57">'444'!$P$46</definedName>
    <definedName name="OSRRefP22_4x_0" localSheetId="58">'450'!$P$45</definedName>
    <definedName name="OSRRefP22_4x_0" localSheetId="39">'491'!$P$49</definedName>
    <definedName name="OSRRefP22_4x_0" localSheetId="53">'492'!$P$49</definedName>
    <definedName name="OSRRefP22_4x_0" localSheetId="60">'501'!$P$42:$P$43</definedName>
    <definedName name="OSRRefP22_4x_0" localSheetId="5">'Div 2'!$P$43</definedName>
    <definedName name="OSRRefP22_4x_0" localSheetId="13">'Div 3'!$P$169</definedName>
    <definedName name="OSRRefP22_4x_0" localSheetId="37">'Div 4'!$P$53</definedName>
    <definedName name="OSRRefP22_4x_0" localSheetId="59">'Div 5'!$P$42:$P$43</definedName>
    <definedName name="OSRRefP22_4x_0" localSheetId="28">'Div 6'!$P$77</definedName>
    <definedName name="OSRRefP22_4x_0" localSheetId="2">Summary!$P$196</definedName>
    <definedName name="OSRRefP22_5x_0" localSheetId="7">'201'!$P$40</definedName>
    <definedName name="OSRRefP22_5x_0" localSheetId="8">'202'!$P$39:$P$40</definedName>
    <definedName name="OSRRefP22_5x_0" localSheetId="9">'203'!$P$43</definedName>
    <definedName name="OSRRefP22_5x_0" localSheetId="10">'204'!$P$40:$P$43</definedName>
    <definedName name="OSRRefP22_5x_0" localSheetId="11">'205'!$P$39:$P$41</definedName>
    <definedName name="OSRRefP22_5x_0" localSheetId="12">'206'!$P$40</definedName>
    <definedName name="OSRRefP22_5x_0" localSheetId="14">'300'!$P$164:$P$165</definedName>
    <definedName name="OSRRefP22_5x_0" localSheetId="15">'300 &amp; 317'!$P$186:$P$187</definedName>
    <definedName name="OSRRefP22_5x_0" localSheetId="16">'301'!$P$48:$P$49</definedName>
    <definedName name="OSRRefP22_5x_0" localSheetId="17">'306'!$P$34</definedName>
    <definedName name="OSRRefP22_5x_0" localSheetId="22">'307'!$P$74</definedName>
    <definedName name="OSRRefP22_5x_0" localSheetId="18">'308'!$P$88</definedName>
    <definedName name="OSRRefP22_5x_0" localSheetId="32">'309'!$P$39</definedName>
    <definedName name="OSRRefP22_5x_0" localSheetId="30">'310'!$P$57:$P$58</definedName>
    <definedName name="OSRRefP22_5x_0" localSheetId="38">'310 &amp; 491'!$P$61:$P$62</definedName>
    <definedName name="OSRRefP22_5x_0" localSheetId="19">'311'!$P$88</definedName>
    <definedName name="OSRRefP22_5x_0" localSheetId="31">'313'!$P$42</definedName>
    <definedName name="OSRRefP22_5x_0" localSheetId="24">'315'!$P$111</definedName>
    <definedName name="OSRRefP22_5x_0" localSheetId="27">'316'!$P$54</definedName>
    <definedName name="OSRRefP22_5x_0" localSheetId="29">'317'!$P$79:$P$80</definedName>
    <definedName name="OSRRefP22_5x_0" localSheetId="33">'321'!$P$50</definedName>
    <definedName name="OSRRefP22_5x_0" localSheetId="34">'322'!$P$36</definedName>
    <definedName name="OSRRefP22_5x_0" localSheetId="35">'325'!$P$43:$P$44</definedName>
    <definedName name="OSRRefP22_5x_0" localSheetId="25">'326'!$P$82</definedName>
    <definedName name="OSRRefP22_5x_0" localSheetId="23">'331'!$P$112:$P$113</definedName>
    <definedName name="OSRRefP22_5x_0" localSheetId="26">'332'!$P$56</definedName>
    <definedName name="OSRRefP22_5x_0" localSheetId="21">'333'!$P$121:$P$122</definedName>
    <definedName name="OSRRefP22_5x_0" localSheetId="40">'405'!$P$44:$P$45</definedName>
    <definedName name="OSRRefP22_5x_0" localSheetId="42">'411'!$P$42</definedName>
    <definedName name="OSRRefP22_5x_0" localSheetId="43">'412'!$P$32</definedName>
    <definedName name="OSRRefP22_5x_0" localSheetId="44">'413'!$P$35</definedName>
    <definedName name="OSRRefP22_5x_0" localSheetId="45">'414'!$P$32:$P$33</definedName>
    <definedName name="OSRRefP22_5x_0" localSheetId="46">'415'!$P$46:$P$47</definedName>
    <definedName name="OSRRefP22_5x_0" localSheetId="47">'418'!$P$42</definedName>
    <definedName name="OSRRefP22_5x_0" localSheetId="51">'425'!$P$36:$P$37</definedName>
    <definedName name="OSRRefP22_5x_0" localSheetId="54">'430'!$P$37:$P$39</definedName>
    <definedName name="OSRRefP22_5x_0" localSheetId="55">'433'!$P$48</definedName>
    <definedName name="OSRRefP22_5x_0" localSheetId="56">'435'!$P$34</definedName>
    <definedName name="OSRRefP22_5x_0" localSheetId="57">'444'!$P$48</definedName>
    <definedName name="OSRRefP22_5x_0" localSheetId="58">'450'!$P$47</definedName>
    <definedName name="OSRRefP22_5x_0" localSheetId="39">'491'!$P$51:$P$52</definedName>
    <definedName name="OSRRefP22_5x_0" localSheetId="53">'492'!$P$51</definedName>
    <definedName name="OSRRefP22_5x_0" localSheetId="60">'501'!$P$45</definedName>
    <definedName name="OSRRefP22_5x_0" localSheetId="5">'Div 2'!$P$45</definedName>
    <definedName name="OSRRefP22_5x_0" localSheetId="13">'Div 3'!$P$171:$P$172</definedName>
    <definedName name="OSRRefP22_5x_0" localSheetId="37">'Div 4'!$P$55:$P$56</definedName>
    <definedName name="OSRRefP22_5x_0" localSheetId="59">'Div 5'!$P$45</definedName>
    <definedName name="OSRRefP22_5x_0" localSheetId="28">'Div 6'!$P$79:$P$80</definedName>
    <definedName name="OSRRefP22_5x_0" localSheetId="2">Summary!$P$198:$P$199</definedName>
    <definedName name="OSRRefP22_6x_0" localSheetId="7">'201'!$P$42</definedName>
    <definedName name="OSRRefP22_6x_0" localSheetId="8">'202'!$P$42</definedName>
    <definedName name="OSRRefP22_6x_0" localSheetId="9">'203'!$P$45</definedName>
    <definedName name="OSRRefP22_6x_0" localSheetId="10">'204'!$P$45</definedName>
    <definedName name="OSRRefP22_6x_0" localSheetId="11">'205'!$P$43</definedName>
    <definedName name="OSRRefP22_6x_0" localSheetId="12">'206'!$P$42</definedName>
    <definedName name="OSRRefP22_6x_0" localSheetId="14">'300'!$P$167:$P$168</definedName>
    <definedName name="OSRRefP22_6x_0" localSheetId="15">'300 &amp; 317'!$P$189:$P$190</definedName>
    <definedName name="OSRRefP22_6x_0" localSheetId="16">'301'!$P$51:$P$52</definedName>
    <definedName name="OSRRefP22_6x_0" localSheetId="22">'307'!$P$76</definedName>
    <definedName name="OSRRefP22_6x_0" localSheetId="18">'308'!$P$90:$P$91</definedName>
    <definedName name="OSRRefP22_6x_0" localSheetId="32">'309'!$P$41</definedName>
    <definedName name="OSRRefP22_6x_0" localSheetId="30">'310'!$P$60</definedName>
    <definedName name="OSRRefP22_6x_0" localSheetId="38">'310 &amp; 491'!$P$64</definedName>
    <definedName name="OSRRefP22_6x_0" localSheetId="19">'311'!$P$90:$P$91</definedName>
    <definedName name="OSRRefP22_6x_0" localSheetId="31">'313'!$P$44</definedName>
    <definedName name="OSRRefP22_6x_0" localSheetId="24">'315'!$P$113:$P$114</definedName>
    <definedName name="OSRRefP22_6x_0" localSheetId="27">'316'!$P$56:$P$57</definedName>
    <definedName name="OSRRefP22_6x_0" localSheetId="29">'317'!$P$82</definedName>
    <definedName name="OSRRefP22_6x_0" localSheetId="33">'321'!$P$52</definedName>
    <definedName name="OSRRefP22_6x_0" localSheetId="34">'322'!$P$38</definedName>
    <definedName name="OSRRefP22_6x_0" localSheetId="35">'325'!$P$46</definedName>
    <definedName name="OSRRefP22_6x_0" localSheetId="25">'326'!$P$84</definedName>
    <definedName name="OSRRefP22_6x_0" localSheetId="23">'331'!$P$115</definedName>
    <definedName name="OSRRefP22_6x_0" localSheetId="26">'332'!$P$58:$P$59</definedName>
    <definedName name="OSRRefP22_6x_0" localSheetId="21">'333'!$P$124</definedName>
    <definedName name="OSRRefP22_6x_0" localSheetId="40">'405'!$P$47</definedName>
    <definedName name="OSRRefP22_6x_0" localSheetId="42">'411'!$P$44</definedName>
    <definedName name="OSRRefP22_6x_0" localSheetId="43">'412'!$P$34</definedName>
    <definedName name="OSRRefP22_6x_0" localSheetId="46">'415'!$P$49</definedName>
    <definedName name="OSRRefP22_6x_0" localSheetId="47">'418'!$P$44</definedName>
    <definedName name="OSRRefP22_6x_0" localSheetId="51">'425'!$P$39</definedName>
    <definedName name="OSRRefP22_6x_0" localSheetId="54">'430'!$P$41</definedName>
    <definedName name="OSRRefP22_6x_0" localSheetId="55">'433'!$P$50</definedName>
    <definedName name="OSRRefP22_6x_0" localSheetId="57">'444'!$P$50</definedName>
    <definedName name="OSRRefP22_6x_0" localSheetId="58">'450'!$P$49</definedName>
    <definedName name="OSRRefP22_6x_0" localSheetId="39">'491'!$P$54</definedName>
    <definedName name="OSRRefP22_6x_0" localSheetId="53">'492'!$P$53</definedName>
    <definedName name="OSRRefP22_6x_0" localSheetId="60">'501'!$P$47</definedName>
    <definedName name="OSRRefP22_6x_0" localSheetId="5">'Div 2'!$P$47</definedName>
    <definedName name="OSRRefP22_6x_0" localSheetId="13">'Div 3'!$P$174:$P$175</definedName>
    <definedName name="OSRRefP22_6x_0" localSheetId="37">'Div 4'!$P$58</definedName>
    <definedName name="OSRRefP22_6x_0" localSheetId="59">'Div 5'!$P$47</definedName>
    <definedName name="OSRRefP22_6x_0" localSheetId="28">'Div 6'!$P$82</definedName>
    <definedName name="OSRRefP22_6x_0" localSheetId="2">Summary!$P$201:$P$202</definedName>
    <definedName name="OSRRefP22_7x_0" localSheetId="7">'201'!$P$44</definedName>
    <definedName name="OSRRefP22_7x_0" localSheetId="8">'202'!$P$44</definedName>
    <definedName name="OSRRefP22_7x_0" localSheetId="9">'203'!$P$47:$P$48</definedName>
    <definedName name="OSRRefP22_7x_0" localSheetId="10">'204'!$P$47:$P$48</definedName>
    <definedName name="OSRRefP22_7x_0" localSheetId="14">'300'!$P$170</definedName>
    <definedName name="OSRRefP22_7x_0" localSheetId="15">'300 &amp; 317'!$P$192</definedName>
    <definedName name="OSRRefP22_7x_0" localSheetId="16">'301'!$P$54</definedName>
    <definedName name="OSRRefP22_7x_0" localSheetId="22">'307'!$P$78</definedName>
    <definedName name="OSRRefP22_7x_0" localSheetId="18">'308'!$P$93</definedName>
    <definedName name="OSRRefP22_7x_0" localSheetId="32">'309'!$P$43</definedName>
    <definedName name="OSRRefP22_7x_0" localSheetId="30">'310'!$P$62</definedName>
    <definedName name="OSRRefP22_7x_0" localSheetId="38">'310 &amp; 491'!$P$66</definedName>
    <definedName name="OSRRefP22_7x_0" localSheetId="19">'311'!$P$93</definedName>
    <definedName name="OSRRefP22_7x_0" localSheetId="31">'313'!$P$46</definedName>
    <definedName name="OSRRefP22_7x_0" localSheetId="24">'315'!$P$116</definedName>
    <definedName name="OSRRefP22_7x_0" localSheetId="27">'316'!$P$59</definedName>
    <definedName name="OSRRefP22_7x_0" localSheetId="29">'317'!$P$84</definedName>
    <definedName name="OSRRefP22_7x_0" localSheetId="33">'321'!$P$54:$P$55</definedName>
    <definedName name="OSRRefP22_7x_0" localSheetId="34">'322'!$P$40</definedName>
    <definedName name="OSRRefP22_7x_0" localSheetId="35">'325'!$P$48</definedName>
    <definedName name="OSRRefP22_7x_0" localSheetId="25">'326'!$P$86</definedName>
    <definedName name="OSRRefP22_7x_0" localSheetId="23">'331'!$P$117</definedName>
    <definedName name="OSRRefP22_7x_0" localSheetId="26">'332'!$P$61</definedName>
    <definedName name="OSRRefP22_7x_0" localSheetId="21">'333'!$P$126</definedName>
    <definedName name="OSRRefP22_7x_0" localSheetId="40">'405'!$P$49</definedName>
    <definedName name="OSRRefP22_7x_0" localSheetId="42">'411'!$P$46</definedName>
    <definedName name="OSRRefP22_7x_0" localSheetId="46">'415'!$P$51</definedName>
    <definedName name="OSRRefP22_7x_0" localSheetId="47">'418'!$P$46</definedName>
    <definedName name="OSRRefP22_7x_0" localSheetId="51">'425'!$P$41:$P$43</definedName>
    <definedName name="OSRRefP22_7x_0" localSheetId="54">'430'!$P$43</definedName>
    <definedName name="OSRRefP22_7x_0" localSheetId="55">'433'!$P$52</definedName>
    <definedName name="OSRRefP22_7x_0" localSheetId="57">'444'!$P$52</definedName>
    <definedName name="OSRRefP22_7x_0" localSheetId="58">'450'!$P$51</definedName>
    <definedName name="OSRRefP22_7x_0" localSheetId="39">'491'!$P$56</definedName>
    <definedName name="OSRRefP22_7x_0" localSheetId="53">'492'!$P$55</definedName>
    <definedName name="OSRRefP22_7x_0" localSheetId="60">'501'!$P$49:$P$52</definedName>
    <definedName name="OSRRefP22_7x_0" localSheetId="5">'Div 2'!$P$49</definedName>
    <definedName name="OSRRefP22_7x_0" localSheetId="13">'Div 3'!$P$177</definedName>
    <definedName name="OSRRefP22_7x_0" localSheetId="37">'Div 4'!$P$60</definedName>
    <definedName name="OSRRefP22_7x_0" localSheetId="59">'Div 5'!$P$49:$P$52</definedName>
    <definedName name="OSRRefP22_7x_0" localSheetId="28">'Div 6'!$P$84</definedName>
    <definedName name="OSRRefP22_7x_0" localSheetId="2">Summary!$P$204</definedName>
    <definedName name="OSRRefP22_8x_0" localSheetId="7">'201'!$P$46</definedName>
    <definedName name="OSRRefP22_8x_0" localSheetId="8">'202'!$P$46:$P$48</definedName>
    <definedName name="OSRRefP22_8x_0" localSheetId="9">'203'!$P$50:$P$51</definedName>
    <definedName name="OSRRefP22_8x_0" localSheetId="10">'204'!$P$50</definedName>
    <definedName name="OSRRefP22_8x_0" localSheetId="14">'300'!$P$172</definedName>
    <definedName name="OSRRefP22_8x_0" localSheetId="15">'300 &amp; 317'!$P$194</definedName>
    <definedName name="OSRRefP22_8x_0" localSheetId="16">'301'!$P$56</definedName>
    <definedName name="OSRRefP22_8x_0" localSheetId="22">'307'!$P$80:$P$81</definedName>
    <definedName name="OSRRefP22_8x_0" localSheetId="18">'308'!$P$95</definedName>
    <definedName name="OSRRefP22_8x_0" localSheetId="32">'309'!$P$45:$P$46</definedName>
    <definedName name="OSRRefP22_8x_0" localSheetId="30">'310'!$P$64</definedName>
    <definedName name="OSRRefP22_8x_0" localSheetId="38">'310 &amp; 491'!$P$68:$P$69</definedName>
    <definedName name="OSRRefP22_8x_0" localSheetId="19">'311'!$P$95</definedName>
    <definedName name="OSRRefP22_8x_0" localSheetId="24">'315'!$P$118:$P$119</definedName>
    <definedName name="OSRRefP22_8x_0" localSheetId="27">'316'!$P$61</definedName>
    <definedName name="OSRRefP22_8x_0" localSheetId="29">'317'!$P$86:$P$87</definedName>
    <definedName name="OSRRefP22_8x_0" localSheetId="33">'321'!$P$57</definedName>
    <definedName name="OSRRefP22_8x_0" localSheetId="35">'325'!$P$50</definedName>
    <definedName name="OSRRefP22_8x_0" localSheetId="25">'326'!$P$88</definedName>
    <definedName name="OSRRefP22_8x_0" localSheetId="23">'331'!$P$119:$P$120</definedName>
    <definedName name="OSRRefP22_8x_0" localSheetId="26">'332'!$P$63</definedName>
    <definedName name="OSRRefP22_8x_0" localSheetId="21">'333'!$P$128:$P$129</definedName>
    <definedName name="OSRRefP22_8x_0" localSheetId="40">'405'!$P$51</definedName>
    <definedName name="OSRRefP22_8x_0" localSheetId="42">'411'!$P$48</definedName>
    <definedName name="OSRRefP22_8x_0" localSheetId="46">'415'!$P$53</definedName>
    <definedName name="OSRRefP22_8x_0" localSheetId="47">'418'!$P$48:$P$49</definedName>
    <definedName name="OSRRefP22_8x_0" localSheetId="51">'425'!$P$45</definedName>
    <definedName name="OSRRefP22_8x_0" localSheetId="54">'430'!$P$45</definedName>
    <definedName name="OSRRefP22_8x_0" localSheetId="55">'433'!$P$54</definedName>
    <definedName name="OSRRefP22_8x_0" localSheetId="57">'444'!$P$54</definedName>
    <definedName name="OSRRefP22_8x_0" localSheetId="58">'450'!$P$53</definedName>
    <definedName name="OSRRefP22_8x_0" localSheetId="39">'491'!$P$58</definedName>
    <definedName name="OSRRefP22_8x_0" localSheetId="53">'492'!$P$57</definedName>
    <definedName name="OSRRefP22_8x_0" localSheetId="60">'501'!$P$54</definedName>
    <definedName name="OSRRefP22_8x_0" localSheetId="5">'Div 2'!$P$51</definedName>
    <definedName name="OSRRefP22_8x_0" localSheetId="13">'Div 3'!$P$179</definedName>
    <definedName name="OSRRefP22_8x_0" localSheetId="37">'Div 4'!$P$62</definedName>
    <definedName name="OSRRefP22_8x_0" localSheetId="59">'Div 5'!$P$54</definedName>
    <definedName name="OSRRefP22_8x_0" localSheetId="28">'Div 6'!$P$86:$P$87</definedName>
    <definedName name="OSRRefP22_8x_0" localSheetId="2">Summary!$P$206</definedName>
    <definedName name="OSRRefP22_9x_0" localSheetId="7">'201'!$P$48</definedName>
    <definedName name="OSRRefP22_9x_0" localSheetId="8">'202'!$P$50</definedName>
    <definedName name="OSRRefP22_9x_0" localSheetId="9">'203'!$P$53:$P$54</definedName>
    <definedName name="OSRRefP22_9x_0" localSheetId="10">'204'!$P$52</definedName>
    <definedName name="OSRRefP22_9x_0" localSheetId="14">'300'!$P$174</definedName>
    <definedName name="OSRRefP22_9x_0" localSheetId="15">'300 &amp; 317'!$P$196</definedName>
    <definedName name="OSRRefP22_9x_0" localSheetId="16">'301'!$P$58</definedName>
    <definedName name="OSRRefP22_9x_0" localSheetId="22">'307'!$P$83:$P$84</definedName>
    <definedName name="OSRRefP22_9x_0" localSheetId="18">'308'!$P$97:$P$99</definedName>
    <definedName name="OSRRefP22_9x_0" localSheetId="32">'309'!$P$48:$P$49</definedName>
    <definedName name="OSRRefP22_9x_0" localSheetId="30">'310'!$P$66</definedName>
    <definedName name="OSRRefP22_9x_0" localSheetId="38">'310 &amp; 491'!$P$71</definedName>
    <definedName name="OSRRefP22_9x_0" localSheetId="19">'311'!$P$97:$P$99</definedName>
    <definedName name="OSRRefP22_9x_0" localSheetId="24">'315'!$P$121</definedName>
    <definedName name="OSRRefP22_9x_0" localSheetId="27">'316'!$P$63:$P$65</definedName>
    <definedName name="OSRRefP22_9x_0" localSheetId="29">'317'!$P$89</definedName>
    <definedName name="OSRRefP22_9x_0" localSheetId="33">'321'!$P$59:$P$61</definedName>
    <definedName name="OSRRefP22_9x_0" localSheetId="35">'325'!$P$52</definedName>
    <definedName name="OSRRefP22_9x_0" localSheetId="25">'326'!$P$90</definedName>
    <definedName name="OSRRefP22_9x_0" localSheetId="23">'331'!$P$122</definedName>
    <definedName name="OSRRefP22_9x_0" localSheetId="26">'332'!$P$65:$P$67</definedName>
    <definedName name="OSRRefP22_9x_0" localSheetId="21">'333'!$P$131</definedName>
    <definedName name="OSRRefP22_9x_0" localSheetId="40">'405'!$P$53</definedName>
    <definedName name="OSRRefP22_9x_0" localSheetId="42">'411'!$P$50</definedName>
    <definedName name="OSRRefP22_9x_0" localSheetId="46">'415'!$P$55</definedName>
    <definedName name="OSRRefP22_9x_0" localSheetId="47">'418'!$P$51</definedName>
    <definedName name="OSRRefP22_9x_0" localSheetId="55">'433'!$P$56</definedName>
    <definedName name="OSRRefP22_9x_0" localSheetId="57">'444'!$P$56</definedName>
    <definedName name="OSRRefP22_9x_0" localSheetId="58">'450'!$P$55</definedName>
    <definedName name="OSRRefP22_9x_0" localSheetId="39">'491'!$P$60</definedName>
    <definedName name="OSRRefP22_9x_0" localSheetId="53">'492'!$P$59</definedName>
    <definedName name="OSRRefP22_9x_0" localSheetId="60">'501'!$P$56:$P$57</definedName>
    <definedName name="OSRRefP22_9x_0" localSheetId="5">'Div 2'!$P$53:$P$54</definedName>
    <definedName name="OSRRefP22_9x_0" localSheetId="13">'Div 3'!$P$181</definedName>
    <definedName name="OSRRefP22_9x_0" localSheetId="37">'Div 4'!$P$64</definedName>
    <definedName name="OSRRefP22_9x_0" localSheetId="59">'Div 5'!$P$56:$P$57</definedName>
    <definedName name="OSRRefP22_9x_0" localSheetId="28">'Div 6'!$P$89</definedName>
    <definedName name="OSRRefP22_9x_0" localSheetId="2">Summary!$P$208</definedName>
    <definedName name="OSRRefP22x_0" localSheetId="6">'200'!$P$20:$P$21,'200'!$P$23,'200'!$P$25,'200'!$P$27</definedName>
    <definedName name="OSRRefP22x_0" localSheetId="7">'201'!$P$20:$P$27,'201'!$P$29:$P$32,'201'!$P$34,'201'!$P$36,'201'!$P$38,'201'!$P$40,'201'!$P$42,'201'!$P$44,'201'!$P$46,'201'!$P$48,'201'!$P$50:$P$52,'201'!$P$54:$P$56,'201'!$P$58,'201'!$P$60:$P$61,'201'!$P$63,'201'!$P$65</definedName>
    <definedName name="OSRRefP22x_0" localSheetId="8">'202'!$P$20:$P$27,'202'!$P$29:$P$31,'202'!$P$33,'202'!$P$35,'202'!$P$37,'202'!$P$39:$P$40,'202'!$P$42,'202'!$P$44,'202'!$P$46:$P$48,'202'!$P$50,'202'!$P$52:$P$54,'202'!$P$56,'202'!$P$58,'202'!$P$60</definedName>
    <definedName name="OSRRefP22x_0" localSheetId="9">'203'!$P$20:$P$29,'203'!$P$31:$P$35,'203'!$P$37,'203'!$P$39,'203'!$P$41,'203'!$P$43,'203'!$P$45,'203'!$P$47:$P$48,'203'!$P$50:$P$51,'203'!$P$53:$P$54,'203'!$P$56:$P$59,'203'!$P$61,'203'!$P$63,'203'!$P$65</definedName>
    <definedName name="OSRRefP22x_0" localSheetId="10">'204'!$P$20:$P$28,'204'!$P$30:$P$32,'204'!$P$34,'204'!$P$36,'204'!$P$38,'204'!$P$40:$P$43,'204'!$P$45,'204'!$P$47:$P$48,'204'!$P$50,'204'!$P$52</definedName>
    <definedName name="OSRRefP22x_0" localSheetId="11">'205'!$P$20:$P$27,'205'!$P$29,'205'!$P$31,'205'!$P$33,'205'!$P$35:$P$37,'205'!$P$39:$P$41,'205'!$P$43</definedName>
    <definedName name="OSRRefP22x_0" localSheetId="12">'206'!$P$20:$P$27,'206'!$P$29:$P$32,'206'!$P$34,'206'!$P$36,'206'!$P$38,'206'!$P$40,'206'!$P$42</definedName>
    <definedName name="OSRRefP22x_0" localSheetId="14">'300'!$P$138:$P$147,'300'!$P$149:$P$155,'300'!$P$157,'300'!$P$159:$P$160,'300'!$P$162,'300'!$P$164:$P$165,'300'!$P$167:$P$168,'300'!$P$170,'300'!$P$172,'300'!$P$174,'300'!$P$176:$P$177,'300'!$P$179,'300'!$P$181,'300'!$P$183:$P$184,'300'!$P$186,'300'!$P$188,'300'!$P$190:$P$193,'300'!$P$195:$P$197,'300'!$P$199:$P$202,'300'!$P$204:$P$205,'300'!$P$207:$P$213,'300'!$P$215:$P$216,'300'!$P$218,'300'!$P$220:$P$222,'300'!$P$224</definedName>
    <definedName name="OSRRefP22x_0" localSheetId="15">'300 &amp; 317'!$P$160:$P$169,'300 &amp; 317'!$P$171:$P$177,'300 &amp; 317'!$P$179,'300 &amp; 317'!$P$181:$P$182,'300 &amp; 317'!$P$184,'300 &amp; 317'!$P$186:$P$187,'300 &amp; 317'!$P$189:$P$190,'300 &amp; 317'!$P$192,'300 &amp; 317'!$P$194,'300 &amp; 317'!$P$196,'300 &amp; 317'!$P$198:$P$199,'300 &amp; 317'!$P$201,'300 &amp; 317'!$P$203,'300 &amp; 317'!$P$205:$P$206,'300 &amp; 317'!$P$208,'300 &amp; 317'!$P$210,'300 &amp; 317'!$P$212:$P$215,'300 &amp; 317'!$P$217:$P$219,'300 &amp; 317'!$P$221:$P$224,'300 &amp; 317'!$P$226:$P$227,'300 &amp; 317'!$P$229:$P$235,'300 &amp; 317'!$P$237:$P$238,'300 &amp; 317'!$P$240,'300 &amp; 317'!$P$242:$P$244,'300 &amp; 317'!$P$246</definedName>
    <definedName name="OSRRefP22x_0" localSheetId="16">'301'!$P$22:$P$31,'301'!$P$33:$P$39,'301'!$P$41,'301'!$P$43:$P$44,'301'!$P$46,'301'!$P$48:$P$49,'301'!$P$51:$P$52,'301'!$P$54,'301'!$P$56,'301'!$P$58,'301'!$P$60,'301'!$P$62,'301'!$P$64,'301'!$P$66,'301'!$P$68,'301'!$P$70:$P$73,'301'!$P$75:$P$77,'301'!$P$79:$P$80,'301'!$P$82:$P$87,'301'!$P$89,'301'!$P$91,'301'!$P$93:$P$95,'301'!$P$97</definedName>
    <definedName name="OSRRefP22x_0" localSheetId="17">'306'!$P$20:$P$23,'306'!$P$25:$P$26,'306'!$P$28,'306'!$P$30,'306'!$P$32,'306'!$P$34</definedName>
    <definedName name="OSRRefP22x_0" localSheetId="22">'307'!$P$54:$P$60,'307'!$P$62:$P$65,'307'!$P$67,'307'!$P$69,'307'!$P$71:$P$72,'307'!$P$74,'307'!$P$76,'307'!$P$78,'307'!$P$80:$P$81,'307'!$P$83:$P$84,'307'!$P$86,'307'!$P$88:$P$91,'307'!$P$93,'307'!$P$95</definedName>
    <definedName name="OSRRefP22x_0" localSheetId="18">'308'!$P$63:$P$71,'308'!$P$73:$P$79,'308'!$P$81,'308'!$P$83:$P$84,'308'!$P$86,'308'!$P$88,'308'!$P$90:$P$91,'308'!$P$93,'308'!$P$95,'308'!$P$97:$P$99,'308'!$P$101:$P$102,'308'!$P$104:$P$105,'308'!$P$107:$P$108,'308'!$P$110,'308'!$P$112</definedName>
    <definedName name="OSRRefP22x_0" localSheetId="32">'309'!$P$27:$P$28,'309'!$P$30:$P$31,'309'!$P$33,'309'!$P$35,'309'!$P$37,'309'!$P$39,'309'!$P$41,'309'!$P$43,'309'!$P$45:$P$46,'309'!$P$48:$P$49,'309'!$P$51:$P$52,'309'!$P$54,'309'!$P$56</definedName>
    <definedName name="OSRRefP22x_0" localSheetId="30">'310'!$P$34:$P$42,'310'!$P$44:$P$49,'310'!$P$51,'310'!$P$53,'310'!$P$55,'310'!$P$57:$P$58,'310'!$P$60,'310'!$P$62,'310'!$P$64,'310'!$P$66,'310'!$P$68,'310'!$P$70,'310'!$P$72:$P$73,'310'!$P$75,'310'!$P$77:$P$80,'310'!$P$82:$P$87,'310'!$P$89,'310'!$P$91,'310'!$P$93</definedName>
    <definedName name="OSRRefP22x_0" localSheetId="38">'310 &amp; 491'!$P$37:$P$45,'310 &amp; 491'!$P$47:$P$53,'310 &amp; 491'!$P$55,'310 &amp; 491'!$P$57,'310 &amp; 491'!$P$59,'310 &amp; 491'!$P$61:$P$62,'310 &amp; 491'!$P$64,'310 &amp; 491'!$P$66,'310 &amp; 491'!$P$68:$P$69,'310 &amp; 491'!$P$71,'310 &amp; 491'!$P$73,'310 &amp; 491'!$P$75,'310 &amp; 491'!$P$77,'310 &amp; 491'!$P$79,'310 &amp; 491'!$P$81:$P$84,'310 &amp; 491'!$P$86,'310 &amp; 491'!$P$88:$P$91,'310 &amp; 491'!$P$93,'310 &amp; 491'!$P$95:$P$103,'310 &amp; 491'!$P$105,'310 &amp; 491'!$P$107,'310 &amp; 491'!$P$109:$P$110,'310 &amp; 491'!$P$112</definedName>
    <definedName name="OSRRefP22x_0" localSheetId="19">'311'!$P$63:$P$71,'311'!$P$73:$P$79,'311'!$P$81,'311'!$P$83:$P$84,'311'!$P$86,'311'!$P$88,'311'!$P$90:$P$91,'311'!$P$93,'311'!$P$95,'311'!$P$97:$P$99,'311'!$P$101:$P$102,'311'!$P$104:$P$105,'311'!$P$107:$P$108,'311'!$P$110,'311'!$P$112</definedName>
    <definedName name="OSRRefP22x_0" localSheetId="31">'313'!$P$25:$P$32,'313'!$P$34,'313'!$P$36,'313'!$P$38,'313'!$P$40,'313'!$P$42,'313'!$P$44,'313'!$P$46</definedName>
    <definedName name="OSRRefP22x_0" localSheetId="24">'315'!$P$88:$P$95,'315'!$P$97:$P$102,'315'!$P$104,'315'!$P$106:$P$107,'315'!$P$109,'315'!$P$111,'315'!$P$113:$P$114,'315'!$P$116,'315'!$P$118:$P$119,'315'!$P$121,'315'!$P$123:$P$124,'315'!$P$126:$P$127,'315'!$P$129:$P$130,'315'!$P$132:$P$136,'315'!$P$138,'315'!$P$140,'315'!$P$142</definedName>
    <definedName name="OSRRefP22x_0" localSheetId="27">'316'!$P$34:$P$41,'316'!$P$43:$P$46,'316'!$P$48,'316'!$P$50,'316'!$P$52,'316'!$P$54,'316'!$P$56:$P$57,'316'!$P$59,'316'!$P$61,'316'!$P$63:$P$65,'316'!$P$67,'316'!$P$69,'316'!$P$71:$P$76,'316'!$P$78,'316'!$P$80</definedName>
    <definedName name="OSRRefP22x_0" localSheetId="29">'317'!$P$57:$P$65,'317'!$P$67:$P$71,'317'!$P$73,'317'!$P$75,'317'!$P$77,'317'!$P$79:$P$80,'317'!$P$82,'317'!$P$84,'317'!$P$86:$P$87,'317'!$P$89,'317'!$P$91:$P$94,'317'!$P$96,'317'!$P$98</definedName>
    <definedName name="OSRRefP22x_0" localSheetId="33">'321'!$P$27:$P$35,'321'!$P$37:$P$42,'321'!$P$44,'321'!$P$46,'321'!$P$48,'321'!$P$50,'321'!$P$52,'321'!$P$54:$P$55,'321'!$P$57,'321'!$P$59:$P$61,'321'!$P$63:$P$67,'321'!$P$69,'321'!$P$71,'321'!$P$73</definedName>
    <definedName name="OSRRefP22x_0" localSheetId="34">'322'!$P$21:$P$25,'322'!$P$27,'322'!$P$29,'322'!$P$31,'322'!$P$33:$P$34,'322'!$P$36,'322'!$P$38,'322'!$P$40</definedName>
    <definedName name="OSRRefP22x_0" localSheetId="35">'325'!$P$24:$P$31,'325'!$P$33:$P$35,'325'!$P$37,'325'!$P$39,'325'!$P$41,'325'!$P$43:$P$44,'325'!$P$46,'325'!$P$48,'325'!$P$50,'325'!$P$52,'325'!$P$54,'325'!$P$56:$P$57,'325'!$P$59:$P$62,'325'!$P$64:$P$69,'325'!$P$71,'325'!$P$73,'325'!$P$75</definedName>
    <definedName name="OSRRefP22x_0" localSheetId="25">'326'!$P$60:$P$67,'326'!$P$69:$P$74,'326'!$P$76,'326'!$P$78,'326'!$P$80,'326'!$P$82,'326'!$P$84,'326'!$P$86,'326'!$P$88,'326'!$P$90,'326'!$P$92,'326'!$P$94:$P$96,'326'!$P$98:$P$100,'326'!$P$102:$P$103,'326'!$P$105:$P$108,'326'!$P$110,'326'!$P$112,'326'!$P$114</definedName>
    <definedName name="OSRRefP22x_0" localSheetId="36">'327'!$P$24,'327'!$P$26</definedName>
    <definedName name="OSRRefP22x_0" localSheetId="23">'331'!$P$90:$P$97,'331'!$P$99:$P$104,'331'!$P$106,'331'!$P$108,'331'!$P$110,'331'!$P$112:$P$113,'331'!$P$115,'331'!$P$117,'331'!$P$119:$P$120,'331'!$P$122,'331'!$P$124,'331'!$P$126:$P$127,'331'!$P$129,'331'!$P$131,'331'!$P$133:$P$135,'331'!$P$137:$P$138,'331'!$P$140:$P$142,'331'!$P$144:$P$145,'331'!$P$147:$P$152,'331'!$P$154,'331'!$P$156,'331'!$P$158,'331'!$P$160</definedName>
    <definedName name="OSRRefP22x_0" localSheetId="26">'332'!$P$36:$P$43,'332'!$P$45:$P$48,'332'!$P$50,'332'!$P$52,'332'!$P$54,'332'!$P$56,'332'!$P$58:$P$59,'332'!$P$61,'332'!$P$63,'332'!$P$65:$P$67,'332'!$P$69,'332'!$P$71,'332'!$P$73:$P$78,'332'!$P$80,'332'!$P$82</definedName>
    <definedName name="OSRRefP22x_0" localSheetId="21">'333'!$P$99:$P$106,'333'!$P$108:$P$113,'333'!$P$115,'333'!$P$117,'333'!$P$119,'333'!$P$121:$P$122,'333'!$P$124,'333'!$P$126,'333'!$P$128:$P$129,'333'!$P$131,'333'!$P$133,'333'!$P$135:$P$136,'333'!$P$138,'333'!$P$140,'333'!$P$142:$P$144,'333'!$P$146:$P$147,'333'!$P$149:$P$152,'333'!$P$154:$P$155,'333'!$P$157:$P$162,'333'!$P$164,'333'!$P$166,'333'!$P$168,'333'!$P$170</definedName>
    <definedName name="OSRRefP22x_0" localSheetId="40">'405'!$P$24:$P$31,'405'!$P$33:$P$36,'405'!$P$38,'405'!$P$40,'405'!$P$42,'405'!$P$44:$P$45,'405'!$P$47,'405'!$P$49,'405'!$P$51,'405'!$P$53,'405'!$P$55:$P$56,'405'!$P$58:$P$61,'405'!$P$63,'405'!$P$65:$P$73,'405'!$P$75,'405'!$P$77,'405'!$P$79</definedName>
    <definedName name="OSRRefP22x_0" localSheetId="41">'406'!$P$20,'406'!$P$22,'406'!$P$24,'406'!$P$26,'406'!$P$28</definedName>
    <definedName name="OSRRefP22x_0" localSheetId="42">'411'!$P$20:$P$27,'411'!$P$29:$P$33,'411'!$P$35,'411'!$P$37,'411'!$P$39:$P$40,'411'!$P$42,'411'!$P$44,'411'!$P$46,'411'!$P$48,'411'!$P$50,'411'!$P$52,'411'!$P$54:$P$57,'411'!$P$59:$P$61,'411'!$P$63,'411'!$P$65:$P$67,'411'!$P$69,'411'!$P$71,'411'!$P$73:$P$74,'411'!$P$76</definedName>
    <definedName name="OSRRefP22x_0" localSheetId="43">'412'!$P$21,'412'!$P$23,'412'!$P$25,'412'!$P$27:$P$28,'412'!$P$30,'412'!$P$32,'412'!$P$34</definedName>
    <definedName name="OSRRefP22x_0" localSheetId="44">'413'!$P$20:$P$24,'413'!$P$26,'413'!$P$28,'413'!$P$30:$P$31,'413'!$P$33,'413'!$P$35</definedName>
    <definedName name="OSRRefP22x_0" localSheetId="45">'414'!$P$22,'414'!$P$24,'414'!$P$26,'414'!$P$28,'414'!$P$30,'414'!$P$32:$P$33</definedName>
    <definedName name="OSRRefP22x_0" localSheetId="46">'415'!$P$24:$P$32,'415'!$P$34:$P$38,'415'!$P$40,'415'!$P$42,'415'!$P$44,'415'!$P$46:$P$47,'415'!$P$49,'415'!$P$51,'415'!$P$53,'415'!$P$55,'415'!$P$57,'415'!$P$59:$P$61,'415'!$P$63:$P$66,'415'!$P$68,'415'!$P$70:$P$76,'415'!$P$78,'415'!$P$80,'415'!$P$82</definedName>
    <definedName name="OSRRefP22x_0" localSheetId="47">'418'!$P$21:$P$28,'418'!$P$30:$P$33,'418'!$P$35,'418'!$P$37,'418'!$P$39:$P$40,'418'!$P$42,'418'!$P$44,'418'!$P$46,'418'!$P$48:$P$49,'418'!$P$51,'418'!$P$53,'418'!$P$55:$P$61,'418'!$P$63,'418'!$P$65</definedName>
    <definedName name="OSRRefP22x_0" localSheetId="48">'420'!$P$22,'420'!$P$24</definedName>
    <definedName name="OSRRefP22x_0" localSheetId="49">'423'!$P$20:$P$21,'423'!$P$23,'423'!$P$25,'423'!$P$27</definedName>
    <definedName name="OSRRefP22x_0" localSheetId="50">'424'!$P$21,'424'!$P$23,'424'!$P$25,'424'!$P$27</definedName>
    <definedName name="OSRRefP22x_0" localSheetId="51">'425'!$P$22:$P$26,'425'!$P$28,'425'!$P$30,'425'!$P$32,'425'!$P$34,'425'!$P$36:$P$37,'425'!$P$39,'425'!$P$41:$P$43,'425'!$P$45</definedName>
    <definedName name="OSRRefP22x_0" localSheetId="54">'430'!$P$20:$P$27,'430'!$P$29,'430'!$P$31,'430'!$P$33,'430'!$P$35,'430'!$P$37:$P$39,'430'!$P$41,'430'!$P$43,'430'!$P$45</definedName>
    <definedName name="OSRRefP22x_0" localSheetId="55">'433'!$P$25:$P$33,'433'!$P$35:$P$40,'433'!$P$42,'433'!$P$44,'433'!$P$46,'433'!$P$48,'433'!$P$50,'433'!$P$52,'433'!$P$54,'433'!$P$56,'433'!$P$58,'433'!$P$60:$P$61,'433'!$P$63:$P$65,'433'!$P$67:$P$74,'433'!$P$76,'433'!$P$78</definedName>
    <definedName name="OSRRefP22x_0" localSheetId="56">'435'!$P$23:$P$24,'435'!$P$26,'435'!$P$28,'435'!$P$30,'435'!$P$32,'435'!$P$34</definedName>
    <definedName name="OSRRefP22x_0" localSheetId="57">'444'!$P$25:$P$33,'444'!$P$35:$P$40,'444'!$P$42,'444'!$P$44,'444'!$P$46,'444'!$P$48,'444'!$P$50,'444'!$P$52,'444'!$P$54,'444'!$P$56,'444'!$P$58,'444'!$P$60:$P$61,'444'!$P$63:$P$66,'444'!$P$68,'444'!$P$70:$P$77,'444'!$P$79,'444'!$P$81,'444'!$P$83</definedName>
    <definedName name="OSRRefP22x_0" localSheetId="58">'450'!$P$25:$P$33,'450'!$P$35:$P$39,'450'!$P$41,'450'!$P$43,'450'!$P$45,'450'!$P$47,'450'!$P$49,'450'!$P$51,'450'!$P$53,'450'!$P$55,'450'!$P$57,'450'!$P$59,'450'!$P$61:$P$62,'450'!$P$64:$P$66,'450'!$P$68:$P$73,'450'!$P$75,'450'!$P$77,'450'!$P$79</definedName>
    <definedName name="OSRRefP22x_0" localSheetId="39">'491'!$P$28:$P$36,'491'!$P$38:$P$43,'491'!$P$45,'491'!$P$47,'491'!$P$49,'491'!$P$51:$P$52,'491'!$P$54,'491'!$P$56,'491'!$P$58,'491'!$P$60,'491'!$P$62,'491'!$P$64,'491'!$P$66,'491'!$P$68,'491'!$P$70:$P$73,'491'!$P$75,'491'!$P$77:$P$80,'491'!$P$82,'491'!$P$84:$P$92,'491'!$P$94,'491'!$P$96,'491'!$P$98:$P$99,'491'!$P$101</definedName>
    <definedName name="OSRRefP22x_0" localSheetId="53">'492'!$P$27:$P$35,'492'!$P$37:$P$43,'492'!$P$45,'492'!$P$47,'492'!$P$49,'492'!$P$51,'492'!$P$53,'492'!$P$55,'492'!$P$57,'492'!$P$59,'492'!$P$61,'492'!$P$63,'492'!$P$65:$P$67,'492'!$P$69:$P$72,'492'!$P$74,'492'!$P$76:$P$83,'492'!$P$85,'492'!$P$87,'492'!$P$89:$P$91</definedName>
    <definedName name="OSRRefP22x_0" localSheetId="60">'501'!$P$21:$P$29,'501'!$P$31:$P$36,'501'!$P$38,'501'!$P$40,'501'!$P$42:$P$43,'501'!$P$45,'501'!$P$47,'501'!$P$49:$P$52,'501'!$P$54,'501'!$P$56:$P$57,'501'!$P$59,'501'!$P$61</definedName>
    <definedName name="OSRRefP22x_0" localSheetId="5">'Div 2'!$P$20:$P$30,'Div 2'!$P$32:$P$37,'Div 2'!$P$39,'Div 2'!$P$41,'Div 2'!$P$43,'Div 2'!$P$45,'Div 2'!$P$47,'Div 2'!$P$49,'Div 2'!$P$51,'Div 2'!$P$53:$P$54,'Div 2'!$P$56,'Div 2'!$P$58,'Div 2'!$P$60:$P$62,'Div 2'!$P$64:$P$67,'Div 2'!$P$69,'Div 2'!$P$71:$P$72,'Div 2'!$P$74:$P$78,'Div 2'!$P$80:$P$81,'Div 2'!$P$83,'Div 2'!$P$85:$P$86</definedName>
    <definedName name="OSRRefP22x_0" localSheetId="13">'Div 3'!$P$145:$P$154,'Div 3'!$P$156:$P$162,'Div 3'!$P$164,'Div 3'!$P$166:$P$167,'Div 3'!$P$169,'Div 3'!$P$171:$P$172,'Div 3'!$P$174:$P$175,'Div 3'!$P$177,'Div 3'!$P$179,'Div 3'!$P$181,'Div 3'!$P$183:$P$184,'Div 3'!$P$186,'Div 3'!$P$188,'Div 3'!$P$190,'Div 3'!$P$192:$P$193,'Div 3'!$P$195,'Div 3'!$P$197,'Div 3'!$P$199:$P$202,'Div 3'!$P$204:$P$206,'Div 3'!$P$208:$P$212,'Div 3'!$P$214:$P$215,'Div 3'!$P$217:$P$223,'Div 3'!$P$225:$P$226,'Div 3'!$P$228,'Div 3'!$P$230:$P$232,'Div 3'!$P$234</definedName>
    <definedName name="OSRRefP22x_0" localSheetId="37">'Div 4'!$P$31:$P$39,'Div 4'!$P$41:$P$47,'Div 4'!$P$49,'Div 4'!$P$51,'Div 4'!$P$53,'Div 4'!$P$55:$P$56,'Div 4'!$P$58,'Div 4'!$P$60,'Div 4'!$P$62,'Div 4'!$P$64,'Div 4'!$P$66,'Div 4'!$P$68,'Div 4'!$P$70,'Div 4'!$P$72,'Div 4'!$P$74,'Div 4'!$P$76,'Div 4'!$P$78:$P$81,'Div 4'!$P$83,'Div 4'!$P$85:$P$88,'Div 4'!$P$90:$P$91,'Div 4'!$P$93:$P$101,'Div 4'!$P$103,'Div 4'!$P$105,'Div 4'!$P$107:$P$109,'Div 4'!$P$111</definedName>
    <definedName name="OSRRefP22x_0" localSheetId="59">'Div 5'!$P$21:$P$29,'Div 5'!$P$31:$P$36,'Div 5'!$P$38,'Div 5'!$P$40,'Div 5'!$P$42:$P$43,'Div 5'!$P$45,'Div 5'!$P$47,'Div 5'!$P$49:$P$52,'Div 5'!$P$54,'Div 5'!$P$56:$P$57,'Div 5'!$P$59,'Div 5'!$P$61</definedName>
    <definedName name="OSRRefP22x_0" localSheetId="28">'Div 6'!$P$57:$P$65,'Div 6'!$P$67:$P$71,'Div 6'!$P$73,'Div 6'!$P$75,'Div 6'!$P$77,'Div 6'!$P$79:$P$80,'Div 6'!$P$82,'Div 6'!$P$84,'Div 6'!$P$86:$P$87,'Div 6'!$P$89,'Div 6'!$P$91:$P$94,'Div 6'!$P$96,'Div 6'!$P$98</definedName>
    <definedName name="OSRRefP22x_0" localSheetId="2">Summary!$P$172:$P$181,Summary!$P$183:$P$189,Summary!$P$191,Summary!$P$193:$P$194,Summary!$P$196,Summary!$P$198:$P$199,Summary!$P$201:$P$202,Summary!$P$204,Summary!$P$206,Summary!$P$208,Summary!$P$210:$P$211,Summary!$P$213,Summary!$P$215,Summary!$P$217,Summary!$P$219:$P$220,Summary!$P$222,Summary!$P$224,Summary!$P$226,Summary!$P$228:$P$231,Summary!$P$233:$P$235,Summary!$P$237:$P$241,Summary!$P$243:$P$244,Summary!$P$246:$P$254,Summary!$P$256:$P$257,Summary!$P$259,Summary!$P$261:$P$263,Summary!$P$265</definedName>
    <definedName name="OSRRefP25x_0" localSheetId="14">'300'!$P$227:$P$231</definedName>
    <definedName name="OSRRefP25x_0" localSheetId="15">'300 &amp; 317'!$P$249:$P$255</definedName>
    <definedName name="OSRRefP25x_0" localSheetId="16">'301'!$P$100</definedName>
    <definedName name="OSRRefP25x_0" localSheetId="18">'308'!$P$115:$P$117</definedName>
    <definedName name="OSRRefP25x_0" localSheetId="38">'310 &amp; 491'!$P$115:$P$117</definedName>
    <definedName name="OSRRefP25x_0" localSheetId="19">'311'!$P$115:$P$117</definedName>
    <definedName name="OSRRefP25x_0" localSheetId="24">'315'!$P$145:$P$147</definedName>
    <definedName name="OSRRefP25x_0" localSheetId="27">'316'!$P$83</definedName>
    <definedName name="OSRRefP25x_0" localSheetId="29">'317'!$P$101:$P$103</definedName>
    <definedName name="OSRRefP25x_0" localSheetId="23">'331'!$P$163:$P$165</definedName>
    <definedName name="OSRRefP25x_0" localSheetId="26">'332'!$P$85:$P$86</definedName>
    <definedName name="OSRRefP25x_0" localSheetId="21">'333'!$P$173:$P$175</definedName>
    <definedName name="OSRRefP25x_0" localSheetId="40">'405'!$P$82</definedName>
    <definedName name="OSRRefP25x_0" localSheetId="42">'411'!$P$79:$P$80</definedName>
    <definedName name="OSRRefP25x_0" localSheetId="46">'415'!$P$85</definedName>
    <definedName name="OSRRefP25x_0" localSheetId="47">'418'!$P$68</definedName>
    <definedName name="OSRRefP25x_0" localSheetId="49">'423'!$P$30</definedName>
    <definedName name="OSRRefP25x_0" localSheetId="52">'455'!$P$21:$P$22</definedName>
    <definedName name="OSRRefP25x_0" localSheetId="39">'491'!$P$104:$P$106</definedName>
    <definedName name="OSRRefP25x_0" localSheetId="60">'501'!$P$64</definedName>
    <definedName name="OSRRefP25x_0" localSheetId="13">'Div 3'!$P$237:$P$241</definedName>
    <definedName name="OSRRefP25x_0" localSheetId="37">'Div 4'!$P$114:$P$116</definedName>
    <definedName name="OSRRefP25x_0" localSheetId="59">'Div 5'!$P$64</definedName>
    <definedName name="OSRRefP25x_0" localSheetId="28">'Div 6'!$P$101:$P$103</definedName>
    <definedName name="OSRRefP25x_0" localSheetId="2">Summary!$P$268:$P$276</definedName>
    <definedName name="OSRRefT13x_0" localSheetId="14">'300'!$T$13:$T$81</definedName>
    <definedName name="OSRRefT13x_0" localSheetId="15">'300 &amp; 317'!$T$13:$T$96</definedName>
    <definedName name="OSRRefT13x_0" localSheetId="22">'307'!$T$13:$T$25</definedName>
    <definedName name="OSRRefT13x_0" localSheetId="18">'308'!$T$13:$T$38</definedName>
    <definedName name="OSRRefT13x_0" localSheetId="32">'309'!$T$13:$T$16</definedName>
    <definedName name="OSRRefT13x_0" localSheetId="30">'310'!$T$13:$T$23</definedName>
    <definedName name="OSRRefT13x_0" localSheetId="38">'310 &amp; 491'!$T$13:$T$26</definedName>
    <definedName name="OSRRefT13x_0" localSheetId="19">'311'!$T$13:$T$38</definedName>
    <definedName name="OSRRefT13x_0" localSheetId="31">'313'!$T$13:$T$16</definedName>
    <definedName name="OSRRefT13x_0" localSheetId="24">'315'!$T$13:$T$55</definedName>
    <definedName name="OSRRefT13x_0" localSheetId="27">'316'!$T$13:$T$25</definedName>
    <definedName name="OSRRefT13x_0" localSheetId="29">'317'!$T$13:$T$34</definedName>
    <definedName name="OSRRefT13x_0" localSheetId="33">'321'!$T$13:$T$16</definedName>
    <definedName name="OSRRefT13x_0" localSheetId="20">'324'!$T$13:$T$16</definedName>
    <definedName name="OSRRefT13x_0" localSheetId="35">'325'!$T$13:$T$14</definedName>
    <definedName name="OSRRefT13x_0" localSheetId="25">'326'!$T$13:$T$36</definedName>
    <definedName name="OSRRefT13x_0" localSheetId="36">'327'!$T$13:$T$14</definedName>
    <definedName name="OSRRefT13x_0" localSheetId="23">'331'!$T$13:$T$55</definedName>
    <definedName name="OSRRefT13x_0" localSheetId="26">'332'!$T$13:$T$25</definedName>
    <definedName name="OSRRefT13x_0" localSheetId="21">'333'!$T$13:$T$57</definedName>
    <definedName name="OSRRefT13x_0" localSheetId="40">'405'!$T$13:$T$14</definedName>
    <definedName name="OSRRefT13x_0" localSheetId="45">'414'!$T$13</definedName>
    <definedName name="OSRRefT13x_0" localSheetId="46">'415'!$T$13:$T$14</definedName>
    <definedName name="OSRRefT13x_0" localSheetId="48">'420'!$T$13:$T$14</definedName>
    <definedName name="OSRRefT13x_0" localSheetId="51">'425'!$T$13</definedName>
    <definedName name="OSRRefT13x_0" localSheetId="55">'433'!$T$13:$T$15</definedName>
    <definedName name="OSRRefT13x_0" localSheetId="56">'435'!$T$13:$T$14</definedName>
    <definedName name="OSRRefT13x_0" localSheetId="57">'444'!$T$13:$T$15</definedName>
    <definedName name="OSRRefT13x_0" localSheetId="58">'450'!$T$13:$T$15</definedName>
    <definedName name="OSRRefT13x_0" localSheetId="39">'491'!$T$13:$T$18</definedName>
    <definedName name="OSRRefT13x_0" localSheetId="53">'492'!$T$13:$T$17</definedName>
    <definedName name="OSRRefT13x_0" localSheetId="60">'501'!$T$13</definedName>
    <definedName name="OSRRefT13x_0" localSheetId="13">'Div 3'!$T$13:$T$86</definedName>
    <definedName name="OSRRefT13x_0" localSheetId="37">'Div 4'!$T$13:$T$21</definedName>
    <definedName name="OSRRefT13x_0" localSheetId="59">'Div 5'!$T$13</definedName>
    <definedName name="OSRRefT13x_0" localSheetId="28">'Div 6'!$T$13:$T$34</definedName>
    <definedName name="OSRRefT13x_0" localSheetId="2">Summary!$T$13:$T$106</definedName>
    <definedName name="OSRRefT16x_0" localSheetId="14">'300'!$T$84:$T$132</definedName>
    <definedName name="OSRRefT16x_0" localSheetId="15">'300 &amp; 317'!$T$99:$T$154</definedName>
    <definedName name="OSRRefT16x_0" localSheetId="16">'301'!$T$15:$T$16</definedName>
    <definedName name="OSRRefT16x_0" localSheetId="22">'307'!$T$28:$T$48</definedName>
    <definedName name="OSRRefT16x_0" localSheetId="18">'308'!$T$41:$T$57</definedName>
    <definedName name="OSRRefT16x_0" localSheetId="32">'309'!$T$19:$T$21</definedName>
    <definedName name="OSRRefT16x_0" localSheetId="30">'310'!$T$26:$T$28</definedName>
    <definedName name="OSRRefT16x_0" localSheetId="38">'310 &amp; 491'!$T$29:$T$31</definedName>
    <definedName name="OSRRefT16x_0" localSheetId="19">'311'!$T$41:$T$57</definedName>
    <definedName name="OSRRefT16x_0" localSheetId="31">'313'!$T$19</definedName>
    <definedName name="OSRRefT16x_0" localSheetId="24">'315'!$T$58:$T$82</definedName>
    <definedName name="OSRRefT16x_0" localSheetId="27">'316'!$T$28</definedName>
    <definedName name="OSRRefT16x_0" localSheetId="29">'317'!$T$37:$T$51</definedName>
    <definedName name="OSRRefT16x_0" localSheetId="33">'321'!$T$19:$T$21</definedName>
    <definedName name="OSRRefT16x_0" localSheetId="34">'322'!$T$15</definedName>
    <definedName name="OSRRefT16x_0" localSheetId="20">'324'!$T$19:$T$21</definedName>
    <definedName name="OSRRefT16x_0" localSheetId="35">'325'!$T$17:$T$18</definedName>
    <definedName name="OSRRefT16x_0" localSheetId="25">'326'!$T$39:$T$54</definedName>
    <definedName name="OSRRefT16x_0" localSheetId="36">'327'!$T$17:$T$18</definedName>
    <definedName name="OSRRefT16x_0" localSheetId="23">'331'!$T$58:$T$84</definedName>
    <definedName name="OSRRefT16x_0" localSheetId="26">'332'!$T$28:$T$30</definedName>
    <definedName name="OSRRefT16x_0" localSheetId="21">'333'!$T$60:$T$93</definedName>
    <definedName name="OSRRefT16x_0" localSheetId="40">'405'!$T$17:$T$18</definedName>
    <definedName name="OSRRefT16x_0" localSheetId="43">'412'!$T$15</definedName>
    <definedName name="OSRRefT16x_0" localSheetId="45">'414'!$T$16</definedName>
    <definedName name="OSRRefT16x_0" localSheetId="46">'415'!$T$17:$T$18</definedName>
    <definedName name="OSRRefT16x_0" localSheetId="47">'418'!$T$15</definedName>
    <definedName name="OSRRefT16x_0" localSheetId="50">'424'!$T$15</definedName>
    <definedName name="OSRRefT16x_0" localSheetId="51">'425'!$T$16</definedName>
    <definedName name="OSRRefT16x_0" localSheetId="55">'433'!$T$18:$T$19</definedName>
    <definedName name="OSRRefT16x_0" localSheetId="56">'435'!$T$17</definedName>
    <definedName name="OSRRefT16x_0" localSheetId="57">'444'!$T$18:$T$19</definedName>
    <definedName name="OSRRefT16x_0" localSheetId="58">'450'!$T$18:$T$19</definedName>
    <definedName name="OSRRefT16x_0" localSheetId="39">'491'!$T$21:$T$22</definedName>
    <definedName name="OSRRefT16x_0" localSheetId="53">'492'!$T$20:$T$21</definedName>
    <definedName name="OSRRefT16x_0" localSheetId="13">'Div 3'!$T$89:$T$139</definedName>
    <definedName name="OSRRefT16x_0" localSheetId="37">'Div 4'!$T$24:$T$25</definedName>
    <definedName name="OSRRefT16x_0" localSheetId="28">'Div 6'!$T$37:$T$51</definedName>
    <definedName name="OSRRefT16x_0" localSheetId="2">Summary!$T$109:$T$166</definedName>
    <definedName name="OSRRefT22_0x_0" localSheetId="6">'200'!$T$20:$T$21</definedName>
    <definedName name="OSRRefT22_0x_0" localSheetId="7">'201'!$T$20:$T$27</definedName>
    <definedName name="OSRRefT22_0x_0" localSheetId="8">'202'!$T$20:$T$27</definedName>
    <definedName name="OSRRefT22_0x_0" localSheetId="9">'203'!$T$20:$T$29</definedName>
    <definedName name="OSRRefT22_0x_0" localSheetId="10">'204'!$T$20:$T$28</definedName>
    <definedName name="OSRRefT22_0x_0" localSheetId="11">'205'!$T$20:$T$27</definedName>
    <definedName name="OSRRefT22_0x_0" localSheetId="12">'206'!$T$20:$T$27</definedName>
    <definedName name="OSRRefT22_0x_0" localSheetId="14">'300'!$T$138:$T$147</definedName>
    <definedName name="OSRRefT22_0x_0" localSheetId="15">'300 &amp; 317'!$T$160:$T$169</definedName>
    <definedName name="OSRRefT22_0x_0" localSheetId="16">'301'!$T$22:$T$31</definedName>
    <definedName name="OSRRefT22_0x_0" localSheetId="17">'306'!$T$20:$T$23</definedName>
    <definedName name="OSRRefT22_0x_0" localSheetId="22">'307'!$T$54:$T$60</definedName>
    <definedName name="OSRRefT22_0x_0" localSheetId="18">'308'!$T$63:$T$71</definedName>
    <definedName name="OSRRefT22_0x_0" localSheetId="32">'309'!$T$27:$T$28</definedName>
    <definedName name="OSRRefT22_0x_0" localSheetId="30">'310'!$T$34:$T$42</definedName>
    <definedName name="OSRRefT22_0x_0" localSheetId="38">'310 &amp; 491'!$T$37:$T$45</definedName>
    <definedName name="OSRRefT22_0x_0" localSheetId="19">'311'!$T$63:$T$71</definedName>
    <definedName name="OSRRefT22_0x_0" localSheetId="31">'313'!$T$25:$T$32</definedName>
    <definedName name="OSRRefT22_0x_0" localSheetId="24">'315'!$T$88:$T$95</definedName>
    <definedName name="OSRRefT22_0x_0" localSheetId="27">'316'!$T$34:$T$41</definedName>
    <definedName name="OSRRefT22_0x_0" localSheetId="29">'317'!$T$57:$T$65</definedName>
    <definedName name="OSRRefT22_0x_0" localSheetId="33">'321'!$T$27:$T$35</definedName>
    <definedName name="OSRRefT22_0x_0" localSheetId="34">'322'!$T$21:$T$25</definedName>
    <definedName name="OSRRefT22_0x_0" localSheetId="35">'325'!$T$24:$T$31</definedName>
    <definedName name="OSRRefT22_0x_0" localSheetId="25">'326'!$T$60:$T$67</definedName>
    <definedName name="OSRRefT22_0x_0" localSheetId="36">'327'!$T$24</definedName>
    <definedName name="OSRRefT22_0x_0" localSheetId="23">'331'!$T$90:$T$97</definedName>
    <definedName name="OSRRefT22_0x_0" localSheetId="26">'332'!$T$36:$T$43</definedName>
    <definedName name="OSRRefT22_0x_0" localSheetId="21">'333'!$T$99:$T$106</definedName>
    <definedName name="OSRRefT22_0x_0" localSheetId="40">'405'!$T$24:$T$31</definedName>
    <definedName name="OSRRefT22_0x_0" localSheetId="41">'406'!$T$20</definedName>
    <definedName name="OSRRefT22_0x_0" localSheetId="42">'411'!$T$20:$T$27</definedName>
    <definedName name="OSRRefT22_0x_0" localSheetId="43">'412'!$T$21</definedName>
    <definedName name="OSRRefT22_0x_0" localSheetId="44">'413'!$T$20:$T$24</definedName>
    <definedName name="OSRRefT22_0x_0" localSheetId="45">'414'!$T$22</definedName>
    <definedName name="OSRRefT22_0x_0" localSheetId="46">'415'!$T$24:$T$32</definedName>
    <definedName name="OSRRefT22_0x_0" localSheetId="47">'418'!$T$21:$T$28</definedName>
    <definedName name="OSRRefT22_0x_0" localSheetId="48">'420'!$T$22</definedName>
    <definedName name="OSRRefT22_0x_0" localSheetId="49">'423'!$T$20:$T$21</definedName>
    <definedName name="OSRRefT22_0x_0" localSheetId="50">'424'!$T$21</definedName>
    <definedName name="OSRRefT22_0x_0" localSheetId="51">'425'!$T$22:$T$26</definedName>
    <definedName name="OSRRefT22_0x_0" localSheetId="54">'430'!$T$20:$T$27</definedName>
    <definedName name="OSRRefT22_0x_0" localSheetId="55">'433'!$T$25:$T$33</definedName>
    <definedName name="OSRRefT22_0x_0" localSheetId="56">'435'!$T$23:$T$24</definedName>
    <definedName name="OSRRefT22_0x_0" localSheetId="57">'444'!$T$25:$T$33</definedName>
    <definedName name="OSRRefT22_0x_0" localSheetId="58">'450'!$T$25:$T$33</definedName>
    <definedName name="OSRRefT22_0x_0" localSheetId="39">'491'!$T$28:$T$36</definedName>
    <definedName name="OSRRefT22_0x_0" localSheetId="53">'492'!$T$27:$T$35</definedName>
    <definedName name="OSRRefT22_0x_0" localSheetId="60">'501'!$T$21:$T$29</definedName>
    <definedName name="OSRRefT22_0x_0" localSheetId="5">'Div 2'!$T$20:$T$30</definedName>
    <definedName name="OSRRefT22_0x_0" localSheetId="13">'Div 3'!$T$145:$T$154</definedName>
    <definedName name="OSRRefT22_0x_0" localSheetId="37">'Div 4'!$T$31:$T$39</definedName>
    <definedName name="OSRRefT22_0x_0" localSheetId="59">'Div 5'!$T$21:$T$29</definedName>
    <definedName name="OSRRefT22_0x_0" localSheetId="28">'Div 6'!$T$57:$T$65</definedName>
    <definedName name="OSRRefT22_0x_0" localSheetId="2">Summary!$T$172:$T$181</definedName>
    <definedName name="OSRRefT22_10x_0" localSheetId="7">'201'!$T$50:$T$52</definedName>
    <definedName name="OSRRefT22_10x_0" localSheetId="8">'202'!$T$52:$T$54</definedName>
    <definedName name="OSRRefT22_10x_0" localSheetId="9">'203'!$T$56:$T$59</definedName>
    <definedName name="OSRRefT22_10x_0" localSheetId="14">'300'!$T$176:$T$177</definedName>
    <definedName name="OSRRefT22_10x_0" localSheetId="15">'300 &amp; 317'!$T$198:$T$199</definedName>
    <definedName name="OSRRefT22_10x_0" localSheetId="16">'301'!$T$60</definedName>
    <definedName name="OSRRefT22_10x_0" localSheetId="22">'307'!$T$86</definedName>
    <definedName name="OSRRefT22_10x_0" localSheetId="18">'308'!$T$101:$T$102</definedName>
    <definedName name="OSRRefT22_10x_0" localSheetId="32">'309'!$T$51:$T$52</definedName>
    <definedName name="OSRRefT22_10x_0" localSheetId="30">'310'!$T$68</definedName>
    <definedName name="OSRRefT22_10x_0" localSheetId="38">'310 &amp; 491'!$T$73</definedName>
    <definedName name="OSRRefT22_10x_0" localSheetId="19">'311'!$T$101:$T$102</definedName>
    <definedName name="OSRRefT22_10x_0" localSheetId="24">'315'!$T$123:$T$124</definedName>
    <definedName name="OSRRefT22_10x_0" localSheetId="27">'316'!$T$67</definedName>
    <definedName name="OSRRefT22_10x_0" localSheetId="29">'317'!$T$91:$T$94</definedName>
    <definedName name="OSRRefT22_10x_0" localSheetId="33">'321'!$T$63:$T$67</definedName>
    <definedName name="OSRRefT22_10x_0" localSheetId="35">'325'!$T$54</definedName>
    <definedName name="OSRRefT22_10x_0" localSheetId="25">'326'!$T$92</definedName>
    <definedName name="OSRRefT22_10x_0" localSheetId="23">'331'!$T$124</definedName>
    <definedName name="OSRRefT22_10x_0" localSheetId="26">'332'!$T$69</definedName>
    <definedName name="OSRRefT22_10x_0" localSheetId="21">'333'!$T$133</definedName>
    <definedName name="OSRRefT22_10x_0" localSheetId="40">'405'!$T$55:$T$56</definedName>
    <definedName name="OSRRefT22_10x_0" localSheetId="42">'411'!$T$52</definedName>
    <definedName name="OSRRefT22_10x_0" localSheetId="46">'415'!$T$57</definedName>
    <definedName name="OSRRefT22_10x_0" localSheetId="47">'418'!$T$53</definedName>
    <definedName name="OSRRefT22_10x_0" localSheetId="55">'433'!$T$58</definedName>
    <definedName name="OSRRefT22_10x_0" localSheetId="57">'444'!$T$58</definedName>
    <definedName name="OSRRefT22_10x_0" localSheetId="58">'450'!$T$57</definedName>
    <definedName name="OSRRefT22_10x_0" localSheetId="39">'491'!$T$62</definedName>
    <definedName name="OSRRefT22_10x_0" localSheetId="53">'492'!$T$61</definedName>
    <definedName name="OSRRefT22_10x_0" localSheetId="60">'501'!$T$59</definedName>
    <definedName name="OSRRefT22_10x_0" localSheetId="5">'Div 2'!$T$56</definedName>
    <definedName name="OSRRefT22_10x_0" localSheetId="13">'Div 3'!$T$183:$T$184</definedName>
    <definedName name="OSRRefT22_10x_0" localSheetId="37">'Div 4'!$T$66</definedName>
    <definedName name="OSRRefT22_10x_0" localSheetId="59">'Div 5'!$T$59</definedName>
    <definedName name="OSRRefT22_10x_0" localSheetId="28">'Div 6'!$T$91:$T$94</definedName>
    <definedName name="OSRRefT22_10x_0" localSheetId="2">Summary!$T$210:$T$211</definedName>
    <definedName name="OSRRefT22_11x_0" localSheetId="7">'201'!$T$54:$T$56</definedName>
    <definedName name="OSRRefT22_11x_0" localSheetId="8">'202'!$T$56</definedName>
    <definedName name="OSRRefT22_11x_0" localSheetId="9">'203'!$T$61</definedName>
    <definedName name="OSRRefT22_11x_0" localSheetId="14">'300'!$T$179</definedName>
    <definedName name="OSRRefT22_11x_0" localSheetId="15">'300 &amp; 317'!$T$201</definedName>
    <definedName name="OSRRefT22_11x_0" localSheetId="16">'301'!$T$62</definedName>
    <definedName name="OSRRefT22_11x_0" localSheetId="22">'307'!$T$88:$T$91</definedName>
    <definedName name="OSRRefT22_11x_0" localSheetId="18">'308'!$T$104:$T$105</definedName>
    <definedName name="OSRRefT22_11x_0" localSheetId="32">'309'!$T$54</definedName>
    <definedName name="OSRRefT22_11x_0" localSheetId="30">'310'!$T$70</definedName>
    <definedName name="OSRRefT22_11x_0" localSheetId="38">'310 &amp; 491'!$T$75</definedName>
    <definedName name="OSRRefT22_11x_0" localSheetId="19">'311'!$T$104:$T$105</definedName>
    <definedName name="OSRRefT22_11x_0" localSheetId="24">'315'!$T$126:$T$127</definedName>
    <definedName name="OSRRefT22_11x_0" localSheetId="27">'316'!$T$69</definedName>
    <definedName name="OSRRefT22_11x_0" localSheetId="29">'317'!$T$96</definedName>
    <definedName name="OSRRefT22_11x_0" localSheetId="33">'321'!$T$69</definedName>
    <definedName name="OSRRefT22_11x_0" localSheetId="35">'325'!$T$56:$T$57</definedName>
    <definedName name="OSRRefT22_11x_0" localSheetId="25">'326'!$T$94:$T$96</definedName>
    <definedName name="OSRRefT22_11x_0" localSheetId="23">'331'!$T$126:$T$127</definedName>
    <definedName name="OSRRefT22_11x_0" localSheetId="26">'332'!$T$71</definedName>
    <definedName name="OSRRefT22_11x_0" localSheetId="21">'333'!$T$135:$T$136</definedName>
    <definedName name="OSRRefT22_11x_0" localSheetId="40">'405'!$T$58:$T$61</definedName>
    <definedName name="OSRRefT22_11x_0" localSheetId="42">'411'!$T$54:$T$57</definedName>
    <definedName name="OSRRefT22_11x_0" localSheetId="46">'415'!$T$59:$T$61</definedName>
    <definedName name="OSRRefT22_11x_0" localSheetId="47">'418'!$T$55:$T$61</definedName>
    <definedName name="OSRRefT22_11x_0" localSheetId="55">'433'!$T$60:$T$61</definedName>
    <definedName name="OSRRefT22_11x_0" localSheetId="57">'444'!$T$60:$T$61</definedName>
    <definedName name="OSRRefT22_11x_0" localSheetId="58">'450'!$T$59</definedName>
    <definedName name="OSRRefT22_11x_0" localSheetId="39">'491'!$T$64</definedName>
    <definedName name="OSRRefT22_11x_0" localSheetId="53">'492'!$T$63</definedName>
    <definedName name="OSRRefT22_11x_0" localSheetId="60">'501'!$T$61</definedName>
    <definedName name="OSRRefT22_11x_0" localSheetId="5">'Div 2'!$T$58</definedName>
    <definedName name="OSRRefT22_11x_0" localSheetId="13">'Div 3'!$T$186</definedName>
    <definedName name="OSRRefT22_11x_0" localSheetId="37">'Div 4'!$T$68</definedName>
    <definedName name="OSRRefT22_11x_0" localSheetId="59">'Div 5'!$T$61</definedName>
    <definedName name="OSRRefT22_11x_0" localSheetId="28">'Div 6'!$T$96</definedName>
    <definedName name="OSRRefT22_11x_0" localSheetId="2">Summary!$T$213</definedName>
    <definedName name="OSRRefT22_12x_0" localSheetId="7">'201'!$T$58</definedName>
    <definedName name="OSRRefT22_12x_0" localSheetId="8">'202'!$T$58</definedName>
    <definedName name="OSRRefT22_12x_0" localSheetId="9">'203'!$T$63</definedName>
    <definedName name="OSRRefT22_12x_0" localSheetId="14">'300'!$T$181</definedName>
    <definedName name="OSRRefT22_12x_0" localSheetId="15">'300 &amp; 317'!$T$203</definedName>
    <definedName name="OSRRefT22_12x_0" localSheetId="16">'301'!$T$64</definedName>
    <definedName name="OSRRefT22_12x_0" localSheetId="22">'307'!$T$93</definedName>
    <definedName name="OSRRefT22_12x_0" localSheetId="18">'308'!$T$107:$T$108</definedName>
    <definedName name="OSRRefT22_12x_0" localSheetId="32">'309'!$T$56</definedName>
    <definedName name="OSRRefT22_12x_0" localSheetId="30">'310'!$T$72:$T$73</definedName>
    <definedName name="OSRRefT22_12x_0" localSheetId="38">'310 &amp; 491'!$T$77</definedName>
    <definedName name="OSRRefT22_12x_0" localSheetId="19">'311'!$T$107:$T$108</definedName>
    <definedName name="OSRRefT22_12x_0" localSheetId="24">'315'!$T$129:$T$130</definedName>
    <definedName name="OSRRefT22_12x_0" localSheetId="27">'316'!$T$71:$T$76</definedName>
    <definedName name="OSRRefT22_12x_0" localSheetId="29">'317'!$T$98</definedName>
    <definedName name="OSRRefT22_12x_0" localSheetId="33">'321'!$T$71</definedName>
    <definedName name="OSRRefT22_12x_0" localSheetId="35">'325'!$T$59:$T$62</definedName>
    <definedName name="OSRRefT22_12x_0" localSheetId="25">'326'!$T$98:$T$100</definedName>
    <definedName name="OSRRefT22_12x_0" localSheetId="23">'331'!$T$129</definedName>
    <definedName name="OSRRefT22_12x_0" localSheetId="26">'332'!$T$73:$T$78</definedName>
    <definedName name="OSRRefT22_12x_0" localSheetId="21">'333'!$T$138</definedName>
    <definedName name="OSRRefT22_12x_0" localSheetId="40">'405'!$T$63</definedName>
    <definedName name="OSRRefT22_12x_0" localSheetId="42">'411'!$T$59:$T$61</definedName>
    <definedName name="OSRRefT22_12x_0" localSheetId="46">'415'!$T$63:$T$66</definedName>
    <definedName name="OSRRefT22_12x_0" localSheetId="47">'418'!$T$63</definedName>
    <definedName name="OSRRefT22_12x_0" localSheetId="55">'433'!$T$63:$T$65</definedName>
    <definedName name="OSRRefT22_12x_0" localSheetId="57">'444'!$T$63:$T$66</definedName>
    <definedName name="OSRRefT22_12x_0" localSheetId="58">'450'!$T$61:$T$62</definedName>
    <definedName name="OSRRefT22_12x_0" localSheetId="39">'491'!$T$66</definedName>
    <definedName name="OSRRefT22_12x_0" localSheetId="53">'492'!$T$65:$T$67</definedName>
    <definedName name="OSRRefT22_12x_0" localSheetId="5">'Div 2'!$T$60:$T$62</definedName>
    <definedName name="OSRRefT22_12x_0" localSheetId="13">'Div 3'!$T$188</definedName>
    <definedName name="OSRRefT22_12x_0" localSheetId="37">'Div 4'!$T$70</definedName>
    <definedName name="OSRRefT22_12x_0" localSheetId="28">'Div 6'!$T$98</definedName>
    <definedName name="OSRRefT22_12x_0" localSheetId="2">Summary!$T$215</definedName>
    <definedName name="OSRRefT22_13x_0" localSheetId="7">'201'!$T$60:$T$61</definedName>
    <definedName name="OSRRefT22_13x_0" localSheetId="8">'202'!$T$60</definedName>
    <definedName name="OSRRefT22_13x_0" localSheetId="9">'203'!$T$65</definedName>
    <definedName name="OSRRefT22_13x_0" localSheetId="14">'300'!$T$183:$T$184</definedName>
    <definedName name="OSRRefT22_13x_0" localSheetId="15">'300 &amp; 317'!$T$205:$T$206</definedName>
    <definedName name="OSRRefT22_13x_0" localSheetId="16">'301'!$T$66</definedName>
    <definedName name="OSRRefT22_13x_0" localSheetId="22">'307'!$T$95</definedName>
    <definedName name="OSRRefT22_13x_0" localSheetId="18">'308'!$T$110</definedName>
    <definedName name="OSRRefT22_13x_0" localSheetId="30">'310'!$T$75</definedName>
    <definedName name="OSRRefT22_13x_0" localSheetId="38">'310 &amp; 491'!$T$79</definedName>
    <definedName name="OSRRefT22_13x_0" localSheetId="19">'311'!$T$110</definedName>
    <definedName name="OSRRefT22_13x_0" localSheetId="24">'315'!$T$132:$T$136</definedName>
    <definedName name="OSRRefT22_13x_0" localSheetId="27">'316'!$T$78</definedName>
    <definedName name="OSRRefT22_13x_0" localSheetId="33">'321'!$T$73</definedName>
    <definedName name="OSRRefT22_13x_0" localSheetId="35">'325'!$T$64:$T$69</definedName>
    <definedName name="OSRRefT22_13x_0" localSheetId="25">'326'!$T$102:$T$103</definedName>
    <definedName name="OSRRefT22_13x_0" localSheetId="23">'331'!$T$131</definedName>
    <definedName name="OSRRefT22_13x_0" localSheetId="26">'332'!$T$80</definedName>
    <definedName name="OSRRefT22_13x_0" localSheetId="21">'333'!$T$140</definedName>
    <definedName name="OSRRefT22_13x_0" localSheetId="40">'405'!$T$65:$T$73</definedName>
    <definedName name="OSRRefT22_13x_0" localSheetId="42">'411'!$T$63</definedName>
    <definedName name="OSRRefT22_13x_0" localSheetId="46">'415'!$T$68</definedName>
    <definedName name="OSRRefT22_13x_0" localSheetId="47">'418'!$T$65</definedName>
    <definedName name="OSRRefT22_13x_0" localSheetId="55">'433'!$T$67:$T$74</definedName>
    <definedName name="OSRRefT22_13x_0" localSheetId="57">'444'!$T$68</definedName>
    <definedName name="OSRRefT22_13x_0" localSheetId="58">'450'!$T$64:$T$66</definedName>
    <definedName name="OSRRefT22_13x_0" localSheetId="39">'491'!$T$68</definedName>
    <definedName name="OSRRefT22_13x_0" localSheetId="53">'492'!$T$69:$T$72</definedName>
    <definedName name="OSRRefT22_13x_0" localSheetId="5">'Div 2'!$T$64:$T$67</definedName>
    <definedName name="OSRRefT22_13x_0" localSheetId="13">'Div 3'!$T$190</definedName>
    <definedName name="OSRRefT22_13x_0" localSheetId="37">'Div 4'!$T$72</definedName>
    <definedName name="OSRRefT22_13x_0" localSheetId="2">Summary!$T$217</definedName>
    <definedName name="OSRRefT22_14x_0" localSheetId="7">'201'!$T$63</definedName>
    <definedName name="OSRRefT22_14x_0" localSheetId="14">'300'!$T$186</definedName>
    <definedName name="OSRRefT22_14x_0" localSheetId="15">'300 &amp; 317'!$T$208</definedName>
    <definedName name="OSRRefT22_14x_0" localSheetId="16">'301'!$T$68</definedName>
    <definedName name="OSRRefT22_14x_0" localSheetId="18">'308'!$T$112</definedName>
    <definedName name="OSRRefT22_14x_0" localSheetId="30">'310'!$T$77:$T$80</definedName>
    <definedName name="OSRRefT22_14x_0" localSheetId="38">'310 &amp; 491'!$T$81:$T$84</definedName>
    <definedName name="OSRRefT22_14x_0" localSheetId="19">'311'!$T$112</definedName>
    <definedName name="OSRRefT22_14x_0" localSheetId="24">'315'!$T$138</definedName>
    <definedName name="OSRRefT22_14x_0" localSheetId="27">'316'!$T$80</definedName>
    <definedName name="OSRRefT22_14x_0" localSheetId="35">'325'!$T$71</definedName>
    <definedName name="OSRRefT22_14x_0" localSheetId="25">'326'!$T$105:$T$108</definedName>
    <definedName name="OSRRefT22_14x_0" localSheetId="23">'331'!$T$133:$T$135</definedName>
    <definedName name="OSRRefT22_14x_0" localSheetId="26">'332'!$T$82</definedName>
    <definedName name="OSRRefT22_14x_0" localSheetId="21">'333'!$T$142:$T$144</definedName>
    <definedName name="OSRRefT22_14x_0" localSheetId="40">'405'!$T$75</definedName>
    <definedName name="OSRRefT22_14x_0" localSheetId="42">'411'!$T$65:$T$67</definedName>
    <definedName name="OSRRefT22_14x_0" localSheetId="46">'415'!$T$70:$T$76</definedName>
    <definedName name="OSRRefT22_14x_0" localSheetId="55">'433'!$T$76</definedName>
    <definedName name="OSRRefT22_14x_0" localSheetId="57">'444'!$T$70:$T$77</definedName>
    <definedName name="OSRRefT22_14x_0" localSheetId="58">'450'!$T$68:$T$73</definedName>
    <definedName name="OSRRefT22_14x_0" localSheetId="39">'491'!$T$70:$T$73</definedName>
    <definedName name="OSRRefT22_14x_0" localSheetId="53">'492'!$T$74</definedName>
    <definedName name="OSRRefT22_14x_0" localSheetId="5">'Div 2'!$T$69</definedName>
    <definedName name="OSRRefT22_14x_0" localSheetId="13">'Div 3'!$T$192:$T$193</definedName>
    <definedName name="OSRRefT22_14x_0" localSheetId="37">'Div 4'!$T$74</definedName>
    <definedName name="OSRRefT22_14x_0" localSheetId="2">Summary!$T$219:$T$220</definedName>
    <definedName name="OSRRefT22_15x_0" localSheetId="7">'201'!$T$65</definedName>
    <definedName name="OSRRefT22_15x_0" localSheetId="14">'300'!$T$188</definedName>
    <definedName name="OSRRefT22_15x_0" localSheetId="15">'300 &amp; 317'!$T$210</definedName>
    <definedName name="OSRRefT22_15x_0" localSheetId="16">'301'!$T$70:$T$73</definedName>
    <definedName name="OSRRefT22_15x_0" localSheetId="30">'310'!$T$82:$T$87</definedName>
    <definedName name="OSRRefT22_15x_0" localSheetId="38">'310 &amp; 491'!$T$86</definedName>
    <definedName name="OSRRefT22_15x_0" localSheetId="24">'315'!$T$140</definedName>
    <definedName name="OSRRefT22_15x_0" localSheetId="35">'325'!$T$73</definedName>
    <definedName name="OSRRefT22_15x_0" localSheetId="25">'326'!$T$110</definedName>
    <definedName name="OSRRefT22_15x_0" localSheetId="23">'331'!$T$137:$T$138</definedName>
    <definedName name="OSRRefT22_15x_0" localSheetId="21">'333'!$T$146:$T$147</definedName>
    <definedName name="OSRRefT22_15x_0" localSheetId="40">'405'!$T$77</definedName>
    <definedName name="OSRRefT22_15x_0" localSheetId="42">'411'!$T$69</definedName>
    <definedName name="OSRRefT22_15x_0" localSheetId="46">'415'!$T$78</definedName>
    <definedName name="OSRRefT22_15x_0" localSheetId="55">'433'!$T$78</definedName>
    <definedName name="OSRRefT22_15x_0" localSheetId="57">'444'!$T$79</definedName>
    <definedName name="OSRRefT22_15x_0" localSheetId="58">'450'!$T$75</definedName>
    <definedName name="OSRRefT22_15x_0" localSheetId="39">'491'!$T$75</definedName>
    <definedName name="OSRRefT22_15x_0" localSheetId="53">'492'!$T$76:$T$83</definedName>
    <definedName name="OSRRefT22_15x_0" localSheetId="5">'Div 2'!$T$71:$T$72</definedName>
    <definedName name="OSRRefT22_15x_0" localSheetId="13">'Div 3'!$T$195</definedName>
    <definedName name="OSRRefT22_15x_0" localSheetId="37">'Div 4'!$T$76</definedName>
    <definedName name="OSRRefT22_15x_0" localSheetId="2">Summary!$T$222</definedName>
    <definedName name="OSRRefT22_16x_0" localSheetId="14">'300'!$T$190:$T$193</definedName>
    <definedName name="OSRRefT22_16x_0" localSheetId="15">'300 &amp; 317'!$T$212:$T$215</definedName>
    <definedName name="OSRRefT22_16x_0" localSheetId="16">'301'!$T$75:$T$77</definedName>
    <definedName name="OSRRefT22_16x_0" localSheetId="30">'310'!$T$89</definedName>
    <definedName name="OSRRefT22_16x_0" localSheetId="38">'310 &amp; 491'!$T$88:$T$91</definedName>
    <definedName name="OSRRefT22_16x_0" localSheetId="24">'315'!$T$142</definedName>
    <definedName name="OSRRefT22_16x_0" localSheetId="35">'325'!$T$75</definedName>
    <definedName name="OSRRefT22_16x_0" localSheetId="25">'326'!$T$112</definedName>
    <definedName name="OSRRefT22_16x_0" localSheetId="23">'331'!$T$140:$T$142</definedName>
    <definedName name="OSRRefT22_16x_0" localSheetId="21">'333'!$T$149:$T$152</definedName>
    <definedName name="OSRRefT22_16x_0" localSheetId="40">'405'!$T$79</definedName>
    <definedName name="OSRRefT22_16x_0" localSheetId="42">'411'!$T$71</definedName>
    <definedName name="OSRRefT22_16x_0" localSheetId="46">'415'!$T$80</definedName>
    <definedName name="OSRRefT22_16x_0" localSheetId="57">'444'!$T$81</definedName>
    <definedName name="OSRRefT22_16x_0" localSheetId="58">'450'!$T$77</definedName>
    <definedName name="OSRRefT22_16x_0" localSheetId="39">'491'!$T$77:$T$80</definedName>
    <definedName name="OSRRefT22_16x_0" localSheetId="53">'492'!$T$85</definedName>
    <definedName name="OSRRefT22_16x_0" localSheetId="5">'Div 2'!$T$74:$T$78</definedName>
    <definedName name="OSRRefT22_16x_0" localSheetId="13">'Div 3'!$T$197</definedName>
    <definedName name="OSRRefT22_16x_0" localSheetId="37">'Div 4'!$T$78:$T$81</definedName>
    <definedName name="OSRRefT22_16x_0" localSheetId="2">Summary!$T$224</definedName>
    <definedName name="OSRRefT22_17x_0" localSheetId="14">'300'!$T$195:$T$197</definedName>
    <definedName name="OSRRefT22_17x_0" localSheetId="15">'300 &amp; 317'!$T$217:$T$219</definedName>
    <definedName name="OSRRefT22_17x_0" localSheetId="16">'301'!$T$79:$T$80</definedName>
    <definedName name="OSRRefT22_17x_0" localSheetId="30">'310'!$T$91</definedName>
    <definedName name="OSRRefT22_17x_0" localSheetId="38">'310 &amp; 491'!$T$93</definedName>
    <definedName name="OSRRefT22_17x_0" localSheetId="25">'326'!$T$114</definedName>
    <definedName name="OSRRefT22_17x_0" localSheetId="23">'331'!$T$144:$T$145</definedName>
    <definedName name="OSRRefT22_17x_0" localSheetId="21">'333'!$T$154:$T$155</definedName>
    <definedName name="OSRRefT22_17x_0" localSheetId="42">'411'!$T$73:$T$74</definedName>
    <definedName name="OSRRefT22_17x_0" localSheetId="46">'415'!$T$82</definedName>
    <definedName name="OSRRefT22_17x_0" localSheetId="57">'444'!$T$83</definedName>
    <definedName name="OSRRefT22_17x_0" localSheetId="58">'450'!$T$79</definedName>
    <definedName name="OSRRefT22_17x_0" localSheetId="39">'491'!$T$82</definedName>
    <definedName name="OSRRefT22_17x_0" localSheetId="53">'492'!$T$87</definedName>
    <definedName name="OSRRefT22_17x_0" localSheetId="5">'Div 2'!$T$80:$T$81</definedName>
    <definedName name="OSRRefT22_17x_0" localSheetId="13">'Div 3'!$T$199:$T$202</definedName>
    <definedName name="OSRRefT22_17x_0" localSheetId="37">'Div 4'!$T$83</definedName>
    <definedName name="OSRRefT22_17x_0" localSheetId="2">Summary!$T$226</definedName>
    <definedName name="OSRRefT22_18x_0" localSheetId="14">'300'!$T$199:$T$202</definedName>
    <definedName name="OSRRefT22_18x_0" localSheetId="15">'300 &amp; 317'!$T$221:$T$224</definedName>
    <definedName name="OSRRefT22_18x_0" localSheetId="16">'301'!$T$82:$T$87</definedName>
    <definedName name="OSRRefT22_18x_0" localSheetId="30">'310'!$T$93</definedName>
    <definedName name="OSRRefT22_18x_0" localSheetId="38">'310 &amp; 491'!$T$95:$T$103</definedName>
    <definedName name="OSRRefT22_18x_0" localSheetId="23">'331'!$T$147:$T$152</definedName>
    <definedName name="OSRRefT22_18x_0" localSheetId="21">'333'!$T$157:$T$162</definedName>
    <definedName name="OSRRefT22_18x_0" localSheetId="42">'411'!$T$76</definedName>
    <definedName name="OSRRefT22_18x_0" localSheetId="39">'491'!$T$84:$T$92</definedName>
    <definedName name="OSRRefT22_18x_0" localSheetId="53">'492'!$T$89:$T$91</definedName>
    <definedName name="OSRRefT22_18x_0" localSheetId="5">'Div 2'!$T$83</definedName>
    <definedName name="OSRRefT22_18x_0" localSheetId="13">'Div 3'!$T$204:$T$206</definedName>
    <definedName name="OSRRefT22_18x_0" localSheetId="37">'Div 4'!$T$85:$T$88</definedName>
    <definedName name="OSRRefT22_18x_0" localSheetId="2">Summary!$T$228:$T$231</definedName>
    <definedName name="OSRRefT22_19x_0" localSheetId="14">'300'!$T$204:$T$205</definedName>
    <definedName name="OSRRefT22_19x_0" localSheetId="15">'300 &amp; 317'!$T$226:$T$227</definedName>
    <definedName name="OSRRefT22_19x_0" localSheetId="16">'301'!$T$89</definedName>
    <definedName name="OSRRefT22_19x_0" localSheetId="38">'310 &amp; 491'!$T$105</definedName>
    <definedName name="OSRRefT22_19x_0" localSheetId="23">'331'!$T$154</definedName>
    <definedName name="OSRRefT22_19x_0" localSheetId="21">'333'!$T$164</definedName>
    <definedName name="OSRRefT22_19x_0" localSheetId="39">'491'!$T$94</definedName>
    <definedName name="OSRRefT22_19x_0" localSheetId="5">'Div 2'!$T$85:$T$86</definedName>
    <definedName name="OSRRefT22_19x_0" localSheetId="13">'Div 3'!$T$208:$T$212</definedName>
    <definedName name="OSRRefT22_19x_0" localSheetId="37">'Div 4'!$T$90:$T$91</definedName>
    <definedName name="OSRRefT22_19x_0" localSheetId="2">Summary!$T$233:$T$235</definedName>
    <definedName name="OSRRefT22_1x_0" localSheetId="6">'200'!$T$23</definedName>
    <definedName name="OSRRefT22_1x_0" localSheetId="7">'201'!$T$29:$T$32</definedName>
    <definedName name="OSRRefT22_1x_0" localSheetId="8">'202'!$T$29:$T$31</definedName>
    <definedName name="OSRRefT22_1x_0" localSheetId="9">'203'!$T$31:$T$35</definedName>
    <definedName name="OSRRefT22_1x_0" localSheetId="10">'204'!$T$30:$T$32</definedName>
    <definedName name="OSRRefT22_1x_0" localSheetId="11">'205'!$T$29</definedName>
    <definedName name="OSRRefT22_1x_0" localSheetId="12">'206'!$T$29:$T$32</definedName>
    <definedName name="OSRRefT22_1x_0" localSheetId="14">'300'!$T$149:$T$155</definedName>
    <definedName name="OSRRefT22_1x_0" localSheetId="15">'300 &amp; 317'!$T$171:$T$177</definedName>
    <definedName name="OSRRefT22_1x_0" localSheetId="16">'301'!$T$33:$T$39</definedName>
    <definedName name="OSRRefT22_1x_0" localSheetId="17">'306'!$T$25:$T$26</definedName>
    <definedName name="OSRRefT22_1x_0" localSheetId="22">'307'!$T$62:$T$65</definedName>
    <definedName name="OSRRefT22_1x_0" localSheetId="18">'308'!$T$73:$T$79</definedName>
    <definedName name="OSRRefT22_1x_0" localSheetId="32">'309'!$T$30:$T$31</definedName>
    <definedName name="OSRRefT22_1x_0" localSheetId="30">'310'!$T$44:$T$49</definedName>
    <definedName name="OSRRefT22_1x_0" localSheetId="38">'310 &amp; 491'!$T$47:$T$53</definedName>
    <definedName name="OSRRefT22_1x_0" localSheetId="19">'311'!$T$73:$T$79</definedName>
    <definedName name="OSRRefT22_1x_0" localSheetId="31">'313'!$T$34</definedName>
    <definedName name="OSRRefT22_1x_0" localSheetId="24">'315'!$T$97:$T$102</definedName>
    <definedName name="OSRRefT22_1x_0" localSheetId="27">'316'!$T$43:$T$46</definedName>
    <definedName name="OSRRefT22_1x_0" localSheetId="29">'317'!$T$67:$T$71</definedName>
    <definedName name="OSRRefT22_1x_0" localSheetId="33">'321'!$T$37:$T$42</definedName>
    <definedName name="OSRRefT22_1x_0" localSheetId="34">'322'!$T$27</definedName>
    <definedName name="OSRRefT22_1x_0" localSheetId="35">'325'!$T$33:$T$35</definedName>
    <definedName name="OSRRefT22_1x_0" localSheetId="25">'326'!$T$69:$T$74</definedName>
    <definedName name="OSRRefT22_1x_0" localSheetId="36">'327'!$T$26</definedName>
    <definedName name="OSRRefT22_1x_0" localSheetId="23">'331'!$T$99:$T$104</definedName>
    <definedName name="OSRRefT22_1x_0" localSheetId="26">'332'!$T$45:$T$48</definedName>
    <definedName name="OSRRefT22_1x_0" localSheetId="21">'333'!$T$108:$T$113</definedName>
    <definedName name="OSRRefT22_1x_0" localSheetId="40">'405'!$T$33:$T$36</definedName>
    <definedName name="OSRRefT22_1x_0" localSheetId="41">'406'!$T$22</definedName>
    <definedName name="OSRRefT22_1x_0" localSheetId="42">'411'!$T$29:$T$33</definedName>
    <definedName name="OSRRefT22_1x_0" localSheetId="43">'412'!$T$23</definedName>
    <definedName name="OSRRefT22_1x_0" localSheetId="44">'413'!$T$26</definedName>
    <definedName name="OSRRefT22_1x_0" localSheetId="45">'414'!$T$24</definedName>
    <definedName name="OSRRefT22_1x_0" localSheetId="46">'415'!$T$34:$T$38</definedName>
    <definedName name="OSRRefT22_1x_0" localSheetId="47">'418'!$T$30:$T$33</definedName>
    <definedName name="OSRRefT22_1x_0" localSheetId="48">'420'!$T$24</definedName>
    <definedName name="OSRRefT22_1x_0" localSheetId="49">'423'!$T$23</definedName>
    <definedName name="OSRRefT22_1x_0" localSheetId="50">'424'!$T$23</definedName>
    <definedName name="OSRRefT22_1x_0" localSheetId="51">'425'!$T$28</definedName>
    <definedName name="OSRRefT22_1x_0" localSheetId="54">'430'!$T$29</definedName>
    <definedName name="OSRRefT22_1x_0" localSheetId="55">'433'!$T$35:$T$40</definedName>
    <definedName name="OSRRefT22_1x_0" localSheetId="56">'435'!$T$26</definedName>
    <definedName name="OSRRefT22_1x_0" localSheetId="57">'444'!$T$35:$T$40</definedName>
    <definedName name="OSRRefT22_1x_0" localSheetId="58">'450'!$T$35:$T$39</definedName>
    <definedName name="OSRRefT22_1x_0" localSheetId="39">'491'!$T$38:$T$43</definedName>
    <definedName name="OSRRefT22_1x_0" localSheetId="53">'492'!$T$37:$T$43</definedName>
    <definedName name="OSRRefT22_1x_0" localSheetId="60">'501'!$T$31:$T$36</definedName>
    <definedName name="OSRRefT22_1x_0" localSheetId="5">'Div 2'!$T$32:$T$37</definedName>
    <definedName name="OSRRefT22_1x_0" localSheetId="13">'Div 3'!$T$156:$T$162</definedName>
    <definedName name="OSRRefT22_1x_0" localSheetId="37">'Div 4'!$T$41:$T$47</definedName>
    <definedName name="OSRRefT22_1x_0" localSheetId="59">'Div 5'!$T$31:$T$36</definedName>
    <definedName name="OSRRefT22_1x_0" localSheetId="28">'Div 6'!$T$67:$T$71</definedName>
    <definedName name="OSRRefT22_1x_0" localSheetId="2">Summary!$T$183:$T$189</definedName>
    <definedName name="OSRRefT22_20x_0" localSheetId="14">'300'!$T$207:$T$213</definedName>
    <definedName name="OSRRefT22_20x_0" localSheetId="15">'300 &amp; 317'!$T$229:$T$235</definedName>
    <definedName name="OSRRefT22_20x_0" localSheetId="16">'301'!$T$91</definedName>
    <definedName name="OSRRefT22_20x_0" localSheetId="38">'310 &amp; 491'!$T$107</definedName>
    <definedName name="OSRRefT22_20x_0" localSheetId="23">'331'!$T$156</definedName>
    <definedName name="OSRRefT22_20x_0" localSheetId="21">'333'!$T$166</definedName>
    <definedName name="OSRRefT22_20x_0" localSheetId="39">'491'!$T$96</definedName>
    <definedName name="OSRRefT22_20x_0" localSheetId="13">'Div 3'!$T$214:$T$215</definedName>
    <definedName name="OSRRefT22_20x_0" localSheetId="37">'Div 4'!$T$93:$T$101</definedName>
    <definedName name="OSRRefT22_20x_0" localSheetId="2">Summary!$T$237:$T$241</definedName>
    <definedName name="OSRRefT22_21x_0" localSheetId="14">'300'!$T$215:$T$216</definedName>
    <definedName name="OSRRefT22_21x_0" localSheetId="15">'300 &amp; 317'!$T$237:$T$238</definedName>
    <definedName name="OSRRefT22_21x_0" localSheetId="16">'301'!$T$93:$T$95</definedName>
    <definedName name="OSRRefT22_21x_0" localSheetId="38">'310 &amp; 491'!$T$109:$T$110</definedName>
    <definedName name="OSRRefT22_21x_0" localSheetId="23">'331'!$T$158</definedName>
    <definedName name="OSRRefT22_21x_0" localSheetId="21">'333'!$T$168</definedName>
    <definedName name="OSRRefT22_21x_0" localSheetId="39">'491'!$T$98:$T$99</definedName>
    <definedName name="OSRRefT22_21x_0" localSheetId="13">'Div 3'!$T$217:$T$223</definedName>
    <definedName name="OSRRefT22_21x_0" localSheetId="37">'Div 4'!$T$103</definedName>
    <definedName name="OSRRefT22_21x_0" localSheetId="2">Summary!$T$243:$T$244</definedName>
    <definedName name="OSRRefT22_22x_0" localSheetId="14">'300'!$T$218</definedName>
    <definedName name="OSRRefT22_22x_0" localSheetId="15">'300 &amp; 317'!$T$240</definedName>
    <definedName name="OSRRefT22_22x_0" localSheetId="16">'301'!$T$97</definedName>
    <definedName name="OSRRefT22_22x_0" localSheetId="38">'310 &amp; 491'!$T$112</definedName>
    <definedName name="OSRRefT22_22x_0" localSheetId="23">'331'!$T$160</definedName>
    <definedName name="OSRRefT22_22x_0" localSheetId="21">'333'!$T$170</definedName>
    <definedName name="OSRRefT22_22x_0" localSheetId="39">'491'!$T$101</definedName>
    <definedName name="OSRRefT22_22x_0" localSheetId="13">'Div 3'!$T$225:$T$226</definedName>
    <definedName name="OSRRefT22_22x_0" localSheetId="37">'Div 4'!$T$105</definedName>
    <definedName name="OSRRefT22_22x_0" localSheetId="2">Summary!$T$246:$T$254</definedName>
    <definedName name="OSRRefT22_23x_0" localSheetId="14">'300'!$T$220:$T$222</definedName>
    <definedName name="OSRRefT22_23x_0" localSheetId="15">'300 &amp; 317'!$T$242:$T$244</definedName>
    <definedName name="OSRRefT22_23x_0" localSheetId="13">'Div 3'!$T$228</definedName>
    <definedName name="OSRRefT22_23x_0" localSheetId="37">'Div 4'!$T$107:$T$109</definedName>
    <definedName name="OSRRefT22_23x_0" localSheetId="2">Summary!$T$256:$T$257</definedName>
    <definedName name="OSRRefT22_24x_0" localSheetId="14">'300'!$T$224</definedName>
    <definedName name="OSRRefT22_24x_0" localSheetId="15">'300 &amp; 317'!$T$246</definedName>
    <definedName name="OSRRefT22_24x_0" localSheetId="13">'Div 3'!$T$230:$T$232</definedName>
    <definedName name="OSRRefT22_24x_0" localSheetId="37">'Div 4'!$T$111</definedName>
    <definedName name="OSRRefT22_24x_0" localSheetId="2">Summary!$T$259</definedName>
    <definedName name="OSRRefT22_25x_0" localSheetId="13">'Div 3'!$T$234</definedName>
    <definedName name="OSRRefT22_25x_0" localSheetId="2">Summary!$T$261:$T$263</definedName>
    <definedName name="OSRRefT22_26x_0" localSheetId="2">Summary!$T$265</definedName>
    <definedName name="OSRRefT22_2x_0" localSheetId="6">'200'!$T$25</definedName>
    <definedName name="OSRRefT22_2x_0" localSheetId="7">'201'!$T$34</definedName>
    <definedName name="OSRRefT22_2x_0" localSheetId="8">'202'!$T$33</definedName>
    <definedName name="OSRRefT22_2x_0" localSheetId="9">'203'!$T$37</definedName>
    <definedName name="OSRRefT22_2x_0" localSheetId="10">'204'!$T$34</definedName>
    <definedName name="OSRRefT22_2x_0" localSheetId="11">'205'!$T$31</definedName>
    <definedName name="OSRRefT22_2x_0" localSheetId="12">'206'!$T$34</definedName>
    <definedName name="OSRRefT22_2x_0" localSheetId="14">'300'!$T$157</definedName>
    <definedName name="OSRRefT22_2x_0" localSheetId="15">'300 &amp; 317'!$T$179</definedName>
    <definedName name="OSRRefT22_2x_0" localSheetId="16">'301'!$T$41</definedName>
    <definedName name="OSRRefT22_2x_0" localSheetId="17">'306'!$T$28</definedName>
    <definedName name="OSRRefT22_2x_0" localSheetId="22">'307'!$T$67</definedName>
    <definedName name="OSRRefT22_2x_0" localSheetId="18">'308'!$T$81</definedName>
    <definedName name="OSRRefT22_2x_0" localSheetId="32">'309'!$T$33</definedName>
    <definedName name="OSRRefT22_2x_0" localSheetId="30">'310'!$T$51</definedName>
    <definedName name="OSRRefT22_2x_0" localSheetId="38">'310 &amp; 491'!$T$55</definedName>
    <definedName name="OSRRefT22_2x_0" localSheetId="19">'311'!$T$81</definedName>
    <definedName name="OSRRefT22_2x_0" localSheetId="31">'313'!$T$36</definedName>
    <definedName name="OSRRefT22_2x_0" localSheetId="24">'315'!$T$104</definedName>
    <definedName name="OSRRefT22_2x_0" localSheetId="27">'316'!$T$48</definedName>
    <definedName name="OSRRefT22_2x_0" localSheetId="29">'317'!$T$73</definedName>
    <definedName name="OSRRefT22_2x_0" localSheetId="33">'321'!$T$44</definedName>
    <definedName name="OSRRefT22_2x_0" localSheetId="34">'322'!$T$29</definedName>
    <definedName name="OSRRefT22_2x_0" localSheetId="35">'325'!$T$37</definedName>
    <definedName name="OSRRefT22_2x_0" localSheetId="25">'326'!$T$76</definedName>
    <definedName name="OSRRefT22_2x_0" localSheetId="23">'331'!$T$106</definedName>
    <definedName name="OSRRefT22_2x_0" localSheetId="26">'332'!$T$50</definedName>
    <definedName name="OSRRefT22_2x_0" localSheetId="21">'333'!$T$115</definedName>
    <definedName name="OSRRefT22_2x_0" localSheetId="40">'405'!$T$38</definedName>
    <definedName name="OSRRefT22_2x_0" localSheetId="41">'406'!$T$24</definedName>
    <definedName name="OSRRefT22_2x_0" localSheetId="42">'411'!$T$35</definedName>
    <definedName name="OSRRefT22_2x_0" localSheetId="43">'412'!$T$25</definedName>
    <definedName name="OSRRefT22_2x_0" localSheetId="44">'413'!$T$28</definedName>
    <definedName name="OSRRefT22_2x_0" localSheetId="45">'414'!$T$26</definedName>
    <definedName name="OSRRefT22_2x_0" localSheetId="46">'415'!$T$40</definedName>
    <definedName name="OSRRefT22_2x_0" localSheetId="47">'418'!$T$35</definedName>
    <definedName name="OSRRefT22_2x_0" localSheetId="49">'423'!$T$25</definedName>
    <definedName name="OSRRefT22_2x_0" localSheetId="50">'424'!$T$25</definedName>
    <definedName name="OSRRefT22_2x_0" localSheetId="51">'425'!$T$30</definedName>
    <definedName name="OSRRefT22_2x_0" localSheetId="54">'430'!$T$31</definedName>
    <definedName name="OSRRefT22_2x_0" localSheetId="55">'433'!$T$42</definedName>
    <definedName name="OSRRefT22_2x_0" localSheetId="56">'435'!$T$28</definedName>
    <definedName name="OSRRefT22_2x_0" localSheetId="57">'444'!$T$42</definedName>
    <definedName name="OSRRefT22_2x_0" localSheetId="58">'450'!$T$41</definedName>
    <definedName name="OSRRefT22_2x_0" localSheetId="39">'491'!$T$45</definedName>
    <definedName name="OSRRefT22_2x_0" localSheetId="53">'492'!$T$45</definedName>
    <definedName name="OSRRefT22_2x_0" localSheetId="60">'501'!$T$38</definedName>
    <definedName name="OSRRefT22_2x_0" localSheetId="5">'Div 2'!$T$39</definedName>
    <definedName name="OSRRefT22_2x_0" localSheetId="13">'Div 3'!$T$164</definedName>
    <definedName name="OSRRefT22_2x_0" localSheetId="37">'Div 4'!$T$49</definedName>
    <definedName name="OSRRefT22_2x_0" localSheetId="59">'Div 5'!$T$38</definedName>
    <definedName name="OSRRefT22_2x_0" localSheetId="28">'Div 6'!$T$73</definedName>
    <definedName name="OSRRefT22_2x_0" localSheetId="2">Summary!$T$191</definedName>
    <definedName name="OSRRefT22_3x_0" localSheetId="6">'200'!$T$27</definedName>
    <definedName name="OSRRefT22_3x_0" localSheetId="7">'201'!$T$36</definedName>
    <definedName name="OSRRefT22_3x_0" localSheetId="8">'202'!$T$35</definedName>
    <definedName name="OSRRefT22_3x_0" localSheetId="9">'203'!$T$39</definedName>
    <definedName name="OSRRefT22_3x_0" localSheetId="10">'204'!$T$36</definedName>
    <definedName name="OSRRefT22_3x_0" localSheetId="11">'205'!$T$33</definedName>
    <definedName name="OSRRefT22_3x_0" localSheetId="12">'206'!$T$36</definedName>
    <definedName name="OSRRefT22_3x_0" localSheetId="14">'300'!$T$159:$T$160</definedName>
    <definedName name="OSRRefT22_3x_0" localSheetId="15">'300 &amp; 317'!$T$181:$T$182</definedName>
    <definedName name="OSRRefT22_3x_0" localSheetId="16">'301'!$T$43:$T$44</definedName>
    <definedName name="OSRRefT22_3x_0" localSheetId="17">'306'!$T$30</definedName>
    <definedName name="OSRRefT22_3x_0" localSheetId="22">'307'!$T$69</definedName>
    <definedName name="OSRRefT22_3x_0" localSheetId="18">'308'!$T$83:$T$84</definedName>
    <definedName name="OSRRefT22_3x_0" localSheetId="32">'309'!$T$35</definedName>
    <definedName name="OSRRefT22_3x_0" localSheetId="30">'310'!$T$53</definedName>
    <definedName name="OSRRefT22_3x_0" localSheetId="38">'310 &amp; 491'!$T$57</definedName>
    <definedName name="OSRRefT22_3x_0" localSheetId="19">'311'!$T$83:$T$84</definedName>
    <definedName name="OSRRefT22_3x_0" localSheetId="31">'313'!$T$38</definedName>
    <definedName name="OSRRefT22_3x_0" localSheetId="24">'315'!$T$106:$T$107</definedName>
    <definedName name="OSRRefT22_3x_0" localSheetId="27">'316'!$T$50</definedName>
    <definedName name="OSRRefT22_3x_0" localSheetId="29">'317'!$T$75</definedName>
    <definedName name="OSRRefT22_3x_0" localSheetId="33">'321'!$T$46</definedName>
    <definedName name="OSRRefT22_3x_0" localSheetId="34">'322'!$T$31</definedName>
    <definedName name="OSRRefT22_3x_0" localSheetId="35">'325'!$T$39</definedName>
    <definedName name="OSRRefT22_3x_0" localSheetId="25">'326'!$T$78</definedName>
    <definedName name="OSRRefT22_3x_0" localSheetId="23">'331'!$T$108</definedName>
    <definedName name="OSRRefT22_3x_0" localSheetId="26">'332'!$T$52</definedName>
    <definedName name="OSRRefT22_3x_0" localSheetId="21">'333'!$T$117</definedName>
    <definedName name="OSRRefT22_3x_0" localSheetId="40">'405'!$T$40</definedName>
    <definedName name="OSRRefT22_3x_0" localSheetId="41">'406'!$T$26</definedName>
    <definedName name="OSRRefT22_3x_0" localSheetId="42">'411'!$T$37</definedName>
    <definedName name="OSRRefT22_3x_0" localSheetId="43">'412'!$T$27:$T$28</definedName>
    <definedName name="OSRRefT22_3x_0" localSheetId="44">'413'!$T$30:$T$31</definedName>
    <definedName name="OSRRefT22_3x_0" localSheetId="45">'414'!$T$28</definedName>
    <definedName name="OSRRefT22_3x_0" localSheetId="46">'415'!$T$42</definedName>
    <definedName name="OSRRefT22_3x_0" localSheetId="47">'418'!$T$37</definedName>
    <definedName name="OSRRefT22_3x_0" localSheetId="49">'423'!$T$27</definedName>
    <definedName name="OSRRefT22_3x_0" localSheetId="50">'424'!$T$27</definedName>
    <definedName name="OSRRefT22_3x_0" localSheetId="51">'425'!$T$32</definedName>
    <definedName name="OSRRefT22_3x_0" localSheetId="54">'430'!$T$33</definedName>
    <definedName name="OSRRefT22_3x_0" localSheetId="55">'433'!$T$44</definedName>
    <definedName name="OSRRefT22_3x_0" localSheetId="56">'435'!$T$30</definedName>
    <definedName name="OSRRefT22_3x_0" localSheetId="57">'444'!$T$44</definedName>
    <definedName name="OSRRefT22_3x_0" localSheetId="58">'450'!$T$43</definedName>
    <definedName name="OSRRefT22_3x_0" localSheetId="39">'491'!$T$47</definedName>
    <definedName name="OSRRefT22_3x_0" localSheetId="53">'492'!$T$47</definedName>
    <definedName name="OSRRefT22_3x_0" localSheetId="60">'501'!$T$40</definedName>
    <definedName name="OSRRefT22_3x_0" localSheetId="5">'Div 2'!$T$41</definedName>
    <definedName name="OSRRefT22_3x_0" localSheetId="13">'Div 3'!$T$166:$T$167</definedName>
    <definedName name="OSRRefT22_3x_0" localSheetId="37">'Div 4'!$T$51</definedName>
    <definedName name="OSRRefT22_3x_0" localSheetId="59">'Div 5'!$T$40</definedName>
    <definedName name="OSRRefT22_3x_0" localSheetId="28">'Div 6'!$T$75</definedName>
    <definedName name="OSRRefT22_3x_0" localSheetId="2">Summary!$T$193:$T$194</definedName>
    <definedName name="OSRRefT22_4x_0" localSheetId="7">'201'!$T$38</definedName>
    <definedName name="OSRRefT22_4x_0" localSheetId="8">'202'!$T$37</definedName>
    <definedName name="OSRRefT22_4x_0" localSheetId="9">'203'!$T$41</definedName>
    <definedName name="OSRRefT22_4x_0" localSheetId="10">'204'!$T$38</definedName>
    <definedName name="OSRRefT22_4x_0" localSheetId="11">'205'!$T$35:$T$37</definedName>
    <definedName name="OSRRefT22_4x_0" localSheetId="12">'206'!$T$38</definedName>
    <definedName name="OSRRefT22_4x_0" localSheetId="14">'300'!$T$162</definedName>
    <definedName name="OSRRefT22_4x_0" localSheetId="15">'300 &amp; 317'!$T$184</definedName>
    <definedName name="OSRRefT22_4x_0" localSheetId="16">'301'!$T$46</definedName>
    <definedName name="OSRRefT22_4x_0" localSheetId="17">'306'!$T$32</definedName>
    <definedName name="OSRRefT22_4x_0" localSheetId="22">'307'!$T$71:$T$72</definedName>
    <definedName name="OSRRefT22_4x_0" localSheetId="18">'308'!$T$86</definedName>
    <definedName name="OSRRefT22_4x_0" localSheetId="32">'309'!$T$37</definedName>
    <definedName name="OSRRefT22_4x_0" localSheetId="30">'310'!$T$55</definedName>
    <definedName name="OSRRefT22_4x_0" localSheetId="38">'310 &amp; 491'!$T$59</definedName>
    <definedName name="OSRRefT22_4x_0" localSheetId="19">'311'!$T$86</definedName>
    <definedName name="OSRRefT22_4x_0" localSheetId="31">'313'!$T$40</definedName>
    <definedName name="OSRRefT22_4x_0" localSheetId="24">'315'!$T$109</definedName>
    <definedName name="OSRRefT22_4x_0" localSheetId="27">'316'!$T$52</definedName>
    <definedName name="OSRRefT22_4x_0" localSheetId="29">'317'!$T$77</definedName>
    <definedName name="OSRRefT22_4x_0" localSheetId="33">'321'!$T$48</definedName>
    <definedName name="OSRRefT22_4x_0" localSheetId="34">'322'!$T$33:$T$34</definedName>
    <definedName name="OSRRefT22_4x_0" localSheetId="35">'325'!$T$41</definedName>
    <definedName name="OSRRefT22_4x_0" localSheetId="25">'326'!$T$80</definedName>
    <definedName name="OSRRefT22_4x_0" localSheetId="23">'331'!$T$110</definedName>
    <definedName name="OSRRefT22_4x_0" localSheetId="26">'332'!$T$54</definedName>
    <definedName name="OSRRefT22_4x_0" localSheetId="21">'333'!$T$119</definedName>
    <definedName name="OSRRefT22_4x_0" localSheetId="40">'405'!$T$42</definedName>
    <definedName name="OSRRefT22_4x_0" localSheetId="41">'406'!$T$28</definedName>
    <definedName name="OSRRefT22_4x_0" localSheetId="42">'411'!$T$39:$T$40</definedName>
    <definedName name="OSRRefT22_4x_0" localSheetId="43">'412'!$T$30</definedName>
    <definedName name="OSRRefT22_4x_0" localSheetId="44">'413'!$T$33</definedName>
    <definedName name="OSRRefT22_4x_0" localSheetId="45">'414'!$T$30</definedName>
    <definedName name="OSRRefT22_4x_0" localSheetId="46">'415'!$T$44</definedName>
    <definedName name="OSRRefT22_4x_0" localSheetId="47">'418'!$T$39:$T$40</definedName>
    <definedName name="OSRRefT22_4x_0" localSheetId="51">'425'!$T$34</definedName>
    <definedName name="OSRRefT22_4x_0" localSheetId="54">'430'!$T$35</definedName>
    <definedName name="OSRRefT22_4x_0" localSheetId="55">'433'!$T$46</definedName>
    <definedName name="OSRRefT22_4x_0" localSheetId="56">'435'!$T$32</definedName>
    <definedName name="OSRRefT22_4x_0" localSheetId="57">'444'!$T$46</definedName>
    <definedName name="OSRRefT22_4x_0" localSheetId="58">'450'!$T$45</definedName>
    <definedName name="OSRRefT22_4x_0" localSheetId="39">'491'!$T$49</definedName>
    <definedName name="OSRRefT22_4x_0" localSheetId="53">'492'!$T$49</definedName>
    <definedName name="OSRRefT22_4x_0" localSheetId="60">'501'!$T$42:$T$43</definedName>
    <definedName name="OSRRefT22_4x_0" localSheetId="5">'Div 2'!$T$43</definedName>
    <definedName name="OSRRefT22_4x_0" localSheetId="13">'Div 3'!$T$169</definedName>
    <definedName name="OSRRefT22_4x_0" localSheetId="37">'Div 4'!$T$53</definedName>
    <definedName name="OSRRefT22_4x_0" localSheetId="59">'Div 5'!$T$42:$T$43</definedName>
    <definedName name="OSRRefT22_4x_0" localSheetId="28">'Div 6'!$T$77</definedName>
    <definedName name="OSRRefT22_4x_0" localSheetId="2">Summary!$T$196</definedName>
    <definedName name="OSRRefT22_5x_0" localSheetId="7">'201'!$T$40</definedName>
    <definedName name="OSRRefT22_5x_0" localSheetId="8">'202'!$T$39:$T$40</definedName>
    <definedName name="OSRRefT22_5x_0" localSheetId="9">'203'!$T$43</definedName>
    <definedName name="OSRRefT22_5x_0" localSheetId="10">'204'!$T$40:$T$43</definedName>
    <definedName name="OSRRefT22_5x_0" localSheetId="11">'205'!$T$39:$T$41</definedName>
    <definedName name="OSRRefT22_5x_0" localSheetId="12">'206'!$T$40</definedName>
    <definedName name="OSRRefT22_5x_0" localSheetId="14">'300'!$T$164:$T$165</definedName>
    <definedName name="OSRRefT22_5x_0" localSheetId="15">'300 &amp; 317'!$T$186:$T$187</definedName>
    <definedName name="OSRRefT22_5x_0" localSheetId="16">'301'!$T$48:$T$49</definedName>
    <definedName name="OSRRefT22_5x_0" localSheetId="17">'306'!$T$34</definedName>
    <definedName name="OSRRefT22_5x_0" localSheetId="22">'307'!$T$74</definedName>
    <definedName name="OSRRefT22_5x_0" localSheetId="18">'308'!$T$88</definedName>
    <definedName name="OSRRefT22_5x_0" localSheetId="32">'309'!$T$39</definedName>
    <definedName name="OSRRefT22_5x_0" localSheetId="30">'310'!$T$57:$T$58</definedName>
    <definedName name="OSRRefT22_5x_0" localSheetId="38">'310 &amp; 491'!$T$61:$T$62</definedName>
    <definedName name="OSRRefT22_5x_0" localSheetId="19">'311'!$T$88</definedName>
    <definedName name="OSRRefT22_5x_0" localSheetId="31">'313'!$T$42</definedName>
    <definedName name="OSRRefT22_5x_0" localSheetId="24">'315'!$T$111</definedName>
    <definedName name="OSRRefT22_5x_0" localSheetId="27">'316'!$T$54</definedName>
    <definedName name="OSRRefT22_5x_0" localSheetId="29">'317'!$T$79:$T$80</definedName>
    <definedName name="OSRRefT22_5x_0" localSheetId="33">'321'!$T$50</definedName>
    <definedName name="OSRRefT22_5x_0" localSheetId="34">'322'!$T$36</definedName>
    <definedName name="OSRRefT22_5x_0" localSheetId="35">'325'!$T$43:$T$44</definedName>
    <definedName name="OSRRefT22_5x_0" localSheetId="25">'326'!$T$82</definedName>
    <definedName name="OSRRefT22_5x_0" localSheetId="23">'331'!$T$112:$T$113</definedName>
    <definedName name="OSRRefT22_5x_0" localSheetId="26">'332'!$T$56</definedName>
    <definedName name="OSRRefT22_5x_0" localSheetId="21">'333'!$T$121:$T$122</definedName>
    <definedName name="OSRRefT22_5x_0" localSheetId="40">'405'!$T$44:$T$45</definedName>
    <definedName name="OSRRefT22_5x_0" localSheetId="42">'411'!$T$42</definedName>
    <definedName name="OSRRefT22_5x_0" localSheetId="43">'412'!$T$32</definedName>
    <definedName name="OSRRefT22_5x_0" localSheetId="44">'413'!$T$35</definedName>
    <definedName name="OSRRefT22_5x_0" localSheetId="45">'414'!$T$32:$T$33</definedName>
    <definedName name="OSRRefT22_5x_0" localSheetId="46">'415'!$T$46:$T$47</definedName>
    <definedName name="OSRRefT22_5x_0" localSheetId="47">'418'!$T$42</definedName>
    <definedName name="OSRRefT22_5x_0" localSheetId="51">'425'!$T$36:$T$37</definedName>
    <definedName name="OSRRefT22_5x_0" localSheetId="54">'430'!$T$37:$T$39</definedName>
    <definedName name="OSRRefT22_5x_0" localSheetId="55">'433'!$T$48</definedName>
    <definedName name="OSRRefT22_5x_0" localSheetId="56">'435'!$T$34</definedName>
    <definedName name="OSRRefT22_5x_0" localSheetId="57">'444'!$T$48</definedName>
    <definedName name="OSRRefT22_5x_0" localSheetId="58">'450'!$T$47</definedName>
    <definedName name="OSRRefT22_5x_0" localSheetId="39">'491'!$T$51:$T$52</definedName>
    <definedName name="OSRRefT22_5x_0" localSheetId="53">'492'!$T$51</definedName>
    <definedName name="OSRRefT22_5x_0" localSheetId="60">'501'!$T$45</definedName>
    <definedName name="OSRRefT22_5x_0" localSheetId="5">'Div 2'!$T$45</definedName>
    <definedName name="OSRRefT22_5x_0" localSheetId="13">'Div 3'!$T$171:$T$172</definedName>
    <definedName name="OSRRefT22_5x_0" localSheetId="37">'Div 4'!$T$55:$T$56</definedName>
    <definedName name="OSRRefT22_5x_0" localSheetId="59">'Div 5'!$T$45</definedName>
    <definedName name="OSRRefT22_5x_0" localSheetId="28">'Div 6'!$T$79:$T$80</definedName>
    <definedName name="OSRRefT22_5x_0" localSheetId="2">Summary!$T$198:$T$199</definedName>
    <definedName name="OSRRefT22_6x_0" localSheetId="7">'201'!$T$42</definedName>
    <definedName name="OSRRefT22_6x_0" localSheetId="8">'202'!$T$42</definedName>
    <definedName name="OSRRefT22_6x_0" localSheetId="9">'203'!$T$45</definedName>
    <definedName name="OSRRefT22_6x_0" localSheetId="10">'204'!$T$45</definedName>
    <definedName name="OSRRefT22_6x_0" localSheetId="11">'205'!$T$43</definedName>
    <definedName name="OSRRefT22_6x_0" localSheetId="12">'206'!$T$42</definedName>
    <definedName name="OSRRefT22_6x_0" localSheetId="14">'300'!$T$167:$T$168</definedName>
    <definedName name="OSRRefT22_6x_0" localSheetId="15">'300 &amp; 317'!$T$189:$T$190</definedName>
    <definedName name="OSRRefT22_6x_0" localSheetId="16">'301'!$T$51:$T$52</definedName>
    <definedName name="OSRRefT22_6x_0" localSheetId="22">'307'!$T$76</definedName>
    <definedName name="OSRRefT22_6x_0" localSheetId="18">'308'!$T$90:$T$91</definedName>
    <definedName name="OSRRefT22_6x_0" localSheetId="32">'309'!$T$41</definedName>
    <definedName name="OSRRefT22_6x_0" localSheetId="30">'310'!$T$60</definedName>
    <definedName name="OSRRefT22_6x_0" localSheetId="38">'310 &amp; 491'!$T$64</definedName>
    <definedName name="OSRRefT22_6x_0" localSheetId="19">'311'!$T$90:$T$91</definedName>
    <definedName name="OSRRefT22_6x_0" localSheetId="31">'313'!$T$44</definedName>
    <definedName name="OSRRefT22_6x_0" localSheetId="24">'315'!$T$113:$T$114</definedName>
    <definedName name="OSRRefT22_6x_0" localSheetId="27">'316'!$T$56:$T$57</definedName>
    <definedName name="OSRRefT22_6x_0" localSheetId="29">'317'!$T$82</definedName>
    <definedName name="OSRRefT22_6x_0" localSheetId="33">'321'!$T$52</definedName>
    <definedName name="OSRRefT22_6x_0" localSheetId="34">'322'!$T$38</definedName>
    <definedName name="OSRRefT22_6x_0" localSheetId="35">'325'!$T$46</definedName>
    <definedName name="OSRRefT22_6x_0" localSheetId="25">'326'!$T$84</definedName>
    <definedName name="OSRRefT22_6x_0" localSheetId="23">'331'!$T$115</definedName>
    <definedName name="OSRRefT22_6x_0" localSheetId="26">'332'!$T$58:$T$59</definedName>
    <definedName name="OSRRefT22_6x_0" localSheetId="21">'333'!$T$124</definedName>
    <definedName name="OSRRefT22_6x_0" localSheetId="40">'405'!$T$47</definedName>
    <definedName name="OSRRefT22_6x_0" localSheetId="42">'411'!$T$44</definedName>
    <definedName name="OSRRefT22_6x_0" localSheetId="43">'412'!$T$34</definedName>
    <definedName name="OSRRefT22_6x_0" localSheetId="46">'415'!$T$49</definedName>
    <definedName name="OSRRefT22_6x_0" localSheetId="47">'418'!$T$44</definedName>
    <definedName name="OSRRefT22_6x_0" localSheetId="51">'425'!$T$39</definedName>
    <definedName name="OSRRefT22_6x_0" localSheetId="54">'430'!$T$41</definedName>
    <definedName name="OSRRefT22_6x_0" localSheetId="55">'433'!$T$50</definedName>
    <definedName name="OSRRefT22_6x_0" localSheetId="57">'444'!$T$50</definedName>
    <definedName name="OSRRefT22_6x_0" localSheetId="58">'450'!$T$49</definedName>
    <definedName name="OSRRefT22_6x_0" localSheetId="39">'491'!$T$54</definedName>
    <definedName name="OSRRefT22_6x_0" localSheetId="53">'492'!$T$53</definedName>
    <definedName name="OSRRefT22_6x_0" localSheetId="60">'501'!$T$47</definedName>
    <definedName name="OSRRefT22_6x_0" localSheetId="5">'Div 2'!$T$47</definedName>
    <definedName name="OSRRefT22_6x_0" localSheetId="13">'Div 3'!$T$174:$T$175</definedName>
    <definedName name="OSRRefT22_6x_0" localSheetId="37">'Div 4'!$T$58</definedName>
    <definedName name="OSRRefT22_6x_0" localSheetId="59">'Div 5'!$T$47</definedName>
    <definedName name="OSRRefT22_6x_0" localSheetId="28">'Div 6'!$T$82</definedName>
    <definedName name="OSRRefT22_6x_0" localSheetId="2">Summary!$T$201:$T$202</definedName>
    <definedName name="OSRRefT22_7x_0" localSheetId="7">'201'!$T$44</definedName>
    <definedName name="OSRRefT22_7x_0" localSheetId="8">'202'!$T$44</definedName>
    <definedName name="OSRRefT22_7x_0" localSheetId="9">'203'!$T$47:$T$48</definedName>
    <definedName name="OSRRefT22_7x_0" localSheetId="10">'204'!$T$47:$T$48</definedName>
    <definedName name="OSRRefT22_7x_0" localSheetId="14">'300'!$T$170</definedName>
    <definedName name="OSRRefT22_7x_0" localSheetId="15">'300 &amp; 317'!$T$192</definedName>
    <definedName name="OSRRefT22_7x_0" localSheetId="16">'301'!$T$54</definedName>
    <definedName name="OSRRefT22_7x_0" localSheetId="22">'307'!$T$78</definedName>
    <definedName name="OSRRefT22_7x_0" localSheetId="18">'308'!$T$93</definedName>
    <definedName name="OSRRefT22_7x_0" localSheetId="32">'309'!$T$43</definedName>
    <definedName name="OSRRefT22_7x_0" localSheetId="30">'310'!$T$62</definedName>
    <definedName name="OSRRefT22_7x_0" localSheetId="38">'310 &amp; 491'!$T$66</definedName>
    <definedName name="OSRRefT22_7x_0" localSheetId="19">'311'!$T$93</definedName>
    <definedName name="OSRRefT22_7x_0" localSheetId="31">'313'!$T$46</definedName>
    <definedName name="OSRRefT22_7x_0" localSheetId="24">'315'!$T$116</definedName>
    <definedName name="OSRRefT22_7x_0" localSheetId="27">'316'!$T$59</definedName>
    <definedName name="OSRRefT22_7x_0" localSheetId="29">'317'!$T$84</definedName>
    <definedName name="OSRRefT22_7x_0" localSheetId="33">'321'!$T$54:$T$55</definedName>
    <definedName name="OSRRefT22_7x_0" localSheetId="34">'322'!$T$40</definedName>
    <definedName name="OSRRefT22_7x_0" localSheetId="35">'325'!$T$48</definedName>
    <definedName name="OSRRefT22_7x_0" localSheetId="25">'326'!$T$86</definedName>
    <definedName name="OSRRefT22_7x_0" localSheetId="23">'331'!$T$117</definedName>
    <definedName name="OSRRefT22_7x_0" localSheetId="26">'332'!$T$61</definedName>
    <definedName name="OSRRefT22_7x_0" localSheetId="21">'333'!$T$126</definedName>
    <definedName name="OSRRefT22_7x_0" localSheetId="40">'405'!$T$49</definedName>
    <definedName name="OSRRefT22_7x_0" localSheetId="42">'411'!$T$46</definedName>
    <definedName name="OSRRefT22_7x_0" localSheetId="46">'415'!$T$51</definedName>
    <definedName name="OSRRefT22_7x_0" localSheetId="47">'418'!$T$46</definedName>
    <definedName name="OSRRefT22_7x_0" localSheetId="51">'425'!$T$41:$T$43</definedName>
    <definedName name="OSRRefT22_7x_0" localSheetId="54">'430'!$T$43</definedName>
    <definedName name="OSRRefT22_7x_0" localSheetId="55">'433'!$T$52</definedName>
    <definedName name="OSRRefT22_7x_0" localSheetId="57">'444'!$T$52</definedName>
    <definedName name="OSRRefT22_7x_0" localSheetId="58">'450'!$T$51</definedName>
    <definedName name="OSRRefT22_7x_0" localSheetId="39">'491'!$T$56</definedName>
    <definedName name="OSRRefT22_7x_0" localSheetId="53">'492'!$T$55</definedName>
    <definedName name="OSRRefT22_7x_0" localSheetId="60">'501'!$T$49:$T$52</definedName>
    <definedName name="OSRRefT22_7x_0" localSheetId="5">'Div 2'!$T$49</definedName>
    <definedName name="OSRRefT22_7x_0" localSheetId="13">'Div 3'!$T$177</definedName>
    <definedName name="OSRRefT22_7x_0" localSheetId="37">'Div 4'!$T$60</definedName>
    <definedName name="OSRRefT22_7x_0" localSheetId="59">'Div 5'!$T$49:$T$52</definedName>
    <definedName name="OSRRefT22_7x_0" localSheetId="28">'Div 6'!$T$84</definedName>
    <definedName name="OSRRefT22_7x_0" localSheetId="2">Summary!$T$204</definedName>
    <definedName name="OSRRefT22_8x_0" localSheetId="7">'201'!$T$46</definedName>
    <definedName name="OSRRefT22_8x_0" localSheetId="8">'202'!$T$46:$T$48</definedName>
    <definedName name="OSRRefT22_8x_0" localSheetId="9">'203'!$T$50:$T$51</definedName>
    <definedName name="OSRRefT22_8x_0" localSheetId="10">'204'!$T$50</definedName>
    <definedName name="OSRRefT22_8x_0" localSheetId="14">'300'!$T$172</definedName>
    <definedName name="OSRRefT22_8x_0" localSheetId="15">'300 &amp; 317'!$T$194</definedName>
    <definedName name="OSRRefT22_8x_0" localSheetId="16">'301'!$T$56</definedName>
    <definedName name="OSRRefT22_8x_0" localSheetId="22">'307'!$T$80:$T$81</definedName>
    <definedName name="OSRRefT22_8x_0" localSheetId="18">'308'!$T$95</definedName>
    <definedName name="OSRRefT22_8x_0" localSheetId="32">'309'!$T$45:$T$46</definedName>
    <definedName name="OSRRefT22_8x_0" localSheetId="30">'310'!$T$64</definedName>
    <definedName name="OSRRefT22_8x_0" localSheetId="38">'310 &amp; 491'!$T$68:$T$69</definedName>
    <definedName name="OSRRefT22_8x_0" localSheetId="19">'311'!$T$95</definedName>
    <definedName name="OSRRefT22_8x_0" localSheetId="24">'315'!$T$118:$T$119</definedName>
    <definedName name="OSRRefT22_8x_0" localSheetId="27">'316'!$T$61</definedName>
    <definedName name="OSRRefT22_8x_0" localSheetId="29">'317'!$T$86:$T$87</definedName>
    <definedName name="OSRRefT22_8x_0" localSheetId="33">'321'!$T$57</definedName>
    <definedName name="OSRRefT22_8x_0" localSheetId="35">'325'!$T$50</definedName>
    <definedName name="OSRRefT22_8x_0" localSheetId="25">'326'!$T$88</definedName>
    <definedName name="OSRRefT22_8x_0" localSheetId="23">'331'!$T$119:$T$120</definedName>
    <definedName name="OSRRefT22_8x_0" localSheetId="26">'332'!$T$63</definedName>
    <definedName name="OSRRefT22_8x_0" localSheetId="21">'333'!$T$128:$T$129</definedName>
    <definedName name="OSRRefT22_8x_0" localSheetId="40">'405'!$T$51</definedName>
    <definedName name="OSRRefT22_8x_0" localSheetId="42">'411'!$T$48</definedName>
    <definedName name="OSRRefT22_8x_0" localSheetId="46">'415'!$T$53</definedName>
    <definedName name="OSRRefT22_8x_0" localSheetId="47">'418'!$T$48:$T$49</definedName>
    <definedName name="OSRRefT22_8x_0" localSheetId="51">'425'!$T$45</definedName>
    <definedName name="OSRRefT22_8x_0" localSheetId="54">'430'!$T$45</definedName>
    <definedName name="OSRRefT22_8x_0" localSheetId="55">'433'!$T$54</definedName>
    <definedName name="OSRRefT22_8x_0" localSheetId="57">'444'!$T$54</definedName>
    <definedName name="OSRRefT22_8x_0" localSheetId="58">'450'!$T$53</definedName>
    <definedName name="OSRRefT22_8x_0" localSheetId="39">'491'!$T$58</definedName>
    <definedName name="OSRRefT22_8x_0" localSheetId="53">'492'!$T$57</definedName>
    <definedName name="OSRRefT22_8x_0" localSheetId="60">'501'!$T$54</definedName>
    <definedName name="OSRRefT22_8x_0" localSheetId="5">'Div 2'!$T$51</definedName>
    <definedName name="OSRRefT22_8x_0" localSheetId="13">'Div 3'!$T$179</definedName>
    <definedName name="OSRRefT22_8x_0" localSheetId="37">'Div 4'!$T$62</definedName>
    <definedName name="OSRRefT22_8x_0" localSheetId="59">'Div 5'!$T$54</definedName>
    <definedName name="OSRRefT22_8x_0" localSheetId="28">'Div 6'!$T$86:$T$87</definedName>
    <definedName name="OSRRefT22_8x_0" localSheetId="2">Summary!$T$206</definedName>
    <definedName name="OSRRefT22_9x_0" localSheetId="7">'201'!$T$48</definedName>
    <definedName name="OSRRefT22_9x_0" localSheetId="8">'202'!$T$50</definedName>
    <definedName name="OSRRefT22_9x_0" localSheetId="9">'203'!$T$53:$T$54</definedName>
    <definedName name="OSRRefT22_9x_0" localSheetId="10">'204'!$T$52</definedName>
    <definedName name="OSRRefT22_9x_0" localSheetId="14">'300'!$T$174</definedName>
    <definedName name="OSRRefT22_9x_0" localSheetId="15">'300 &amp; 317'!$T$196</definedName>
    <definedName name="OSRRefT22_9x_0" localSheetId="16">'301'!$T$58</definedName>
    <definedName name="OSRRefT22_9x_0" localSheetId="22">'307'!$T$83:$T$84</definedName>
    <definedName name="OSRRefT22_9x_0" localSheetId="18">'308'!$T$97:$T$99</definedName>
    <definedName name="OSRRefT22_9x_0" localSheetId="32">'309'!$T$48:$T$49</definedName>
    <definedName name="OSRRefT22_9x_0" localSheetId="30">'310'!$T$66</definedName>
    <definedName name="OSRRefT22_9x_0" localSheetId="38">'310 &amp; 491'!$T$71</definedName>
    <definedName name="OSRRefT22_9x_0" localSheetId="19">'311'!$T$97:$T$99</definedName>
    <definedName name="OSRRefT22_9x_0" localSheetId="24">'315'!$T$121</definedName>
    <definedName name="OSRRefT22_9x_0" localSheetId="27">'316'!$T$63:$T$65</definedName>
    <definedName name="OSRRefT22_9x_0" localSheetId="29">'317'!$T$89</definedName>
    <definedName name="OSRRefT22_9x_0" localSheetId="33">'321'!$T$59:$T$61</definedName>
    <definedName name="OSRRefT22_9x_0" localSheetId="35">'325'!$T$52</definedName>
    <definedName name="OSRRefT22_9x_0" localSheetId="25">'326'!$T$90</definedName>
    <definedName name="OSRRefT22_9x_0" localSheetId="23">'331'!$T$122</definedName>
    <definedName name="OSRRefT22_9x_0" localSheetId="26">'332'!$T$65:$T$67</definedName>
    <definedName name="OSRRefT22_9x_0" localSheetId="21">'333'!$T$131</definedName>
    <definedName name="OSRRefT22_9x_0" localSheetId="40">'405'!$T$53</definedName>
    <definedName name="OSRRefT22_9x_0" localSheetId="42">'411'!$T$50</definedName>
    <definedName name="OSRRefT22_9x_0" localSheetId="46">'415'!$T$55</definedName>
    <definedName name="OSRRefT22_9x_0" localSheetId="47">'418'!$T$51</definedName>
    <definedName name="OSRRefT22_9x_0" localSheetId="55">'433'!$T$56</definedName>
    <definedName name="OSRRefT22_9x_0" localSheetId="57">'444'!$T$56</definedName>
    <definedName name="OSRRefT22_9x_0" localSheetId="58">'450'!$T$55</definedName>
    <definedName name="OSRRefT22_9x_0" localSheetId="39">'491'!$T$60</definedName>
    <definedName name="OSRRefT22_9x_0" localSheetId="53">'492'!$T$59</definedName>
    <definedName name="OSRRefT22_9x_0" localSheetId="60">'501'!$T$56:$T$57</definedName>
    <definedName name="OSRRefT22_9x_0" localSheetId="5">'Div 2'!$T$53:$T$54</definedName>
    <definedName name="OSRRefT22_9x_0" localSheetId="13">'Div 3'!$T$181</definedName>
    <definedName name="OSRRefT22_9x_0" localSheetId="37">'Div 4'!$T$64</definedName>
    <definedName name="OSRRefT22_9x_0" localSheetId="59">'Div 5'!$T$56:$T$57</definedName>
    <definedName name="OSRRefT22_9x_0" localSheetId="28">'Div 6'!$T$89</definedName>
    <definedName name="OSRRefT22_9x_0" localSheetId="2">Summary!$T$208</definedName>
    <definedName name="OSRRefT22x_0" localSheetId="6">'200'!$T$20:$T$21,'200'!$T$23,'200'!$T$25,'200'!$T$27</definedName>
    <definedName name="OSRRefT22x_0" localSheetId="7">'201'!$T$20:$T$27,'201'!$T$29:$T$32,'201'!$T$34,'201'!$T$36,'201'!$T$38,'201'!$T$40,'201'!$T$42,'201'!$T$44,'201'!$T$46,'201'!$T$48,'201'!$T$50:$T$52,'201'!$T$54:$T$56,'201'!$T$58,'201'!$T$60:$T$61,'201'!$T$63,'201'!$T$65</definedName>
    <definedName name="OSRRefT22x_0" localSheetId="8">'202'!$T$20:$T$27,'202'!$T$29:$T$31,'202'!$T$33,'202'!$T$35,'202'!$T$37,'202'!$T$39:$T$40,'202'!$T$42,'202'!$T$44,'202'!$T$46:$T$48,'202'!$T$50,'202'!$T$52:$T$54,'202'!$T$56,'202'!$T$58,'202'!$T$60</definedName>
    <definedName name="OSRRefT22x_0" localSheetId="9">'203'!$T$20:$T$29,'203'!$T$31:$T$35,'203'!$T$37,'203'!$T$39,'203'!$T$41,'203'!$T$43,'203'!$T$45,'203'!$T$47:$T$48,'203'!$T$50:$T$51,'203'!$T$53:$T$54,'203'!$T$56:$T$59,'203'!$T$61,'203'!$T$63,'203'!$T$65</definedName>
    <definedName name="OSRRefT22x_0" localSheetId="10">'204'!$T$20:$T$28,'204'!$T$30:$T$32,'204'!$T$34,'204'!$T$36,'204'!$T$38,'204'!$T$40:$T$43,'204'!$T$45,'204'!$T$47:$T$48,'204'!$T$50,'204'!$T$52</definedName>
    <definedName name="OSRRefT22x_0" localSheetId="11">'205'!$T$20:$T$27,'205'!$T$29,'205'!$T$31,'205'!$T$33,'205'!$T$35:$T$37,'205'!$T$39:$T$41,'205'!$T$43</definedName>
    <definedName name="OSRRefT22x_0" localSheetId="12">'206'!$T$20:$T$27,'206'!$T$29:$T$32,'206'!$T$34,'206'!$T$36,'206'!$T$38,'206'!$T$40,'206'!$T$42</definedName>
    <definedName name="OSRRefT22x_0" localSheetId="14">'300'!$T$138:$T$147,'300'!$T$149:$T$155,'300'!$T$157,'300'!$T$159:$T$160,'300'!$T$162,'300'!$T$164:$T$165,'300'!$T$167:$T$168,'300'!$T$170,'300'!$T$172,'300'!$T$174,'300'!$T$176:$T$177,'300'!$T$179,'300'!$T$181,'300'!$T$183:$T$184,'300'!$T$186,'300'!$T$188,'300'!$T$190:$T$193,'300'!$T$195:$T$197,'300'!$T$199:$T$202,'300'!$T$204:$T$205,'300'!$T$207:$T$213,'300'!$T$215:$T$216,'300'!$T$218,'300'!$T$220:$T$222,'300'!$T$224</definedName>
    <definedName name="OSRRefT22x_0" localSheetId="15">'300 &amp; 317'!$T$160:$T$169,'300 &amp; 317'!$T$171:$T$177,'300 &amp; 317'!$T$179,'300 &amp; 317'!$T$181:$T$182,'300 &amp; 317'!$T$184,'300 &amp; 317'!$T$186:$T$187,'300 &amp; 317'!$T$189:$T$190,'300 &amp; 317'!$T$192,'300 &amp; 317'!$T$194,'300 &amp; 317'!$T$196,'300 &amp; 317'!$T$198:$T$199,'300 &amp; 317'!$T$201,'300 &amp; 317'!$T$203,'300 &amp; 317'!$T$205:$T$206,'300 &amp; 317'!$T$208,'300 &amp; 317'!$T$210,'300 &amp; 317'!$T$212:$T$215,'300 &amp; 317'!$T$217:$T$219,'300 &amp; 317'!$T$221:$T$224,'300 &amp; 317'!$T$226:$T$227,'300 &amp; 317'!$T$229:$T$235,'300 &amp; 317'!$T$237:$T$238,'300 &amp; 317'!$T$240,'300 &amp; 317'!$T$242:$T$244,'300 &amp; 317'!$T$246</definedName>
    <definedName name="OSRRefT22x_0" localSheetId="16">'301'!$T$22:$T$31,'301'!$T$33:$T$39,'301'!$T$41,'301'!$T$43:$T$44,'301'!$T$46,'301'!$T$48:$T$49,'301'!$T$51:$T$52,'301'!$T$54,'301'!$T$56,'301'!$T$58,'301'!$T$60,'301'!$T$62,'301'!$T$64,'301'!$T$66,'301'!$T$68,'301'!$T$70:$T$73,'301'!$T$75:$T$77,'301'!$T$79:$T$80,'301'!$T$82:$T$87,'301'!$T$89,'301'!$T$91,'301'!$T$93:$T$95,'301'!$T$97</definedName>
    <definedName name="OSRRefT22x_0" localSheetId="17">'306'!$T$20:$T$23,'306'!$T$25:$T$26,'306'!$T$28,'306'!$T$30,'306'!$T$32,'306'!$T$34</definedName>
    <definedName name="OSRRefT22x_0" localSheetId="22">'307'!$T$54:$T$60,'307'!$T$62:$T$65,'307'!$T$67,'307'!$T$69,'307'!$T$71:$T$72,'307'!$T$74,'307'!$T$76,'307'!$T$78,'307'!$T$80:$T$81,'307'!$T$83:$T$84,'307'!$T$86,'307'!$T$88:$T$91,'307'!$T$93,'307'!$T$95</definedName>
    <definedName name="OSRRefT22x_0" localSheetId="18">'308'!$T$63:$T$71,'308'!$T$73:$T$79,'308'!$T$81,'308'!$T$83:$T$84,'308'!$T$86,'308'!$T$88,'308'!$T$90:$T$91,'308'!$T$93,'308'!$T$95,'308'!$T$97:$T$99,'308'!$T$101:$T$102,'308'!$T$104:$T$105,'308'!$T$107:$T$108,'308'!$T$110,'308'!$T$112</definedName>
    <definedName name="OSRRefT22x_0" localSheetId="32">'309'!$T$27:$T$28,'309'!$T$30:$T$31,'309'!$T$33,'309'!$T$35,'309'!$T$37,'309'!$T$39,'309'!$T$41,'309'!$T$43,'309'!$T$45:$T$46,'309'!$T$48:$T$49,'309'!$T$51:$T$52,'309'!$T$54,'309'!$T$56</definedName>
    <definedName name="OSRRefT22x_0" localSheetId="30">'310'!$T$34:$T$42,'310'!$T$44:$T$49,'310'!$T$51,'310'!$T$53,'310'!$T$55,'310'!$T$57:$T$58,'310'!$T$60,'310'!$T$62,'310'!$T$64,'310'!$T$66,'310'!$T$68,'310'!$T$70,'310'!$T$72:$T$73,'310'!$T$75,'310'!$T$77:$T$80,'310'!$T$82:$T$87,'310'!$T$89,'310'!$T$91,'310'!$T$93</definedName>
    <definedName name="OSRRefT22x_0" localSheetId="38">'310 &amp; 491'!$T$37:$T$45,'310 &amp; 491'!$T$47:$T$53,'310 &amp; 491'!$T$55,'310 &amp; 491'!$T$57,'310 &amp; 491'!$T$59,'310 &amp; 491'!$T$61:$T$62,'310 &amp; 491'!$T$64,'310 &amp; 491'!$T$66,'310 &amp; 491'!$T$68:$T$69,'310 &amp; 491'!$T$71,'310 &amp; 491'!$T$73,'310 &amp; 491'!$T$75,'310 &amp; 491'!$T$77,'310 &amp; 491'!$T$79,'310 &amp; 491'!$T$81:$T$84,'310 &amp; 491'!$T$86,'310 &amp; 491'!$T$88:$T$91,'310 &amp; 491'!$T$93,'310 &amp; 491'!$T$95:$T$103,'310 &amp; 491'!$T$105,'310 &amp; 491'!$T$107,'310 &amp; 491'!$T$109:$T$110,'310 &amp; 491'!$T$112</definedName>
    <definedName name="OSRRefT22x_0" localSheetId="19">'311'!$T$63:$T$71,'311'!$T$73:$T$79,'311'!$T$81,'311'!$T$83:$T$84,'311'!$T$86,'311'!$T$88,'311'!$T$90:$T$91,'311'!$T$93,'311'!$T$95,'311'!$T$97:$T$99,'311'!$T$101:$T$102,'311'!$T$104:$T$105,'311'!$T$107:$T$108,'311'!$T$110,'311'!$T$112</definedName>
    <definedName name="OSRRefT22x_0" localSheetId="31">'313'!$T$25:$T$32,'313'!$T$34,'313'!$T$36,'313'!$T$38,'313'!$T$40,'313'!$T$42,'313'!$T$44,'313'!$T$46</definedName>
    <definedName name="OSRRefT22x_0" localSheetId="24">'315'!$T$88:$T$95,'315'!$T$97:$T$102,'315'!$T$104,'315'!$T$106:$T$107,'315'!$T$109,'315'!$T$111,'315'!$T$113:$T$114,'315'!$T$116,'315'!$T$118:$T$119,'315'!$T$121,'315'!$T$123:$T$124,'315'!$T$126:$T$127,'315'!$T$129:$T$130,'315'!$T$132:$T$136,'315'!$T$138,'315'!$T$140,'315'!$T$142</definedName>
    <definedName name="OSRRefT22x_0" localSheetId="27">'316'!$T$34:$T$41,'316'!$T$43:$T$46,'316'!$T$48,'316'!$T$50,'316'!$T$52,'316'!$T$54,'316'!$T$56:$T$57,'316'!$T$59,'316'!$T$61,'316'!$T$63:$T$65,'316'!$T$67,'316'!$T$69,'316'!$T$71:$T$76,'316'!$T$78,'316'!$T$80</definedName>
    <definedName name="OSRRefT22x_0" localSheetId="29">'317'!$T$57:$T$65,'317'!$T$67:$T$71,'317'!$T$73,'317'!$T$75,'317'!$T$77,'317'!$T$79:$T$80,'317'!$T$82,'317'!$T$84,'317'!$T$86:$T$87,'317'!$T$89,'317'!$T$91:$T$94,'317'!$T$96,'317'!$T$98</definedName>
    <definedName name="OSRRefT22x_0" localSheetId="33">'321'!$T$27:$T$35,'321'!$T$37:$T$42,'321'!$T$44,'321'!$T$46,'321'!$T$48,'321'!$T$50,'321'!$T$52,'321'!$T$54:$T$55,'321'!$T$57,'321'!$T$59:$T$61,'321'!$T$63:$T$67,'321'!$T$69,'321'!$T$71,'321'!$T$73</definedName>
    <definedName name="OSRRefT22x_0" localSheetId="34">'322'!$T$21:$T$25,'322'!$T$27,'322'!$T$29,'322'!$T$31,'322'!$T$33:$T$34,'322'!$T$36,'322'!$T$38,'322'!$T$40</definedName>
    <definedName name="OSRRefT22x_0" localSheetId="35">'325'!$T$24:$T$31,'325'!$T$33:$T$35,'325'!$T$37,'325'!$T$39,'325'!$T$41,'325'!$T$43:$T$44,'325'!$T$46,'325'!$T$48,'325'!$T$50,'325'!$T$52,'325'!$T$54,'325'!$T$56:$T$57,'325'!$T$59:$T$62,'325'!$T$64:$T$69,'325'!$T$71,'325'!$T$73,'325'!$T$75</definedName>
    <definedName name="OSRRefT22x_0" localSheetId="25">'326'!$T$60:$T$67,'326'!$T$69:$T$74,'326'!$T$76,'326'!$T$78,'326'!$T$80,'326'!$T$82,'326'!$T$84,'326'!$T$86,'326'!$T$88,'326'!$T$90,'326'!$T$92,'326'!$T$94:$T$96,'326'!$T$98:$T$100,'326'!$T$102:$T$103,'326'!$T$105:$T$108,'326'!$T$110,'326'!$T$112,'326'!$T$114</definedName>
    <definedName name="OSRRefT22x_0" localSheetId="36">'327'!$T$24,'327'!$T$26</definedName>
    <definedName name="OSRRefT22x_0" localSheetId="23">'331'!$T$90:$T$97,'331'!$T$99:$T$104,'331'!$T$106,'331'!$T$108,'331'!$T$110,'331'!$T$112:$T$113,'331'!$T$115,'331'!$T$117,'331'!$T$119:$T$120,'331'!$T$122,'331'!$T$124,'331'!$T$126:$T$127,'331'!$T$129,'331'!$T$131,'331'!$T$133:$T$135,'331'!$T$137:$T$138,'331'!$T$140:$T$142,'331'!$T$144:$T$145,'331'!$T$147:$T$152,'331'!$T$154,'331'!$T$156,'331'!$T$158,'331'!$T$160</definedName>
    <definedName name="OSRRefT22x_0" localSheetId="26">'332'!$T$36:$T$43,'332'!$T$45:$T$48,'332'!$T$50,'332'!$T$52,'332'!$T$54,'332'!$T$56,'332'!$T$58:$T$59,'332'!$T$61,'332'!$T$63,'332'!$T$65:$T$67,'332'!$T$69,'332'!$T$71,'332'!$T$73:$T$78,'332'!$T$80,'332'!$T$82</definedName>
    <definedName name="OSRRefT22x_0" localSheetId="21">'333'!$T$99:$T$106,'333'!$T$108:$T$113,'333'!$T$115,'333'!$T$117,'333'!$T$119,'333'!$T$121:$T$122,'333'!$T$124,'333'!$T$126,'333'!$T$128:$T$129,'333'!$T$131,'333'!$T$133,'333'!$T$135:$T$136,'333'!$T$138,'333'!$T$140,'333'!$T$142:$T$144,'333'!$T$146:$T$147,'333'!$T$149:$T$152,'333'!$T$154:$T$155,'333'!$T$157:$T$162,'333'!$T$164,'333'!$T$166,'333'!$T$168,'333'!$T$170</definedName>
    <definedName name="OSRRefT22x_0" localSheetId="40">'405'!$T$24:$T$31,'405'!$T$33:$T$36,'405'!$T$38,'405'!$T$40,'405'!$T$42,'405'!$T$44:$T$45,'405'!$T$47,'405'!$T$49,'405'!$T$51,'405'!$T$53,'405'!$T$55:$T$56,'405'!$T$58:$T$61,'405'!$T$63,'405'!$T$65:$T$73,'405'!$T$75,'405'!$T$77,'405'!$T$79</definedName>
    <definedName name="OSRRefT22x_0" localSheetId="41">'406'!$T$20,'406'!$T$22,'406'!$T$24,'406'!$T$26,'406'!$T$28</definedName>
    <definedName name="OSRRefT22x_0" localSheetId="42">'411'!$T$20:$T$27,'411'!$T$29:$T$33,'411'!$T$35,'411'!$T$37,'411'!$T$39:$T$40,'411'!$T$42,'411'!$T$44,'411'!$T$46,'411'!$T$48,'411'!$T$50,'411'!$T$52,'411'!$T$54:$T$57,'411'!$T$59:$T$61,'411'!$T$63,'411'!$T$65:$T$67,'411'!$T$69,'411'!$T$71,'411'!$T$73:$T$74,'411'!$T$76</definedName>
    <definedName name="OSRRefT22x_0" localSheetId="43">'412'!$T$21,'412'!$T$23,'412'!$T$25,'412'!$T$27:$T$28,'412'!$T$30,'412'!$T$32,'412'!$T$34</definedName>
    <definedName name="OSRRefT22x_0" localSheetId="44">'413'!$T$20:$T$24,'413'!$T$26,'413'!$T$28,'413'!$T$30:$T$31,'413'!$T$33,'413'!$T$35</definedName>
    <definedName name="OSRRefT22x_0" localSheetId="45">'414'!$T$22,'414'!$T$24,'414'!$T$26,'414'!$T$28,'414'!$T$30,'414'!$T$32:$T$33</definedName>
    <definedName name="OSRRefT22x_0" localSheetId="46">'415'!$T$24:$T$32,'415'!$T$34:$T$38,'415'!$T$40,'415'!$T$42,'415'!$T$44,'415'!$T$46:$T$47,'415'!$T$49,'415'!$T$51,'415'!$T$53,'415'!$T$55,'415'!$T$57,'415'!$T$59:$T$61,'415'!$T$63:$T$66,'415'!$T$68,'415'!$T$70:$T$76,'415'!$T$78,'415'!$T$80,'415'!$T$82</definedName>
    <definedName name="OSRRefT22x_0" localSheetId="47">'418'!$T$21:$T$28,'418'!$T$30:$T$33,'418'!$T$35,'418'!$T$37,'418'!$T$39:$T$40,'418'!$T$42,'418'!$T$44,'418'!$T$46,'418'!$T$48:$T$49,'418'!$T$51,'418'!$T$53,'418'!$T$55:$T$61,'418'!$T$63,'418'!$T$65</definedName>
    <definedName name="OSRRefT22x_0" localSheetId="48">'420'!$T$22,'420'!$T$24</definedName>
    <definedName name="OSRRefT22x_0" localSheetId="49">'423'!$T$20:$T$21,'423'!$T$23,'423'!$T$25,'423'!$T$27</definedName>
    <definedName name="OSRRefT22x_0" localSheetId="50">'424'!$T$21,'424'!$T$23,'424'!$T$25,'424'!$T$27</definedName>
    <definedName name="OSRRefT22x_0" localSheetId="51">'425'!$T$22:$T$26,'425'!$T$28,'425'!$T$30,'425'!$T$32,'425'!$T$34,'425'!$T$36:$T$37,'425'!$T$39,'425'!$T$41:$T$43,'425'!$T$45</definedName>
    <definedName name="OSRRefT22x_0" localSheetId="54">'430'!$T$20:$T$27,'430'!$T$29,'430'!$T$31,'430'!$T$33,'430'!$T$35,'430'!$T$37:$T$39,'430'!$T$41,'430'!$T$43,'430'!$T$45</definedName>
    <definedName name="OSRRefT22x_0" localSheetId="55">'433'!$T$25:$T$33,'433'!$T$35:$T$40,'433'!$T$42,'433'!$T$44,'433'!$T$46,'433'!$T$48,'433'!$T$50,'433'!$T$52,'433'!$T$54,'433'!$T$56,'433'!$T$58,'433'!$T$60:$T$61,'433'!$T$63:$T$65,'433'!$T$67:$T$74,'433'!$T$76,'433'!$T$78</definedName>
    <definedName name="OSRRefT22x_0" localSheetId="56">'435'!$T$23:$T$24,'435'!$T$26,'435'!$T$28,'435'!$T$30,'435'!$T$32,'435'!$T$34</definedName>
    <definedName name="OSRRefT22x_0" localSheetId="57">'444'!$T$25:$T$33,'444'!$T$35:$T$40,'444'!$T$42,'444'!$T$44,'444'!$T$46,'444'!$T$48,'444'!$T$50,'444'!$T$52,'444'!$T$54,'444'!$T$56,'444'!$T$58,'444'!$T$60:$T$61,'444'!$T$63:$T$66,'444'!$T$68,'444'!$T$70:$T$77,'444'!$T$79,'444'!$T$81,'444'!$T$83</definedName>
    <definedName name="OSRRefT22x_0" localSheetId="58">'450'!$T$25:$T$33,'450'!$T$35:$T$39,'450'!$T$41,'450'!$T$43,'450'!$T$45,'450'!$T$47,'450'!$T$49,'450'!$T$51,'450'!$T$53,'450'!$T$55,'450'!$T$57,'450'!$T$59,'450'!$T$61:$T$62,'450'!$T$64:$T$66,'450'!$T$68:$T$73,'450'!$T$75,'450'!$T$77,'450'!$T$79</definedName>
    <definedName name="OSRRefT22x_0" localSheetId="39">'491'!$T$28:$T$36,'491'!$T$38:$T$43,'491'!$T$45,'491'!$T$47,'491'!$T$49,'491'!$T$51:$T$52,'491'!$T$54,'491'!$T$56,'491'!$T$58,'491'!$T$60,'491'!$T$62,'491'!$T$64,'491'!$T$66,'491'!$T$68,'491'!$T$70:$T$73,'491'!$T$75,'491'!$T$77:$T$80,'491'!$T$82,'491'!$T$84:$T$92,'491'!$T$94,'491'!$T$96,'491'!$T$98:$T$99,'491'!$T$101</definedName>
    <definedName name="OSRRefT22x_0" localSheetId="53">'492'!$T$27:$T$35,'492'!$T$37:$T$43,'492'!$T$45,'492'!$T$47,'492'!$T$49,'492'!$T$51,'492'!$T$53,'492'!$T$55,'492'!$T$57,'492'!$T$59,'492'!$T$61,'492'!$T$63,'492'!$T$65:$T$67,'492'!$T$69:$T$72,'492'!$T$74,'492'!$T$76:$T$83,'492'!$T$85,'492'!$T$87,'492'!$T$89:$T$91</definedName>
    <definedName name="OSRRefT22x_0" localSheetId="60">'501'!$T$21:$T$29,'501'!$T$31:$T$36,'501'!$T$38,'501'!$T$40,'501'!$T$42:$T$43,'501'!$T$45,'501'!$T$47,'501'!$T$49:$T$52,'501'!$T$54,'501'!$T$56:$T$57,'501'!$T$59,'501'!$T$61</definedName>
    <definedName name="OSRRefT22x_0" localSheetId="5">'Div 2'!$T$20:$T$30,'Div 2'!$T$32:$T$37,'Div 2'!$T$39,'Div 2'!$T$41,'Div 2'!$T$43,'Div 2'!$T$45,'Div 2'!$T$47,'Div 2'!$T$49,'Div 2'!$T$51,'Div 2'!$T$53:$T$54,'Div 2'!$T$56,'Div 2'!$T$58,'Div 2'!$T$60:$T$62,'Div 2'!$T$64:$T$67,'Div 2'!$T$69,'Div 2'!$T$71:$T$72,'Div 2'!$T$74:$T$78,'Div 2'!$T$80:$T$81,'Div 2'!$T$83,'Div 2'!$T$85:$T$86</definedName>
    <definedName name="OSRRefT22x_0" localSheetId="13">'Div 3'!$T$145:$T$154,'Div 3'!$T$156:$T$162,'Div 3'!$T$164,'Div 3'!$T$166:$T$167,'Div 3'!$T$169,'Div 3'!$T$171:$T$172,'Div 3'!$T$174:$T$175,'Div 3'!$T$177,'Div 3'!$T$179,'Div 3'!$T$181,'Div 3'!$T$183:$T$184,'Div 3'!$T$186,'Div 3'!$T$188,'Div 3'!$T$190,'Div 3'!$T$192:$T$193,'Div 3'!$T$195,'Div 3'!$T$197,'Div 3'!$T$199:$T$202,'Div 3'!$T$204:$T$206,'Div 3'!$T$208:$T$212,'Div 3'!$T$214:$T$215,'Div 3'!$T$217:$T$223,'Div 3'!$T$225:$T$226,'Div 3'!$T$228,'Div 3'!$T$230:$T$232,'Div 3'!$T$234</definedName>
    <definedName name="OSRRefT22x_0" localSheetId="37">'Div 4'!$T$31:$T$39,'Div 4'!$T$41:$T$47,'Div 4'!$T$49,'Div 4'!$T$51,'Div 4'!$T$53,'Div 4'!$T$55:$T$56,'Div 4'!$T$58,'Div 4'!$T$60,'Div 4'!$T$62,'Div 4'!$T$64,'Div 4'!$T$66,'Div 4'!$T$68,'Div 4'!$T$70,'Div 4'!$T$72,'Div 4'!$T$74,'Div 4'!$T$76,'Div 4'!$T$78:$T$81,'Div 4'!$T$83,'Div 4'!$T$85:$T$88,'Div 4'!$T$90:$T$91,'Div 4'!$T$93:$T$101,'Div 4'!$T$103,'Div 4'!$T$105,'Div 4'!$T$107:$T$109,'Div 4'!$T$111</definedName>
    <definedName name="OSRRefT22x_0" localSheetId="59">'Div 5'!$T$21:$T$29,'Div 5'!$T$31:$T$36,'Div 5'!$T$38,'Div 5'!$T$40,'Div 5'!$T$42:$T$43,'Div 5'!$T$45,'Div 5'!$T$47,'Div 5'!$T$49:$T$52,'Div 5'!$T$54,'Div 5'!$T$56:$T$57,'Div 5'!$T$59,'Div 5'!$T$61</definedName>
    <definedName name="OSRRefT22x_0" localSheetId="28">'Div 6'!$T$57:$T$65,'Div 6'!$T$67:$T$71,'Div 6'!$T$73,'Div 6'!$T$75,'Div 6'!$T$77,'Div 6'!$T$79:$T$80,'Div 6'!$T$82,'Div 6'!$T$84,'Div 6'!$T$86:$T$87,'Div 6'!$T$89,'Div 6'!$T$91:$T$94,'Div 6'!$T$96,'Div 6'!$T$98</definedName>
    <definedName name="OSRRefT22x_0" localSheetId="2">Summary!$T$172:$T$181,Summary!$T$183:$T$189,Summary!$T$191,Summary!$T$193:$T$194,Summary!$T$196,Summary!$T$198:$T$199,Summary!$T$201:$T$202,Summary!$T$204,Summary!$T$206,Summary!$T$208,Summary!$T$210:$T$211,Summary!$T$213,Summary!$T$215,Summary!$T$217,Summary!$T$219:$T$220,Summary!$T$222,Summary!$T$224,Summary!$T$226,Summary!$T$228:$T$231,Summary!$T$233:$T$235,Summary!$T$237:$T$241,Summary!$T$243:$T$244,Summary!$T$246:$T$254,Summary!$T$256:$T$257,Summary!$T$259,Summary!$T$261:$T$263,Summary!$T$265</definedName>
    <definedName name="OSRRefT25x_0" localSheetId="14">'300'!$T$227:$T$231</definedName>
    <definedName name="OSRRefT25x_0" localSheetId="15">'300 &amp; 317'!$T$249:$T$255</definedName>
    <definedName name="OSRRefT25x_0" localSheetId="16">'301'!$T$100</definedName>
    <definedName name="OSRRefT25x_0" localSheetId="18">'308'!$T$115:$T$117</definedName>
    <definedName name="OSRRefT25x_0" localSheetId="38">'310 &amp; 491'!$T$115:$T$117</definedName>
    <definedName name="OSRRefT25x_0" localSheetId="19">'311'!$T$115:$T$117</definedName>
    <definedName name="OSRRefT25x_0" localSheetId="24">'315'!$T$145:$T$147</definedName>
    <definedName name="OSRRefT25x_0" localSheetId="27">'316'!$T$83</definedName>
    <definedName name="OSRRefT25x_0" localSheetId="29">'317'!$T$101:$T$103</definedName>
    <definedName name="OSRRefT25x_0" localSheetId="23">'331'!$T$163:$T$165</definedName>
    <definedName name="OSRRefT25x_0" localSheetId="26">'332'!$T$85:$T$86</definedName>
    <definedName name="OSRRefT25x_0" localSheetId="21">'333'!$T$173:$T$175</definedName>
    <definedName name="OSRRefT25x_0" localSheetId="40">'405'!$T$82</definedName>
    <definedName name="OSRRefT25x_0" localSheetId="42">'411'!$T$79:$T$80</definedName>
    <definedName name="OSRRefT25x_0" localSheetId="46">'415'!$T$85</definedName>
    <definedName name="OSRRefT25x_0" localSheetId="47">'418'!$T$68</definedName>
    <definedName name="OSRRefT25x_0" localSheetId="49">'423'!$T$30</definedName>
    <definedName name="OSRRefT25x_0" localSheetId="52">'455'!$T$21:$T$22</definedName>
    <definedName name="OSRRefT25x_0" localSheetId="39">'491'!$T$104:$T$106</definedName>
    <definedName name="OSRRefT25x_0" localSheetId="60">'501'!$T$64</definedName>
    <definedName name="OSRRefT25x_0" localSheetId="13">'Div 3'!$T$237:$T$241</definedName>
    <definedName name="OSRRefT25x_0" localSheetId="37">'Div 4'!$T$114:$T$116</definedName>
    <definedName name="OSRRefT25x_0" localSheetId="59">'Div 5'!$T$64</definedName>
    <definedName name="OSRRefT25x_0" localSheetId="28">'Div 6'!$T$101:$T$103</definedName>
    <definedName name="OSRRefT25x_0" localSheetId="2">Summary!$T$268:$T$276</definedName>
    <definedName name="_xlnm.Print_Area" localSheetId="4">'100'!$A$1:$Z$34</definedName>
    <definedName name="_xlnm.Print_Area" localSheetId="6">'200'!$A$1:$Z$41</definedName>
    <definedName name="_xlnm.Print_Area" localSheetId="7">'201'!$A$1:$Z$79</definedName>
    <definedName name="_xlnm.Print_Area" localSheetId="8">'202'!$A$1:$Z$74</definedName>
    <definedName name="_xlnm.Print_Area" localSheetId="9">'203'!$A$1:$Z$79</definedName>
    <definedName name="_xlnm.Print_Area" localSheetId="10">'204'!$A$1:$Z$66</definedName>
    <definedName name="_xlnm.Print_Area" localSheetId="11">'205'!$A$1:$Z$57</definedName>
    <definedName name="_xlnm.Print_Area" localSheetId="12">'206'!$A$1:$Z$56</definedName>
    <definedName name="_xlnm.Print_Area" localSheetId="14">'300'!$A$1:$Z$243</definedName>
    <definedName name="_xlnm.Print_Area" localSheetId="15">'300 &amp; 317'!$A$1:$Z$267</definedName>
    <definedName name="_xlnm.Print_Area" localSheetId="16">'301'!$A$1:$Z$112</definedName>
    <definedName name="_xlnm.Print_Area" localSheetId="17">'306'!$A$1:$Z$48</definedName>
    <definedName name="_xlnm.Print_Area" localSheetId="22">'307'!$A$1:$Z$109</definedName>
    <definedName name="_xlnm.Print_Area" localSheetId="18">'308'!$A$1:$Z$129</definedName>
    <definedName name="_xlnm.Print_Area" localSheetId="32">'309'!$A$1:$Z$70</definedName>
    <definedName name="_xlnm.Print_Area" localSheetId="30">'310'!$A$1:$Z$107</definedName>
    <definedName name="_xlnm.Print_Area" localSheetId="38">'310 &amp; 491'!$A$1:$Z$129</definedName>
    <definedName name="_xlnm.Print_Area" localSheetId="19">'311'!$A$1:$Z$129</definedName>
    <definedName name="_xlnm.Print_Area" localSheetId="31">'313'!$A$1:$Z$60</definedName>
    <definedName name="_xlnm.Print_Area" localSheetId="24">'315'!$A$1:$Z$159</definedName>
    <definedName name="_xlnm.Print_Area" localSheetId="27">'316'!$A$1:$Z$95</definedName>
    <definedName name="_xlnm.Print_Area" localSheetId="29">'317'!$A$1:$Z$115</definedName>
    <definedName name="_xlnm.Print_Area" localSheetId="33">'321'!$A$1:$Z$87</definedName>
    <definedName name="_xlnm.Print_Area" localSheetId="34">'322'!$A$1:$Z$54</definedName>
    <definedName name="_xlnm.Print_Area" localSheetId="20">'324'!$A$1:$Z$39</definedName>
    <definedName name="_xlnm.Print_Area" localSheetId="35">'325'!$A$1:$Z$89</definedName>
    <definedName name="_xlnm.Print_Area" localSheetId="25">'326'!$A$1:$Z$128</definedName>
    <definedName name="_xlnm.Print_Area" localSheetId="36">'327'!$A$1:$Z$40</definedName>
    <definedName name="_xlnm.Print_Area" localSheetId="23">'331'!$A$1:$Z$177</definedName>
    <definedName name="_xlnm.Print_Area" localSheetId="26">'332'!$A$1:$Z$98</definedName>
    <definedName name="_xlnm.Print_Area" localSheetId="21">'333'!$A$1:$Z$187</definedName>
    <definedName name="_xlnm.Print_Area" localSheetId="40">'405'!$A$1:$Z$94</definedName>
    <definedName name="_xlnm.Print_Area" localSheetId="41">'406'!$A$1:$Z$42</definedName>
    <definedName name="_xlnm.Print_Area" localSheetId="42">'411'!$A$1:$Z$92</definedName>
    <definedName name="_xlnm.Print_Area" localSheetId="43">'412'!$A$1:$Z$48</definedName>
    <definedName name="_xlnm.Print_Area" localSheetId="44">'413'!$A$1:$Z$49</definedName>
    <definedName name="_xlnm.Print_Area" localSheetId="45">'414'!$A$1:$Z$47</definedName>
    <definedName name="_xlnm.Print_Area" localSheetId="46">'415'!$A$1:$Z$97</definedName>
    <definedName name="_xlnm.Print_Area" localSheetId="47">'418'!$A$1:$Z$80</definedName>
    <definedName name="_xlnm.Print_Area" localSheetId="48">'420'!$A$1:$Z$38</definedName>
    <definedName name="_xlnm.Print_Area" localSheetId="49">'423'!$A$1:$Z$42</definedName>
    <definedName name="_xlnm.Print_Area" localSheetId="50">'424'!$A$1:$Z$41</definedName>
    <definedName name="_xlnm.Print_Area" localSheetId="51">'425'!$A$1:$Z$59</definedName>
    <definedName name="_xlnm.Print_Area" localSheetId="54">'430'!$A$1:$Z$59</definedName>
    <definedName name="_xlnm.Print_Area" localSheetId="55">'433'!$A$1:$Z$92</definedName>
    <definedName name="_xlnm.Print_Area" localSheetId="56">'435'!$A$1:$Z$48</definedName>
    <definedName name="_xlnm.Print_Area" localSheetId="57">'444'!$A$1:$Z$97</definedName>
    <definedName name="_xlnm.Print_Area" localSheetId="58">'450'!$A$1:$Z$93</definedName>
    <definedName name="_xlnm.Print_Area" localSheetId="52">'455'!$A$1:$Z$34</definedName>
    <definedName name="_xlnm.Print_Area" localSheetId="39">'491'!$A$1:$Z$118</definedName>
    <definedName name="_xlnm.Print_Area" localSheetId="53">'492'!$A$1:$Z$105</definedName>
    <definedName name="_xlnm.Print_Area" localSheetId="60">'501'!$A$1:$Z$76</definedName>
    <definedName name="_xlnm.Print_Area" localSheetId="61">Dept!$A$1:$Z$39</definedName>
    <definedName name="_xlnm.Print_Area" localSheetId="3">'Div 1'!$A$1:$Z$34</definedName>
    <definedName name="_xlnm.Print_Area" localSheetId="5">'Div 2'!$A$1:$Z$100</definedName>
    <definedName name="_xlnm.Print_Area" localSheetId="13">'Div 3'!$A$1:$Z$253</definedName>
    <definedName name="_xlnm.Print_Area" localSheetId="37">'Div 4'!$A$1:$Z$128</definedName>
    <definedName name="_xlnm.Print_Area" localSheetId="59">'Div 5'!$A$1:$Z$76</definedName>
    <definedName name="_xlnm.Print_Area" localSheetId="28">'Div 6'!$A$1:$Z$115</definedName>
    <definedName name="_xlnm.Print_Area" localSheetId="2">Summary!$A$1:$Z$290</definedName>
    <definedName name="_xlnm.Print_Titles" localSheetId="4">'100'!$1:$10</definedName>
    <definedName name="_xlnm.Print_Titles" localSheetId="6">'200'!$1:$10</definedName>
    <definedName name="_xlnm.Print_Titles" localSheetId="7">'201'!$1:$10</definedName>
    <definedName name="_xlnm.Print_Titles" localSheetId="8">'202'!$1:$10</definedName>
    <definedName name="_xlnm.Print_Titles" localSheetId="9">'203'!$1:$10</definedName>
    <definedName name="_xlnm.Print_Titles" localSheetId="10">'204'!$1:$10</definedName>
    <definedName name="_xlnm.Print_Titles" localSheetId="11">'205'!$1:$10</definedName>
    <definedName name="_xlnm.Print_Titles" localSheetId="12">'206'!$1:$10</definedName>
    <definedName name="_xlnm.Print_Titles" localSheetId="14">'300'!$1:$10</definedName>
    <definedName name="_xlnm.Print_Titles" localSheetId="15">'300 &amp; 317'!$1:$10</definedName>
    <definedName name="_xlnm.Print_Titles" localSheetId="16">'301'!$1:$10</definedName>
    <definedName name="_xlnm.Print_Titles" localSheetId="17">'306'!$1:$10</definedName>
    <definedName name="_xlnm.Print_Titles" localSheetId="22">'307'!$1:$10</definedName>
    <definedName name="_xlnm.Print_Titles" localSheetId="18">'308'!$1:$10</definedName>
    <definedName name="_xlnm.Print_Titles" localSheetId="32">'309'!$1:$10</definedName>
    <definedName name="_xlnm.Print_Titles" localSheetId="30">'310'!$1:$10</definedName>
    <definedName name="_xlnm.Print_Titles" localSheetId="38">'310 &amp; 491'!$1:$10</definedName>
    <definedName name="_xlnm.Print_Titles" localSheetId="19">'311'!$1:$10</definedName>
    <definedName name="_xlnm.Print_Titles" localSheetId="31">'313'!$1:$10</definedName>
    <definedName name="_xlnm.Print_Titles" localSheetId="24">'315'!$1:$10</definedName>
    <definedName name="_xlnm.Print_Titles" localSheetId="27">'316'!$1:$10</definedName>
    <definedName name="_xlnm.Print_Titles" localSheetId="29">'317'!$1:$10</definedName>
    <definedName name="_xlnm.Print_Titles" localSheetId="33">'321'!$1:$10</definedName>
    <definedName name="_xlnm.Print_Titles" localSheetId="34">'322'!$1:$10</definedName>
    <definedName name="_xlnm.Print_Titles" localSheetId="20">'324'!$1:$10</definedName>
    <definedName name="_xlnm.Print_Titles" localSheetId="35">'325'!$1:$10</definedName>
    <definedName name="_xlnm.Print_Titles" localSheetId="25">'326'!$1:$10</definedName>
    <definedName name="_xlnm.Print_Titles" localSheetId="36">'327'!$1:$10</definedName>
    <definedName name="_xlnm.Print_Titles" localSheetId="23">'331'!$1:$10</definedName>
    <definedName name="_xlnm.Print_Titles" localSheetId="26">'332'!$1:$10</definedName>
    <definedName name="_xlnm.Print_Titles" localSheetId="21">'333'!$1:$10</definedName>
    <definedName name="_xlnm.Print_Titles" localSheetId="40">'405'!$1:$10</definedName>
    <definedName name="_xlnm.Print_Titles" localSheetId="41">'406'!$1:$10</definedName>
    <definedName name="_xlnm.Print_Titles" localSheetId="42">'411'!$1:$10</definedName>
    <definedName name="_xlnm.Print_Titles" localSheetId="43">'412'!$1:$10</definedName>
    <definedName name="_xlnm.Print_Titles" localSheetId="44">'413'!$1:$10</definedName>
    <definedName name="_xlnm.Print_Titles" localSheetId="45">'414'!$1:$10</definedName>
    <definedName name="_xlnm.Print_Titles" localSheetId="46">'415'!$1:$10</definedName>
    <definedName name="_xlnm.Print_Titles" localSheetId="47">'418'!$1:$10</definedName>
    <definedName name="_xlnm.Print_Titles" localSheetId="48">'420'!$1:$10</definedName>
    <definedName name="_xlnm.Print_Titles" localSheetId="49">'423'!$1:$10</definedName>
    <definedName name="_xlnm.Print_Titles" localSheetId="50">'424'!$1:$10</definedName>
    <definedName name="_xlnm.Print_Titles" localSheetId="51">'425'!$1:$10</definedName>
    <definedName name="_xlnm.Print_Titles" localSheetId="54">'430'!$1:$10</definedName>
    <definedName name="_xlnm.Print_Titles" localSheetId="55">'433'!$1:$10</definedName>
    <definedName name="_xlnm.Print_Titles" localSheetId="56">'435'!$1:$10</definedName>
    <definedName name="_xlnm.Print_Titles" localSheetId="57">'444'!$1:$10</definedName>
    <definedName name="_xlnm.Print_Titles" localSheetId="58">'450'!$1:$10</definedName>
    <definedName name="_xlnm.Print_Titles" localSheetId="52">'455'!$1:$10</definedName>
    <definedName name="_xlnm.Print_Titles" localSheetId="39">'491'!$1:$10</definedName>
    <definedName name="_xlnm.Print_Titles" localSheetId="53">'492'!$1:$10</definedName>
    <definedName name="_xlnm.Print_Titles" localSheetId="60">'501'!$1:$10</definedName>
    <definedName name="_xlnm.Print_Titles" localSheetId="61">Dept!$A:$C,Dept!$1:$10</definedName>
    <definedName name="_xlnm.Print_Titles" localSheetId="3">'Div 1'!$1:$10</definedName>
    <definedName name="_xlnm.Print_Titles" localSheetId="5">'Div 2'!$1:$10</definedName>
    <definedName name="_xlnm.Print_Titles" localSheetId="13">'Div 3'!$1:$10</definedName>
    <definedName name="_xlnm.Print_Titles" localSheetId="37">'Div 4'!$1:$10</definedName>
    <definedName name="_xlnm.Print_Titles" localSheetId="59">'Div 5'!$1:$10</definedName>
    <definedName name="_xlnm.Print_Titles" localSheetId="28">'Div 6'!$1:$10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64" l="1"/>
  <c r="B38" i="64"/>
  <c r="T34" i="64"/>
  <c r="Z34" i="64" s="1"/>
  <c r="P34" i="64"/>
  <c r="H34" i="64"/>
  <c r="N34" i="64" s="1"/>
  <c r="D34" i="64"/>
  <c r="T33" i="64"/>
  <c r="Z33" i="64" s="1"/>
  <c r="P33" i="64"/>
  <c r="H33" i="64"/>
  <c r="N33" i="64" s="1"/>
  <c r="D33" i="64"/>
  <c r="T29" i="64"/>
  <c r="Z29" i="64" s="1"/>
  <c r="P29" i="64"/>
  <c r="H29" i="64"/>
  <c r="N29" i="64" s="1"/>
  <c r="D29" i="64"/>
  <c r="T25" i="64"/>
  <c r="Z25" i="64" s="1"/>
  <c r="P25" i="64"/>
  <c r="H25" i="64"/>
  <c r="N25" i="64" s="1"/>
  <c r="D25" i="64"/>
  <c r="B25" i="64"/>
  <c r="T24" i="64"/>
  <c r="Z24" i="64" s="1"/>
  <c r="P24" i="64"/>
  <c r="H24" i="64"/>
  <c r="N24" i="64" s="1"/>
  <c r="D24" i="64"/>
  <c r="T22" i="64"/>
  <c r="Z22" i="64" s="1"/>
  <c r="P22" i="64"/>
  <c r="H22" i="64"/>
  <c r="N22" i="64" s="1"/>
  <c r="D22" i="64"/>
  <c r="B22" i="64"/>
  <c r="T21" i="64"/>
  <c r="Z21" i="64" s="1"/>
  <c r="P21" i="64"/>
  <c r="H21" i="64"/>
  <c r="N21" i="64" s="1"/>
  <c r="D21" i="64"/>
  <c r="B21" i="64"/>
  <c r="T20" i="64"/>
  <c r="Z20" i="64" s="1"/>
  <c r="P20" i="64"/>
  <c r="H20" i="64"/>
  <c r="N20" i="64" s="1"/>
  <c r="D20" i="64"/>
  <c r="T16" i="64"/>
  <c r="Z16" i="64" s="1"/>
  <c r="P16" i="64"/>
  <c r="H16" i="64"/>
  <c r="N16" i="64" s="1"/>
  <c r="D16" i="64"/>
  <c r="B16" i="64"/>
  <c r="T15" i="64"/>
  <c r="Z15" i="64" s="1"/>
  <c r="P15" i="64"/>
  <c r="H15" i="64"/>
  <c r="N15" i="64" s="1"/>
  <c r="D15" i="64"/>
  <c r="T13" i="64"/>
  <c r="Z13" i="64" s="1"/>
  <c r="P13" i="64"/>
  <c r="H13" i="64"/>
  <c r="N13" i="64" s="1"/>
  <c r="D13" i="64"/>
  <c r="B13" i="64"/>
  <c r="T12" i="64"/>
  <c r="V34" i="64" s="1"/>
  <c r="P12" i="64"/>
  <c r="R34" i="64" s="1"/>
  <c r="H12" i="64"/>
  <c r="J21" i="64" s="1"/>
  <c r="D12" i="64"/>
  <c r="F34" i="64" s="1"/>
  <c r="D6" i="64"/>
  <c r="D5" i="64"/>
  <c r="D4" i="64"/>
  <c r="X68" i="63"/>
  <c r="Z68" i="63" s="1"/>
  <c r="L68" i="63"/>
  <c r="N68" i="63" s="1"/>
  <c r="X64" i="63"/>
  <c r="T64" i="63"/>
  <c r="P64" i="63"/>
  <c r="P63" i="63" s="1"/>
  <c r="H64" i="63"/>
  <c r="D64" i="63"/>
  <c r="L64" i="63" s="1"/>
  <c r="B64" i="63"/>
  <c r="Z61" i="63"/>
  <c r="X61" i="63"/>
  <c r="N61" i="63"/>
  <c r="L61" i="63"/>
  <c r="B61" i="63"/>
  <c r="T60" i="63"/>
  <c r="Z60" i="63" s="1"/>
  <c r="P60" i="63"/>
  <c r="L60" i="63"/>
  <c r="H60" i="63"/>
  <c r="N60" i="63" s="1"/>
  <c r="D60" i="63"/>
  <c r="B60" i="63"/>
  <c r="Z59" i="63"/>
  <c r="X59" i="63"/>
  <c r="L59" i="63"/>
  <c r="N59" i="63" s="1"/>
  <c r="B59" i="63"/>
  <c r="X58" i="63"/>
  <c r="T58" i="63"/>
  <c r="Z58" i="63" s="1"/>
  <c r="P58" i="63"/>
  <c r="H58" i="63"/>
  <c r="D58" i="63"/>
  <c r="B58" i="63"/>
  <c r="Z57" i="63"/>
  <c r="X57" i="63"/>
  <c r="N57" i="63"/>
  <c r="L57" i="63"/>
  <c r="B57" i="63"/>
  <c r="X56" i="63"/>
  <c r="Z56" i="63" s="1"/>
  <c r="L56" i="63"/>
  <c r="N56" i="63" s="1"/>
  <c r="B56" i="63"/>
  <c r="T55" i="63"/>
  <c r="P55" i="63"/>
  <c r="X55" i="63" s="1"/>
  <c r="Z55" i="63" s="1"/>
  <c r="L55" i="63"/>
  <c r="N55" i="63" s="1"/>
  <c r="H55" i="63"/>
  <c r="F55" i="63"/>
  <c r="D55" i="63"/>
  <c r="B55" i="63"/>
  <c r="Z54" i="63"/>
  <c r="X54" i="63"/>
  <c r="N54" i="63"/>
  <c r="L54" i="63"/>
  <c r="B54" i="63"/>
  <c r="Z53" i="63"/>
  <c r="X53" i="63"/>
  <c r="T53" i="63"/>
  <c r="P53" i="63"/>
  <c r="L53" i="63"/>
  <c r="H53" i="63"/>
  <c r="N53" i="63" s="1"/>
  <c r="D53" i="63"/>
  <c r="B53" i="63"/>
  <c r="X52" i="63"/>
  <c r="Z52" i="63" s="1"/>
  <c r="N52" i="63"/>
  <c r="L52" i="63"/>
  <c r="F52" i="63"/>
  <c r="B52" i="63"/>
  <c r="X51" i="63"/>
  <c r="Z51" i="63" s="1"/>
  <c r="N51" i="63"/>
  <c r="L51" i="63"/>
  <c r="B51" i="63"/>
  <c r="Z50" i="63"/>
  <c r="X50" i="63"/>
  <c r="N50" i="63"/>
  <c r="L50" i="63"/>
  <c r="B50" i="63"/>
  <c r="X49" i="63"/>
  <c r="Z49" i="63" s="1"/>
  <c r="N49" i="63"/>
  <c r="L49" i="63"/>
  <c r="B49" i="63"/>
  <c r="T48" i="63"/>
  <c r="P48" i="63"/>
  <c r="X48" i="63" s="1"/>
  <c r="N48" i="63"/>
  <c r="H48" i="63"/>
  <c r="D48" i="63"/>
  <c r="L48" i="63" s="1"/>
  <c r="B48" i="63"/>
  <c r="X47" i="63"/>
  <c r="Z47" i="63" s="1"/>
  <c r="N47" i="63"/>
  <c r="L47" i="63"/>
  <c r="B47" i="63"/>
  <c r="T46" i="63"/>
  <c r="P46" i="63"/>
  <c r="X46" i="63" s="1"/>
  <c r="Z46" i="63" s="1"/>
  <c r="L46" i="63"/>
  <c r="H46" i="63"/>
  <c r="N46" i="63" s="1"/>
  <c r="D46" i="63"/>
  <c r="B46" i="63"/>
  <c r="Z45" i="63"/>
  <c r="X45" i="63"/>
  <c r="L45" i="63"/>
  <c r="N45" i="63" s="1"/>
  <c r="B45" i="63"/>
  <c r="X44" i="63"/>
  <c r="T44" i="63"/>
  <c r="Z44" i="63" s="1"/>
  <c r="P44" i="63"/>
  <c r="L44" i="63"/>
  <c r="H44" i="63"/>
  <c r="N44" i="63" s="1"/>
  <c r="D44" i="63"/>
  <c r="B44" i="63"/>
  <c r="Z43" i="63"/>
  <c r="X43" i="63"/>
  <c r="N43" i="63"/>
  <c r="L43" i="63"/>
  <c r="B43" i="63"/>
  <c r="X42" i="63"/>
  <c r="Z42" i="63" s="1"/>
  <c r="N42" i="63"/>
  <c r="L42" i="63"/>
  <c r="B42" i="63"/>
  <c r="T41" i="63"/>
  <c r="P41" i="63"/>
  <c r="X41" i="63" s="1"/>
  <c r="Z41" i="63" s="1"/>
  <c r="N41" i="63"/>
  <c r="H41" i="63"/>
  <c r="D41" i="63"/>
  <c r="L41" i="63" s="1"/>
  <c r="B41" i="63"/>
  <c r="X40" i="63"/>
  <c r="Z40" i="63" s="1"/>
  <c r="L40" i="63"/>
  <c r="N40" i="63" s="1"/>
  <c r="B40" i="63"/>
  <c r="T39" i="63"/>
  <c r="P39" i="63"/>
  <c r="X39" i="63" s="1"/>
  <c r="Z39" i="63" s="1"/>
  <c r="L39" i="63"/>
  <c r="N39" i="63" s="1"/>
  <c r="H39" i="63"/>
  <c r="F39" i="63"/>
  <c r="D39" i="63"/>
  <c r="B39" i="63"/>
  <c r="Z38" i="63"/>
  <c r="X38" i="63"/>
  <c r="N38" i="63"/>
  <c r="L38" i="63"/>
  <c r="B38" i="63"/>
  <c r="Z37" i="63"/>
  <c r="X37" i="63"/>
  <c r="T37" i="63"/>
  <c r="P37" i="63"/>
  <c r="L37" i="63"/>
  <c r="H37" i="63"/>
  <c r="N37" i="63" s="1"/>
  <c r="D37" i="63"/>
  <c r="B37" i="63"/>
  <c r="X36" i="63"/>
  <c r="Z36" i="63" s="1"/>
  <c r="N36" i="63"/>
  <c r="L36" i="63"/>
  <c r="F36" i="63"/>
  <c r="B36" i="63"/>
  <c r="X35" i="63"/>
  <c r="Z35" i="63" s="1"/>
  <c r="N35" i="63"/>
  <c r="L35" i="63"/>
  <c r="B35" i="63"/>
  <c r="Z34" i="63"/>
  <c r="X34" i="63"/>
  <c r="L34" i="63"/>
  <c r="N34" i="63" s="1"/>
  <c r="B34" i="63"/>
  <c r="Z33" i="63"/>
  <c r="X33" i="63"/>
  <c r="N33" i="63"/>
  <c r="L33" i="63"/>
  <c r="B33" i="63"/>
  <c r="Z32" i="63"/>
  <c r="X32" i="63"/>
  <c r="L32" i="63"/>
  <c r="N32" i="63" s="1"/>
  <c r="B32" i="63"/>
  <c r="Z31" i="63"/>
  <c r="X31" i="63"/>
  <c r="L31" i="63"/>
  <c r="N31" i="63" s="1"/>
  <c r="B31" i="63"/>
  <c r="X30" i="63"/>
  <c r="T30" i="63"/>
  <c r="P30" i="63"/>
  <c r="H30" i="63"/>
  <c r="D30" i="63"/>
  <c r="L30" i="63" s="1"/>
  <c r="B30" i="63"/>
  <c r="X29" i="63"/>
  <c r="Z29" i="63" s="1"/>
  <c r="N29" i="63"/>
  <c r="L29" i="63"/>
  <c r="B29" i="63"/>
  <c r="Z28" i="63"/>
  <c r="X28" i="63"/>
  <c r="L28" i="63"/>
  <c r="N28" i="63" s="1"/>
  <c r="B28" i="63"/>
  <c r="Z27" i="63"/>
  <c r="X27" i="63"/>
  <c r="L27" i="63"/>
  <c r="N27" i="63" s="1"/>
  <c r="B27" i="63"/>
  <c r="X26" i="63"/>
  <c r="Z26" i="63" s="1"/>
  <c r="N26" i="63"/>
  <c r="L26" i="63"/>
  <c r="B26" i="63"/>
  <c r="Z25" i="63"/>
  <c r="X25" i="63"/>
  <c r="L25" i="63"/>
  <c r="N25" i="63" s="1"/>
  <c r="B25" i="63"/>
  <c r="X24" i="63"/>
  <c r="Z24" i="63" s="1"/>
  <c r="N24" i="63"/>
  <c r="L24" i="63"/>
  <c r="F24" i="63"/>
  <c r="B24" i="63"/>
  <c r="X23" i="63"/>
  <c r="Z23" i="63" s="1"/>
  <c r="N23" i="63"/>
  <c r="L23" i="63"/>
  <c r="B23" i="63"/>
  <c r="Z22" i="63"/>
  <c r="X22" i="63"/>
  <c r="L22" i="63"/>
  <c r="N22" i="63" s="1"/>
  <c r="B22" i="63"/>
  <c r="X21" i="63"/>
  <c r="Z21" i="63" s="1"/>
  <c r="N21" i="63"/>
  <c r="L21" i="63"/>
  <c r="B21" i="63"/>
  <c r="T20" i="63"/>
  <c r="P20" i="63"/>
  <c r="X20" i="63" s="1"/>
  <c r="H20" i="63"/>
  <c r="D20" i="63"/>
  <c r="L20" i="63" s="1"/>
  <c r="N20" i="63" s="1"/>
  <c r="B20" i="63"/>
  <c r="T19" i="63" a="1"/>
  <c r="T19" i="63" s="1"/>
  <c r="P19" i="63" a="1"/>
  <c r="P19" i="63" s="1"/>
  <c r="X19" i="63" s="1"/>
  <c r="H19" i="63" a="1"/>
  <c r="H19" i="63" s="1"/>
  <c r="D19" i="63" a="1"/>
  <c r="D19" i="63" s="1"/>
  <c r="L19" i="63" s="1"/>
  <c r="T17" i="63"/>
  <c r="D17" i="63"/>
  <c r="Z15" i="63"/>
  <c r="V15" i="63"/>
  <c r="T15" i="63"/>
  <c r="P15" i="63"/>
  <c r="X15" i="63" s="1"/>
  <c r="N15" i="63"/>
  <c r="L15" i="63"/>
  <c r="H15" i="63"/>
  <c r="F15" i="63"/>
  <c r="D15" i="63"/>
  <c r="T13" i="63"/>
  <c r="P13" i="63"/>
  <c r="H13" i="63"/>
  <c r="D13" i="63"/>
  <c r="B13" i="63"/>
  <c r="T12" i="63"/>
  <c r="V43" i="63" s="1"/>
  <c r="D12" i="63"/>
  <c r="D6" i="63"/>
  <c r="D4" i="63"/>
  <c r="J31" i="62"/>
  <c r="R28" i="62"/>
  <c r="Z26" i="62"/>
  <c r="X26" i="62"/>
  <c r="R26" i="62"/>
  <c r="N26" i="62"/>
  <c r="L26" i="62"/>
  <c r="J26" i="62"/>
  <c r="J24" i="62"/>
  <c r="T22" i="62"/>
  <c r="R22" i="62"/>
  <c r="P22" i="62"/>
  <c r="L22" i="62"/>
  <c r="H22" i="62"/>
  <c r="N22" i="62" s="1"/>
  <c r="F22" i="62"/>
  <c r="D22" i="62"/>
  <c r="D20" i="62" s="1"/>
  <c r="L20" i="62" s="1"/>
  <c r="B22" i="62"/>
  <c r="V21" i="62"/>
  <c r="T21" i="62"/>
  <c r="P21" i="62"/>
  <c r="X21" i="62" s="1"/>
  <c r="Z21" i="62" s="1"/>
  <c r="N21" i="62"/>
  <c r="L21" i="62"/>
  <c r="H21" i="62"/>
  <c r="F21" i="62"/>
  <c r="D21" i="62"/>
  <c r="B21" i="62"/>
  <c r="V20" i="62"/>
  <c r="P20" i="62"/>
  <c r="J20" i="62"/>
  <c r="H20" i="62"/>
  <c r="F20" i="62"/>
  <c r="X18" i="62"/>
  <c r="T18" i="62"/>
  <c r="Z18" i="62" s="1"/>
  <c r="R18" i="62"/>
  <c r="P18" i="62"/>
  <c r="N18" i="62"/>
  <c r="H18" i="62"/>
  <c r="D18" i="62"/>
  <c r="L18" i="62" s="1"/>
  <c r="P16" i="62"/>
  <c r="J16" i="62"/>
  <c r="F16" i="62"/>
  <c r="X14" i="62"/>
  <c r="T14" i="62"/>
  <c r="Z14" i="62" s="1"/>
  <c r="R14" i="62"/>
  <c r="P14" i="62"/>
  <c r="N14" i="62"/>
  <c r="J14" i="62"/>
  <c r="H14" i="62"/>
  <c r="H16" i="62" s="1"/>
  <c r="D14" i="62"/>
  <c r="Z12" i="62"/>
  <c r="T12" i="62"/>
  <c r="P12" i="62"/>
  <c r="R31" i="62" s="1"/>
  <c r="N12" i="62"/>
  <c r="L12" i="62"/>
  <c r="H12" i="62"/>
  <c r="J28" i="62" s="1"/>
  <c r="D12" i="62"/>
  <c r="F18" i="62" s="1"/>
  <c r="D6" i="62"/>
  <c r="D4" i="62"/>
  <c r="Z85" i="61"/>
  <c r="X85" i="61"/>
  <c r="N85" i="61"/>
  <c r="L85" i="61"/>
  <c r="T81" i="61"/>
  <c r="Z81" i="61" s="1"/>
  <c r="P81" i="61"/>
  <c r="X81" i="61" s="1"/>
  <c r="L81" i="61"/>
  <c r="H81" i="61"/>
  <c r="N81" i="61" s="1"/>
  <c r="D81" i="61"/>
  <c r="Z79" i="61"/>
  <c r="X79" i="61"/>
  <c r="N79" i="61"/>
  <c r="L79" i="61"/>
  <c r="B79" i="61"/>
  <c r="X78" i="61"/>
  <c r="T78" i="61"/>
  <c r="Z78" i="61" s="1"/>
  <c r="P78" i="61"/>
  <c r="H78" i="61"/>
  <c r="N78" i="61" s="1"/>
  <c r="D78" i="61"/>
  <c r="L78" i="61" s="1"/>
  <c r="B78" i="61"/>
  <c r="Z77" i="61"/>
  <c r="X77" i="61"/>
  <c r="N77" i="61"/>
  <c r="L77" i="61"/>
  <c r="B77" i="61"/>
  <c r="T76" i="61"/>
  <c r="Z76" i="61" s="1"/>
  <c r="P76" i="61"/>
  <c r="X76" i="61" s="1"/>
  <c r="N76" i="61"/>
  <c r="H76" i="61"/>
  <c r="D76" i="61"/>
  <c r="L76" i="61" s="1"/>
  <c r="B76" i="61"/>
  <c r="X75" i="61"/>
  <c r="Z75" i="61" s="1"/>
  <c r="L75" i="61"/>
  <c r="N75" i="61" s="1"/>
  <c r="B75" i="61"/>
  <c r="T74" i="61"/>
  <c r="P74" i="61"/>
  <c r="X74" i="61" s="1"/>
  <c r="Z74" i="61" s="1"/>
  <c r="N74" i="61"/>
  <c r="L74" i="61"/>
  <c r="H74" i="61"/>
  <c r="D74" i="61"/>
  <c r="B74" i="61"/>
  <c r="Z73" i="61"/>
  <c r="X73" i="61"/>
  <c r="N73" i="61"/>
  <c r="L73" i="61"/>
  <c r="B73" i="61"/>
  <c r="Z72" i="61"/>
  <c r="X72" i="61"/>
  <c r="N72" i="61"/>
  <c r="L72" i="61"/>
  <c r="B72" i="61"/>
  <c r="Z71" i="61"/>
  <c r="X71" i="61"/>
  <c r="N71" i="61"/>
  <c r="L71" i="61"/>
  <c r="B71" i="61"/>
  <c r="Z70" i="61"/>
  <c r="X70" i="61"/>
  <c r="N70" i="61"/>
  <c r="L70" i="61"/>
  <c r="B70" i="61"/>
  <c r="Z69" i="61"/>
  <c r="X69" i="61"/>
  <c r="N69" i="61"/>
  <c r="L69" i="61"/>
  <c r="B69" i="61"/>
  <c r="Z68" i="61"/>
  <c r="X68" i="61"/>
  <c r="N68" i="61"/>
  <c r="L68" i="61"/>
  <c r="B68" i="61"/>
  <c r="T67" i="61"/>
  <c r="P67" i="61"/>
  <c r="X67" i="61" s="1"/>
  <c r="L67" i="61"/>
  <c r="N67" i="61" s="1"/>
  <c r="H67" i="61"/>
  <c r="D67" i="61"/>
  <c r="B67" i="61"/>
  <c r="Z66" i="61"/>
  <c r="X66" i="61"/>
  <c r="N66" i="61"/>
  <c r="L66" i="61"/>
  <c r="B66" i="61"/>
  <c r="Z65" i="61"/>
  <c r="X65" i="61"/>
  <c r="N65" i="61"/>
  <c r="L65" i="61"/>
  <c r="B65" i="61"/>
  <c r="Z64" i="61"/>
  <c r="X64" i="61"/>
  <c r="N64" i="61"/>
  <c r="L64" i="61"/>
  <c r="B64" i="61"/>
  <c r="T63" i="61"/>
  <c r="Z63" i="61" s="1"/>
  <c r="P63" i="61"/>
  <c r="X63" i="61" s="1"/>
  <c r="L63" i="61"/>
  <c r="N63" i="61" s="1"/>
  <c r="H63" i="61"/>
  <c r="D63" i="61"/>
  <c r="B63" i="61"/>
  <c r="Z62" i="61"/>
  <c r="X62" i="61"/>
  <c r="N62" i="61"/>
  <c r="L62" i="61"/>
  <c r="B62" i="61"/>
  <c r="X61" i="61"/>
  <c r="Z61" i="61" s="1"/>
  <c r="N61" i="61"/>
  <c r="L61" i="61"/>
  <c r="B61" i="61"/>
  <c r="T60" i="61"/>
  <c r="P60" i="61"/>
  <c r="H60" i="61"/>
  <c r="D60" i="61"/>
  <c r="L60" i="61" s="1"/>
  <c r="N60" i="61" s="1"/>
  <c r="B60" i="61"/>
  <c r="Z59" i="61"/>
  <c r="X59" i="61"/>
  <c r="N59" i="61"/>
  <c r="L59" i="61"/>
  <c r="B59" i="61"/>
  <c r="Z58" i="61"/>
  <c r="T58" i="61"/>
  <c r="P58" i="61"/>
  <c r="X58" i="61" s="1"/>
  <c r="N58" i="61"/>
  <c r="L58" i="61"/>
  <c r="H58" i="61"/>
  <c r="D58" i="61"/>
  <c r="B58" i="61"/>
  <c r="Z57" i="61"/>
  <c r="X57" i="61"/>
  <c r="L57" i="61"/>
  <c r="N57" i="61" s="1"/>
  <c r="B57" i="61"/>
  <c r="X56" i="61"/>
  <c r="T56" i="61"/>
  <c r="Z56" i="61" s="1"/>
  <c r="P56" i="61"/>
  <c r="L56" i="61"/>
  <c r="H56" i="61"/>
  <c r="D56" i="61"/>
  <c r="B56" i="61"/>
  <c r="X55" i="61"/>
  <c r="Z55" i="61" s="1"/>
  <c r="N55" i="61"/>
  <c r="L55" i="61"/>
  <c r="B55" i="61"/>
  <c r="X54" i="61"/>
  <c r="T54" i="61"/>
  <c r="Z54" i="61" s="1"/>
  <c r="P54" i="61"/>
  <c r="H54" i="61"/>
  <c r="N54" i="61" s="1"/>
  <c r="D54" i="61"/>
  <c r="L54" i="61" s="1"/>
  <c r="B54" i="61"/>
  <c r="X53" i="61"/>
  <c r="Z53" i="61" s="1"/>
  <c r="N53" i="61"/>
  <c r="L53" i="61"/>
  <c r="B53" i="61"/>
  <c r="T52" i="61"/>
  <c r="P52" i="61"/>
  <c r="X52" i="61" s="1"/>
  <c r="N52" i="61"/>
  <c r="H52" i="61"/>
  <c r="D52" i="61"/>
  <c r="L52" i="61" s="1"/>
  <c r="B52" i="61"/>
  <c r="Z51" i="61"/>
  <c r="X51" i="61"/>
  <c r="N51" i="61"/>
  <c r="L51" i="61"/>
  <c r="B51" i="61"/>
  <c r="Z50" i="61"/>
  <c r="T50" i="61"/>
  <c r="P50" i="61"/>
  <c r="X50" i="61" s="1"/>
  <c r="H50" i="61"/>
  <c r="N50" i="61" s="1"/>
  <c r="D50" i="61"/>
  <c r="B50" i="61"/>
  <c r="Z49" i="61"/>
  <c r="X49" i="61"/>
  <c r="N49" i="61"/>
  <c r="L49" i="61"/>
  <c r="B49" i="61"/>
  <c r="T48" i="61"/>
  <c r="Z48" i="61" s="1"/>
  <c r="P48" i="61"/>
  <c r="L48" i="61"/>
  <c r="H48" i="61"/>
  <c r="N48" i="61" s="1"/>
  <c r="D48" i="61"/>
  <c r="B48" i="61"/>
  <c r="Z47" i="61"/>
  <c r="X47" i="61"/>
  <c r="N47" i="61"/>
  <c r="L47" i="61"/>
  <c r="B47" i="61"/>
  <c r="X46" i="61"/>
  <c r="T46" i="61"/>
  <c r="P46" i="61"/>
  <c r="H46" i="61"/>
  <c r="D46" i="61"/>
  <c r="L46" i="61" s="1"/>
  <c r="B46" i="61"/>
  <c r="Z45" i="61"/>
  <c r="X45" i="61"/>
  <c r="N45" i="61"/>
  <c r="L45" i="61"/>
  <c r="B45" i="61"/>
  <c r="T44" i="61"/>
  <c r="Z44" i="61" s="1"/>
  <c r="P44" i="61"/>
  <c r="X44" i="61" s="1"/>
  <c r="N44" i="61"/>
  <c r="H44" i="61"/>
  <c r="D44" i="61"/>
  <c r="L44" i="61" s="1"/>
  <c r="B44" i="61"/>
  <c r="Z43" i="61"/>
  <c r="X43" i="61"/>
  <c r="N43" i="61"/>
  <c r="L43" i="61"/>
  <c r="B43" i="61"/>
  <c r="T42" i="61"/>
  <c r="P42" i="61"/>
  <c r="X42" i="61" s="1"/>
  <c r="Z42" i="61" s="1"/>
  <c r="H42" i="61"/>
  <c r="N42" i="61" s="1"/>
  <c r="D42" i="61"/>
  <c r="B42" i="61"/>
  <c r="Z41" i="61"/>
  <c r="X41" i="61"/>
  <c r="N41" i="61"/>
  <c r="L41" i="61"/>
  <c r="B41" i="61"/>
  <c r="T40" i="61"/>
  <c r="P40" i="61"/>
  <c r="L40" i="61"/>
  <c r="H40" i="61"/>
  <c r="N40" i="61" s="1"/>
  <c r="D40" i="61"/>
  <c r="B40" i="61"/>
  <c r="Z39" i="61"/>
  <c r="X39" i="61"/>
  <c r="N39" i="61"/>
  <c r="L39" i="61"/>
  <c r="B39" i="61"/>
  <c r="Z38" i="61"/>
  <c r="X38" i="61"/>
  <c r="N38" i="61"/>
  <c r="L38" i="61"/>
  <c r="B38" i="61"/>
  <c r="Z37" i="61"/>
  <c r="X37" i="61"/>
  <c r="N37" i="61"/>
  <c r="L37" i="61"/>
  <c r="B37" i="61"/>
  <c r="X36" i="61"/>
  <c r="Z36" i="61" s="1"/>
  <c r="N36" i="61"/>
  <c r="L36" i="61"/>
  <c r="B36" i="61"/>
  <c r="Z35" i="61"/>
  <c r="X35" i="61"/>
  <c r="N35" i="61"/>
  <c r="L35" i="61"/>
  <c r="B35" i="61"/>
  <c r="T34" i="61"/>
  <c r="P34" i="61"/>
  <c r="X34" i="61" s="1"/>
  <c r="H34" i="61"/>
  <c r="D34" i="61"/>
  <c r="B34" i="61"/>
  <c r="Z33" i="61"/>
  <c r="X33" i="61"/>
  <c r="N33" i="61"/>
  <c r="L33" i="61"/>
  <c r="B33" i="61"/>
  <c r="X32" i="61"/>
  <c r="Z32" i="61" s="1"/>
  <c r="N32" i="61"/>
  <c r="L32" i="61"/>
  <c r="B32" i="61"/>
  <c r="Z31" i="61"/>
  <c r="X31" i="61"/>
  <c r="N31" i="61"/>
  <c r="L31" i="61"/>
  <c r="B31" i="61"/>
  <c r="X30" i="61"/>
  <c r="Z30" i="61" s="1"/>
  <c r="L30" i="61"/>
  <c r="N30" i="61" s="1"/>
  <c r="B30" i="61"/>
  <c r="Z29" i="61"/>
  <c r="X29" i="61"/>
  <c r="N29" i="61"/>
  <c r="L29" i="61"/>
  <c r="B29" i="61"/>
  <c r="Z28" i="61"/>
  <c r="X28" i="61"/>
  <c r="L28" i="61"/>
  <c r="N28" i="61" s="1"/>
  <c r="B28" i="61"/>
  <c r="Z27" i="61"/>
  <c r="X27" i="61"/>
  <c r="N27" i="61"/>
  <c r="L27" i="61"/>
  <c r="B27" i="61"/>
  <c r="X26" i="61"/>
  <c r="Z26" i="61" s="1"/>
  <c r="L26" i="61"/>
  <c r="N26" i="61" s="1"/>
  <c r="B26" i="61"/>
  <c r="Z25" i="61"/>
  <c r="X25" i="61"/>
  <c r="N25" i="61"/>
  <c r="L25" i="61"/>
  <c r="B25" i="61"/>
  <c r="T24" i="61"/>
  <c r="P24" i="61"/>
  <c r="L24" i="61"/>
  <c r="H24" i="61"/>
  <c r="D24" i="61"/>
  <c r="B24" i="61"/>
  <c r="T23" i="61" a="1"/>
  <c r="T23" i="61" s="1"/>
  <c r="P23" i="61" a="1"/>
  <c r="P23" i="61" s="1"/>
  <c r="X23" i="61" s="1"/>
  <c r="H23" i="61" a="1"/>
  <c r="H23" i="61" s="1"/>
  <c r="D23" i="61" a="1"/>
  <c r="D23" i="61" s="1"/>
  <c r="Z19" i="61"/>
  <c r="X19" i="61"/>
  <c r="N19" i="61"/>
  <c r="L19" i="61"/>
  <c r="B19" i="61"/>
  <c r="Z18" i="61"/>
  <c r="X18" i="61"/>
  <c r="N18" i="61"/>
  <c r="L18" i="61"/>
  <c r="B18" i="61"/>
  <c r="Z17" i="61"/>
  <c r="T17" i="61"/>
  <c r="P17" i="61"/>
  <c r="X17" i="61" s="1"/>
  <c r="N17" i="61"/>
  <c r="H17" i="61"/>
  <c r="L17" i="61" s="1"/>
  <c r="D17" i="61"/>
  <c r="Z15" i="61"/>
  <c r="X15" i="61"/>
  <c r="T15" i="61"/>
  <c r="P15" i="61"/>
  <c r="N15" i="61"/>
  <c r="H15" i="61"/>
  <c r="L15" i="61" s="1"/>
  <c r="D15" i="61"/>
  <c r="B15" i="61"/>
  <c r="Z14" i="61"/>
  <c r="T14" i="61"/>
  <c r="P14" i="61"/>
  <c r="N14" i="61"/>
  <c r="H14" i="61"/>
  <c r="D14" i="61"/>
  <c r="L14" i="61" s="1"/>
  <c r="B14" i="61"/>
  <c r="T13" i="61"/>
  <c r="P13" i="61"/>
  <c r="H13" i="61"/>
  <c r="D13" i="61"/>
  <c r="L13" i="61" s="1"/>
  <c r="B13" i="61"/>
  <c r="D6" i="61"/>
  <c r="D4" i="61"/>
  <c r="X89" i="60"/>
  <c r="Z89" i="60" s="1"/>
  <c r="N89" i="60"/>
  <c r="L89" i="60"/>
  <c r="T85" i="60"/>
  <c r="P85" i="60"/>
  <c r="H85" i="60"/>
  <c r="N85" i="60" s="1"/>
  <c r="D85" i="60"/>
  <c r="L85" i="60" s="1"/>
  <c r="X83" i="60"/>
  <c r="Z83" i="60" s="1"/>
  <c r="N83" i="60"/>
  <c r="L83" i="60"/>
  <c r="B83" i="60"/>
  <c r="T82" i="60"/>
  <c r="Z82" i="60" s="1"/>
  <c r="P82" i="60"/>
  <c r="X82" i="60" s="1"/>
  <c r="N82" i="60"/>
  <c r="H82" i="60"/>
  <c r="D82" i="60"/>
  <c r="L82" i="60" s="1"/>
  <c r="B82" i="60"/>
  <c r="X81" i="60"/>
  <c r="Z81" i="60" s="1"/>
  <c r="L81" i="60"/>
  <c r="N81" i="60" s="1"/>
  <c r="B81" i="60"/>
  <c r="T80" i="60"/>
  <c r="P80" i="60"/>
  <c r="X80" i="60" s="1"/>
  <c r="Z80" i="60" s="1"/>
  <c r="H80" i="60"/>
  <c r="D80" i="60"/>
  <c r="L80" i="60" s="1"/>
  <c r="N80" i="60" s="1"/>
  <c r="B80" i="60"/>
  <c r="Z79" i="60"/>
  <c r="X79" i="60"/>
  <c r="N79" i="60"/>
  <c r="L79" i="60"/>
  <c r="B79" i="60"/>
  <c r="T78" i="60"/>
  <c r="P78" i="60"/>
  <c r="X78" i="60" s="1"/>
  <c r="Z78" i="60" s="1"/>
  <c r="L78" i="60"/>
  <c r="N78" i="60" s="1"/>
  <c r="H78" i="60"/>
  <c r="D78" i="60"/>
  <c r="B78" i="60"/>
  <c r="X77" i="60"/>
  <c r="Z77" i="60" s="1"/>
  <c r="N77" i="60"/>
  <c r="L77" i="60"/>
  <c r="B77" i="60"/>
  <c r="Z76" i="60"/>
  <c r="X76" i="60"/>
  <c r="N76" i="60"/>
  <c r="L76" i="60"/>
  <c r="B76" i="60"/>
  <c r="Z75" i="60"/>
  <c r="X75" i="60"/>
  <c r="L75" i="60"/>
  <c r="N75" i="60" s="1"/>
  <c r="B75" i="60"/>
  <c r="Z74" i="60"/>
  <c r="X74" i="60"/>
  <c r="L74" i="60"/>
  <c r="N74" i="60" s="1"/>
  <c r="B74" i="60"/>
  <c r="X73" i="60"/>
  <c r="Z73" i="60" s="1"/>
  <c r="L73" i="60"/>
  <c r="N73" i="60" s="1"/>
  <c r="B73" i="60"/>
  <c r="Z72" i="60"/>
  <c r="X72" i="60"/>
  <c r="N72" i="60"/>
  <c r="L72" i="60"/>
  <c r="B72" i="60"/>
  <c r="X71" i="60"/>
  <c r="Z71" i="60" s="1"/>
  <c r="N71" i="60"/>
  <c r="L71" i="60"/>
  <c r="B71" i="60"/>
  <c r="Z70" i="60"/>
  <c r="X70" i="60"/>
  <c r="R70" i="60"/>
  <c r="N70" i="60"/>
  <c r="L70" i="60"/>
  <c r="B70" i="60"/>
  <c r="T69" i="60"/>
  <c r="P69" i="60"/>
  <c r="X69" i="60" s="1"/>
  <c r="H69" i="60"/>
  <c r="D69" i="60"/>
  <c r="L69" i="60" s="1"/>
  <c r="B69" i="60"/>
  <c r="Z68" i="60"/>
  <c r="X68" i="60"/>
  <c r="N68" i="60"/>
  <c r="L68" i="60"/>
  <c r="B68" i="60"/>
  <c r="T67" i="60"/>
  <c r="P67" i="60"/>
  <c r="X67" i="60" s="1"/>
  <c r="N67" i="60"/>
  <c r="H67" i="60"/>
  <c r="D67" i="60"/>
  <c r="L67" i="60" s="1"/>
  <c r="B67" i="60"/>
  <c r="X66" i="60"/>
  <c r="Z66" i="60" s="1"/>
  <c r="N66" i="60"/>
  <c r="L66" i="60"/>
  <c r="B66" i="60"/>
  <c r="X65" i="60"/>
  <c r="Z65" i="60" s="1"/>
  <c r="R65" i="60"/>
  <c r="N65" i="60"/>
  <c r="L65" i="60"/>
  <c r="B65" i="60"/>
  <c r="X64" i="60"/>
  <c r="Z64" i="60" s="1"/>
  <c r="N64" i="60"/>
  <c r="L64" i="60"/>
  <c r="B64" i="60"/>
  <c r="X63" i="60"/>
  <c r="Z63" i="60" s="1"/>
  <c r="N63" i="60"/>
  <c r="L63" i="60"/>
  <c r="B63" i="60"/>
  <c r="T62" i="60"/>
  <c r="X62" i="60" s="1"/>
  <c r="Z62" i="60" s="1"/>
  <c r="P62" i="60"/>
  <c r="J62" i="60"/>
  <c r="H62" i="60"/>
  <c r="D62" i="60"/>
  <c r="L62" i="60" s="1"/>
  <c r="N62" i="60" s="1"/>
  <c r="B62" i="60"/>
  <c r="X61" i="60"/>
  <c r="Z61" i="60" s="1"/>
  <c r="N61" i="60"/>
  <c r="L61" i="60"/>
  <c r="B61" i="60"/>
  <c r="X60" i="60"/>
  <c r="Z60" i="60" s="1"/>
  <c r="L60" i="60"/>
  <c r="N60" i="60" s="1"/>
  <c r="B60" i="60"/>
  <c r="X59" i="60"/>
  <c r="Z59" i="60" s="1"/>
  <c r="T59" i="60"/>
  <c r="P59" i="60"/>
  <c r="H59" i="60"/>
  <c r="D59" i="60"/>
  <c r="B59" i="60"/>
  <c r="Z58" i="60"/>
  <c r="X58" i="60"/>
  <c r="N58" i="60"/>
  <c r="L58" i="60"/>
  <c r="B58" i="60"/>
  <c r="T57" i="60"/>
  <c r="P57" i="60"/>
  <c r="H57" i="60"/>
  <c r="D57" i="60"/>
  <c r="L57" i="60" s="1"/>
  <c r="N57" i="60" s="1"/>
  <c r="B57" i="60"/>
  <c r="X56" i="60"/>
  <c r="Z56" i="60" s="1"/>
  <c r="N56" i="60"/>
  <c r="L56" i="60"/>
  <c r="J56" i="60"/>
  <c r="B56" i="60"/>
  <c r="T55" i="60"/>
  <c r="P55" i="60"/>
  <c r="X55" i="60" s="1"/>
  <c r="Z55" i="60" s="1"/>
  <c r="H55" i="60"/>
  <c r="N55" i="60" s="1"/>
  <c r="D55" i="60"/>
  <c r="L55" i="60" s="1"/>
  <c r="B55" i="60"/>
  <c r="Z54" i="60"/>
  <c r="X54" i="60"/>
  <c r="N54" i="60"/>
  <c r="L54" i="60"/>
  <c r="B54" i="60"/>
  <c r="T53" i="60"/>
  <c r="Z53" i="60" s="1"/>
  <c r="P53" i="60"/>
  <c r="X53" i="60" s="1"/>
  <c r="L53" i="60"/>
  <c r="N53" i="60" s="1"/>
  <c r="H53" i="60"/>
  <c r="D53" i="60"/>
  <c r="B53" i="60"/>
  <c r="X52" i="60"/>
  <c r="Z52" i="60" s="1"/>
  <c r="L52" i="60"/>
  <c r="N52" i="60" s="1"/>
  <c r="B52" i="60"/>
  <c r="X51" i="60"/>
  <c r="Z51" i="60" s="1"/>
  <c r="T51" i="60"/>
  <c r="P51" i="60"/>
  <c r="H51" i="60"/>
  <c r="D51" i="60"/>
  <c r="B51" i="60"/>
  <c r="Z50" i="60"/>
  <c r="X50" i="60"/>
  <c r="N50" i="60"/>
  <c r="L50" i="60"/>
  <c r="B50" i="60"/>
  <c r="T49" i="60"/>
  <c r="P49" i="60"/>
  <c r="N49" i="60"/>
  <c r="H49" i="60"/>
  <c r="D49" i="60"/>
  <c r="L49" i="60" s="1"/>
  <c r="B49" i="60"/>
  <c r="X48" i="60"/>
  <c r="Z48" i="60" s="1"/>
  <c r="L48" i="60"/>
  <c r="N48" i="60" s="1"/>
  <c r="B48" i="60"/>
  <c r="T47" i="60"/>
  <c r="P47" i="60"/>
  <c r="X47" i="60" s="1"/>
  <c r="Z47" i="60" s="1"/>
  <c r="H47" i="60"/>
  <c r="N47" i="60" s="1"/>
  <c r="D47" i="60"/>
  <c r="L47" i="60" s="1"/>
  <c r="B47" i="60"/>
  <c r="Z46" i="60"/>
  <c r="X46" i="60"/>
  <c r="N46" i="60"/>
  <c r="L46" i="60"/>
  <c r="B46" i="60"/>
  <c r="T45" i="60"/>
  <c r="Z45" i="60" s="1"/>
  <c r="P45" i="60"/>
  <c r="X45" i="60" s="1"/>
  <c r="N45" i="60"/>
  <c r="L45" i="60"/>
  <c r="H45" i="60"/>
  <c r="D45" i="60"/>
  <c r="B45" i="60"/>
  <c r="X44" i="60"/>
  <c r="Z44" i="60" s="1"/>
  <c r="L44" i="60"/>
  <c r="N44" i="60" s="1"/>
  <c r="B44" i="60"/>
  <c r="X43" i="60"/>
  <c r="Z43" i="60" s="1"/>
  <c r="T43" i="60"/>
  <c r="P43" i="60"/>
  <c r="H43" i="60"/>
  <c r="D43" i="60"/>
  <c r="B43" i="60"/>
  <c r="Z42" i="60"/>
  <c r="X42" i="60"/>
  <c r="N42" i="60"/>
  <c r="L42" i="60"/>
  <c r="B42" i="60"/>
  <c r="T41" i="60"/>
  <c r="P41" i="60"/>
  <c r="H41" i="60"/>
  <c r="D41" i="60"/>
  <c r="L41" i="60" s="1"/>
  <c r="N41" i="60" s="1"/>
  <c r="B41" i="60"/>
  <c r="X40" i="60"/>
  <c r="Z40" i="60" s="1"/>
  <c r="N40" i="60"/>
  <c r="L40" i="60"/>
  <c r="B40" i="60"/>
  <c r="Z39" i="60"/>
  <c r="X39" i="60"/>
  <c r="L39" i="60"/>
  <c r="N39" i="60" s="1"/>
  <c r="B39" i="60"/>
  <c r="Z38" i="60"/>
  <c r="X38" i="60"/>
  <c r="N38" i="60"/>
  <c r="L38" i="60"/>
  <c r="B38" i="60"/>
  <c r="X37" i="60"/>
  <c r="Z37" i="60" s="1"/>
  <c r="R37" i="60"/>
  <c r="L37" i="60"/>
  <c r="N37" i="60" s="1"/>
  <c r="B37" i="60"/>
  <c r="Z36" i="60"/>
  <c r="X36" i="60"/>
  <c r="V36" i="60"/>
  <c r="L36" i="60"/>
  <c r="N36" i="60" s="1"/>
  <c r="B36" i="60"/>
  <c r="X35" i="60"/>
  <c r="Z35" i="60" s="1"/>
  <c r="N35" i="60"/>
  <c r="L35" i="60"/>
  <c r="B35" i="60"/>
  <c r="Z34" i="60"/>
  <c r="T34" i="60"/>
  <c r="P34" i="60"/>
  <c r="X34" i="60" s="1"/>
  <c r="H34" i="60"/>
  <c r="D34" i="60"/>
  <c r="L34" i="60" s="1"/>
  <c r="N34" i="60" s="1"/>
  <c r="B34" i="60"/>
  <c r="X33" i="60"/>
  <c r="Z33" i="60" s="1"/>
  <c r="L33" i="60"/>
  <c r="N33" i="60" s="1"/>
  <c r="B33" i="60"/>
  <c r="Z32" i="60"/>
  <c r="X32" i="60"/>
  <c r="L32" i="60"/>
  <c r="N32" i="60" s="1"/>
  <c r="B32" i="60"/>
  <c r="X31" i="60"/>
  <c r="Z31" i="60" s="1"/>
  <c r="N31" i="60"/>
  <c r="L31" i="60"/>
  <c r="B31" i="60"/>
  <c r="Z30" i="60"/>
  <c r="X30" i="60"/>
  <c r="N30" i="60"/>
  <c r="L30" i="60"/>
  <c r="B30" i="60"/>
  <c r="X29" i="60"/>
  <c r="Z29" i="60" s="1"/>
  <c r="L29" i="60"/>
  <c r="N29" i="60" s="1"/>
  <c r="B29" i="60"/>
  <c r="X28" i="60"/>
  <c r="Z28" i="60" s="1"/>
  <c r="N28" i="60"/>
  <c r="L28" i="60"/>
  <c r="J28" i="60"/>
  <c r="B28" i="60"/>
  <c r="Z27" i="60"/>
  <c r="X27" i="60"/>
  <c r="L27" i="60"/>
  <c r="N27" i="60" s="1"/>
  <c r="B27" i="60"/>
  <c r="Z26" i="60"/>
  <c r="X26" i="60"/>
  <c r="N26" i="60"/>
  <c r="L26" i="60"/>
  <c r="B26" i="60"/>
  <c r="X25" i="60"/>
  <c r="Z25" i="60" s="1"/>
  <c r="R25" i="60"/>
  <c r="L25" i="60"/>
  <c r="N25" i="60" s="1"/>
  <c r="B25" i="60"/>
  <c r="T24" i="60"/>
  <c r="P24" i="60"/>
  <c r="X24" i="60" s="1"/>
  <c r="Z24" i="60" s="1"/>
  <c r="H24" i="60"/>
  <c r="D24" i="60"/>
  <c r="L24" i="60" s="1"/>
  <c r="B24" i="60"/>
  <c r="T23" i="60" a="1"/>
  <c r="T23" i="60" s="1"/>
  <c r="P23" i="60" a="1"/>
  <c r="P23" i="60" s="1"/>
  <c r="X23" i="60" s="1"/>
  <c r="H23" i="60" a="1"/>
  <c r="H23" i="60" s="1"/>
  <c r="D23" i="60" a="1"/>
  <c r="D23" i="60" s="1"/>
  <c r="P21" i="60"/>
  <c r="X19" i="60"/>
  <c r="Z19" i="60" s="1"/>
  <c r="N19" i="60"/>
  <c r="L19" i="60"/>
  <c r="B19" i="60"/>
  <c r="Z18" i="60"/>
  <c r="X18" i="60"/>
  <c r="N18" i="60"/>
  <c r="L18" i="60"/>
  <c r="B18" i="60"/>
  <c r="T17" i="60"/>
  <c r="P17" i="60"/>
  <c r="X17" i="60" s="1"/>
  <c r="Z17" i="60" s="1"/>
  <c r="L17" i="60"/>
  <c r="N17" i="60" s="1"/>
  <c r="H17" i="60"/>
  <c r="D17" i="60"/>
  <c r="T15" i="60"/>
  <c r="P15" i="60"/>
  <c r="P12" i="60" s="1"/>
  <c r="R61" i="60" s="1"/>
  <c r="H15" i="60"/>
  <c r="N15" i="60" s="1"/>
  <c r="D15" i="60"/>
  <c r="L15" i="60" s="1"/>
  <c r="B15" i="60"/>
  <c r="Z14" i="60"/>
  <c r="T14" i="60"/>
  <c r="X14" i="60" s="1"/>
  <c r="P14" i="60"/>
  <c r="L14" i="60"/>
  <c r="H14" i="60"/>
  <c r="N14" i="60" s="1"/>
  <c r="D14" i="60"/>
  <c r="B14" i="60"/>
  <c r="X13" i="60"/>
  <c r="Z13" i="60" s="1"/>
  <c r="T13" i="60"/>
  <c r="T12" i="60" s="1"/>
  <c r="P13" i="60"/>
  <c r="H13" i="60"/>
  <c r="D13" i="60"/>
  <c r="B13" i="60"/>
  <c r="H12" i="60"/>
  <c r="J34" i="60" s="1"/>
  <c r="D6" i="60"/>
  <c r="D4" i="60"/>
  <c r="Z40" i="59"/>
  <c r="X40" i="59"/>
  <c r="N40" i="59"/>
  <c r="L40" i="59"/>
  <c r="Z36" i="59"/>
  <c r="T36" i="59"/>
  <c r="P36" i="59"/>
  <c r="X36" i="59" s="1"/>
  <c r="H36" i="59"/>
  <c r="N36" i="59" s="1"/>
  <c r="F36" i="59"/>
  <c r="D36" i="59"/>
  <c r="L36" i="59" s="1"/>
  <c r="X34" i="59"/>
  <c r="Z34" i="59" s="1"/>
  <c r="N34" i="59"/>
  <c r="L34" i="59"/>
  <c r="B34" i="59"/>
  <c r="T33" i="59"/>
  <c r="P33" i="59"/>
  <c r="X33" i="59" s="1"/>
  <c r="N33" i="59"/>
  <c r="H33" i="59"/>
  <c r="D33" i="59"/>
  <c r="L33" i="59" s="1"/>
  <c r="B33" i="59"/>
  <c r="Z32" i="59"/>
  <c r="X32" i="59"/>
  <c r="N32" i="59"/>
  <c r="L32" i="59"/>
  <c r="B32" i="59"/>
  <c r="Z31" i="59"/>
  <c r="T31" i="59"/>
  <c r="P31" i="59"/>
  <c r="X31" i="59" s="1"/>
  <c r="N31" i="59"/>
  <c r="L31" i="59"/>
  <c r="H31" i="59"/>
  <c r="D31" i="59"/>
  <c r="B31" i="59"/>
  <c r="Z30" i="59"/>
  <c r="X30" i="59"/>
  <c r="N30" i="59"/>
  <c r="L30" i="59"/>
  <c r="B30" i="59"/>
  <c r="Z29" i="59"/>
  <c r="X29" i="59"/>
  <c r="T29" i="59"/>
  <c r="P29" i="59"/>
  <c r="L29" i="59"/>
  <c r="H29" i="59"/>
  <c r="N29" i="59" s="1"/>
  <c r="D29" i="59"/>
  <c r="B29" i="59"/>
  <c r="Z28" i="59"/>
  <c r="X28" i="59"/>
  <c r="N28" i="59"/>
  <c r="L28" i="59"/>
  <c r="B28" i="59"/>
  <c r="T27" i="59"/>
  <c r="Z27" i="59" s="1"/>
  <c r="P27" i="59"/>
  <c r="H27" i="59"/>
  <c r="N27" i="59" s="1"/>
  <c r="D27" i="59"/>
  <c r="L27" i="59" s="1"/>
  <c r="B27" i="59"/>
  <c r="Z26" i="59"/>
  <c r="X26" i="59"/>
  <c r="N26" i="59"/>
  <c r="L26" i="59"/>
  <c r="B26" i="59"/>
  <c r="T25" i="59"/>
  <c r="Z25" i="59" s="1"/>
  <c r="P25" i="59"/>
  <c r="X25" i="59" s="1"/>
  <c r="N25" i="59"/>
  <c r="H25" i="59"/>
  <c r="D25" i="59"/>
  <c r="L25" i="59" s="1"/>
  <c r="B25" i="59"/>
  <c r="Z24" i="59"/>
  <c r="X24" i="59"/>
  <c r="N24" i="59"/>
  <c r="L24" i="59"/>
  <c r="B24" i="59"/>
  <c r="Z23" i="59"/>
  <c r="X23" i="59"/>
  <c r="N23" i="59"/>
  <c r="L23" i="59"/>
  <c r="F23" i="59"/>
  <c r="B23" i="59"/>
  <c r="Z22" i="59"/>
  <c r="T22" i="59"/>
  <c r="P22" i="59"/>
  <c r="X22" i="59" s="1"/>
  <c r="N22" i="59"/>
  <c r="L22" i="59"/>
  <c r="H22" i="59"/>
  <c r="D22" i="59"/>
  <c r="B22" i="59"/>
  <c r="T21" i="59" a="1"/>
  <c r="T21" i="59"/>
  <c r="P21" i="59" a="1"/>
  <c r="P21" i="59"/>
  <c r="X21" i="59" s="1"/>
  <c r="Z21" i="59" s="1"/>
  <c r="N21" i="59"/>
  <c r="L21" i="59"/>
  <c r="H21" i="59" a="1"/>
  <c r="H21" i="59" s="1"/>
  <c r="D21" i="59" a="1"/>
  <c r="D21" i="59"/>
  <c r="Z17" i="59"/>
  <c r="X17" i="59"/>
  <c r="N17" i="59"/>
  <c r="L17" i="59"/>
  <c r="B17" i="59"/>
  <c r="T16" i="59"/>
  <c r="Z16" i="59" s="1"/>
  <c r="P16" i="59"/>
  <c r="N16" i="59"/>
  <c r="L16" i="59"/>
  <c r="H16" i="59"/>
  <c r="D16" i="59"/>
  <c r="Z14" i="59"/>
  <c r="T14" i="59"/>
  <c r="P14" i="59"/>
  <c r="H14" i="59"/>
  <c r="D14" i="59"/>
  <c r="B14" i="59"/>
  <c r="Z13" i="59"/>
  <c r="X13" i="59"/>
  <c r="T13" i="59"/>
  <c r="P13" i="59"/>
  <c r="N13" i="59"/>
  <c r="L13" i="59"/>
  <c r="H13" i="59"/>
  <c r="D13" i="59"/>
  <c r="B13" i="59"/>
  <c r="D12" i="59"/>
  <c r="F42" i="59" s="1"/>
  <c r="D6" i="59"/>
  <c r="D4" i="59"/>
  <c r="X84" i="58"/>
  <c r="Z84" i="58" s="1"/>
  <c r="L84" i="58"/>
  <c r="N84" i="58" s="1"/>
  <c r="Z80" i="58"/>
  <c r="T80" i="58"/>
  <c r="P80" i="58"/>
  <c r="X80" i="58" s="1"/>
  <c r="N80" i="58"/>
  <c r="H80" i="58"/>
  <c r="D80" i="58"/>
  <c r="L80" i="58" s="1"/>
  <c r="Z78" i="58"/>
  <c r="X78" i="58"/>
  <c r="N78" i="58"/>
  <c r="L78" i="58"/>
  <c r="B78" i="58"/>
  <c r="Z77" i="58"/>
  <c r="T77" i="58"/>
  <c r="P77" i="58"/>
  <c r="X77" i="58" s="1"/>
  <c r="H77" i="58"/>
  <c r="D77" i="58"/>
  <c r="B77" i="58"/>
  <c r="Z76" i="58"/>
  <c r="X76" i="58"/>
  <c r="N76" i="58"/>
  <c r="L76" i="58"/>
  <c r="B76" i="58"/>
  <c r="T75" i="58"/>
  <c r="P75" i="58"/>
  <c r="H75" i="58"/>
  <c r="D75" i="58"/>
  <c r="L75" i="58" s="1"/>
  <c r="N75" i="58" s="1"/>
  <c r="B75" i="58"/>
  <c r="Z74" i="58"/>
  <c r="X74" i="58"/>
  <c r="V74" i="58"/>
  <c r="N74" i="58"/>
  <c r="L74" i="58"/>
  <c r="B74" i="58"/>
  <c r="Z73" i="58"/>
  <c r="X73" i="58"/>
  <c r="N73" i="58"/>
  <c r="L73" i="58"/>
  <c r="B73" i="58"/>
  <c r="Z72" i="58"/>
  <c r="X72" i="58"/>
  <c r="N72" i="58"/>
  <c r="L72" i="58"/>
  <c r="B72" i="58"/>
  <c r="X71" i="58"/>
  <c r="Z71" i="58" s="1"/>
  <c r="N71" i="58"/>
  <c r="L71" i="58"/>
  <c r="B71" i="58"/>
  <c r="X70" i="58"/>
  <c r="Z70" i="58" s="1"/>
  <c r="L70" i="58"/>
  <c r="N70" i="58" s="1"/>
  <c r="B70" i="58"/>
  <c r="Z69" i="58"/>
  <c r="X69" i="58"/>
  <c r="L69" i="58"/>
  <c r="N69" i="58" s="1"/>
  <c r="B69" i="58"/>
  <c r="Z68" i="58"/>
  <c r="X68" i="58"/>
  <c r="N68" i="58"/>
  <c r="L68" i="58"/>
  <c r="B68" i="58"/>
  <c r="Z67" i="58"/>
  <c r="X67" i="58"/>
  <c r="N67" i="58"/>
  <c r="L67" i="58"/>
  <c r="B67" i="58"/>
  <c r="T66" i="58"/>
  <c r="P66" i="58"/>
  <c r="X66" i="58" s="1"/>
  <c r="H66" i="58"/>
  <c r="D66" i="58"/>
  <c r="L66" i="58" s="1"/>
  <c r="N66" i="58" s="1"/>
  <c r="B66" i="58"/>
  <c r="X65" i="58"/>
  <c r="Z65" i="58" s="1"/>
  <c r="N65" i="58"/>
  <c r="L65" i="58"/>
  <c r="B65" i="58"/>
  <c r="Z64" i="58"/>
  <c r="X64" i="58"/>
  <c r="N64" i="58"/>
  <c r="L64" i="58"/>
  <c r="B64" i="58"/>
  <c r="X63" i="58"/>
  <c r="Z63" i="58" s="1"/>
  <c r="N63" i="58"/>
  <c r="L63" i="58"/>
  <c r="B63" i="58"/>
  <c r="T62" i="58"/>
  <c r="P62" i="58"/>
  <c r="X62" i="58" s="1"/>
  <c r="N62" i="58"/>
  <c r="H62" i="58"/>
  <c r="D62" i="58"/>
  <c r="L62" i="58" s="1"/>
  <c r="B62" i="58"/>
  <c r="Z61" i="58"/>
  <c r="X61" i="58"/>
  <c r="N61" i="58"/>
  <c r="L61" i="58"/>
  <c r="B61" i="58"/>
  <c r="Z60" i="58"/>
  <c r="X60" i="58"/>
  <c r="N60" i="58"/>
  <c r="L60" i="58"/>
  <c r="B60" i="58"/>
  <c r="T59" i="58"/>
  <c r="P59" i="58"/>
  <c r="H59" i="58"/>
  <c r="D59" i="58"/>
  <c r="L59" i="58" s="1"/>
  <c r="N59" i="58" s="1"/>
  <c r="B59" i="58"/>
  <c r="X58" i="58"/>
  <c r="Z58" i="58" s="1"/>
  <c r="N58" i="58"/>
  <c r="L58" i="58"/>
  <c r="B58" i="58"/>
  <c r="T57" i="58"/>
  <c r="P57" i="58"/>
  <c r="X57" i="58" s="1"/>
  <c r="Z57" i="58" s="1"/>
  <c r="H57" i="58"/>
  <c r="D57" i="58"/>
  <c r="B57" i="58"/>
  <c r="Z56" i="58"/>
  <c r="X56" i="58"/>
  <c r="N56" i="58"/>
  <c r="L56" i="58"/>
  <c r="B56" i="58"/>
  <c r="T55" i="58"/>
  <c r="P55" i="58"/>
  <c r="N55" i="58"/>
  <c r="H55" i="58"/>
  <c r="D55" i="58"/>
  <c r="L55" i="58" s="1"/>
  <c r="B55" i="58"/>
  <c r="X54" i="58"/>
  <c r="Z54" i="58" s="1"/>
  <c r="L54" i="58"/>
  <c r="N54" i="58" s="1"/>
  <c r="B54" i="58"/>
  <c r="X53" i="58"/>
  <c r="T53" i="58"/>
  <c r="P53" i="58"/>
  <c r="H53" i="58"/>
  <c r="D53" i="58"/>
  <c r="B53" i="58"/>
  <c r="Z52" i="58"/>
  <c r="X52" i="58"/>
  <c r="N52" i="58"/>
  <c r="L52" i="58"/>
  <c r="B52" i="58"/>
  <c r="T51" i="58"/>
  <c r="Z51" i="58" s="1"/>
  <c r="P51" i="58"/>
  <c r="X51" i="58" s="1"/>
  <c r="N51" i="58"/>
  <c r="L51" i="58"/>
  <c r="H51" i="58"/>
  <c r="D51" i="58"/>
  <c r="B51" i="58"/>
  <c r="Z50" i="58"/>
  <c r="X50" i="58"/>
  <c r="N50" i="58"/>
  <c r="L50" i="58"/>
  <c r="B50" i="58"/>
  <c r="Z49" i="58"/>
  <c r="T49" i="58"/>
  <c r="P49" i="58"/>
  <c r="X49" i="58" s="1"/>
  <c r="L49" i="58"/>
  <c r="H49" i="58"/>
  <c r="N49" i="58" s="1"/>
  <c r="D49" i="58"/>
  <c r="B49" i="58"/>
  <c r="Z48" i="58"/>
  <c r="X48" i="58"/>
  <c r="N48" i="58"/>
  <c r="L48" i="58"/>
  <c r="B48" i="58"/>
  <c r="X47" i="58"/>
  <c r="T47" i="58"/>
  <c r="P47" i="58"/>
  <c r="L47" i="58"/>
  <c r="H47" i="58"/>
  <c r="D47" i="58"/>
  <c r="B47" i="58"/>
  <c r="Z46" i="58"/>
  <c r="X46" i="58"/>
  <c r="N46" i="58"/>
  <c r="L46" i="58"/>
  <c r="B46" i="58"/>
  <c r="X45" i="58"/>
  <c r="T45" i="58"/>
  <c r="Z45" i="58" s="1"/>
  <c r="P45" i="58"/>
  <c r="H45" i="58"/>
  <c r="N45" i="58" s="1"/>
  <c r="D45" i="58"/>
  <c r="B45" i="58"/>
  <c r="Z44" i="58"/>
  <c r="X44" i="58"/>
  <c r="N44" i="58"/>
  <c r="L44" i="58"/>
  <c r="B44" i="58"/>
  <c r="T43" i="58"/>
  <c r="Z43" i="58" s="1"/>
  <c r="P43" i="58"/>
  <c r="X43" i="58" s="1"/>
  <c r="N43" i="58"/>
  <c r="H43" i="58"/>
  <c r="D43" i="58"/>
  <c r="L43" i="58" s="1"/>
  <c r="B43" i="58"/>
  <c r="Z42" i="58"/>
  <c r="X42" i="58"/>
  <c r="L42" i="58"/>
  <c r="N42" i="58" s="1"/>
  <c r="B42" i="58"/>
  <c r="Z41" i="58"/>
  <c r="X41" i="58"/>
  <c r="T41" i="58"/>
  <c r="P41" i="58"/>
  <c r="H41" i="58"/>
  <c r="D41" i="58"/>
  <c r="B41" i="58"/>
  <c r="Z40" i="58"/>
  <c r="X40" i="58"/>
  <c r="N40" i="58"/>
  <c r="L40" i="58"/>
  <c r="B40" i="58"/>
  <c r="Z39" i="58"/>
  <c r="X39" i="58"/>
  <c r="N39" i="58"/>
  <c r="L39" i="58"/>
  <c r="B39" i="58"/>
  <c r="Z38" i="58"/>
  <c r="X38" i="58"/>
  <c r="N38" i="58"/>
  <c r="L38" i="58"/>
  <c r="B38" i="58"/>
  <c r="Z37" i="58"/>
  <c r="X37" i="58"/>
  <c r="N37" i="58"/>
  <c r="L37" i="58"/>
  <c r="B37" i="58"/>
  <c r="Z36" i="58"/>
  <c r="X36" i="58"/>
  <c r="N36" i="58"/>
  <c r="L36" i="58"/>
  <c r="B36" i="58"/>
  <c r="X35" i="58"/>
  <c r="Z35" i="58" s="1"/>
  <c r="L35" i="58"/>
  <c r="N35" i="58" s="1"/>
  <c r="B35" i="58"/>
  <c r="T34" i="58"/>
  <c r="P34" i="58"/>
  <c r="X34" i="58" s="1"/>
  <c r="H34" i="58"/>
  <c r="D34" i="58"/>
  <c r="L34" i="58" s="1"/>
  <c r="N34" i="58" s="1"/>
  <c r="B34" i="58"/>
  <c r="X33" i="58"/>
  <c r="Z33" i="58" s="1"/>
  <c r="L33" i="58"/>
  <c r="N33" i="58" s="1"/>
  <c r="B33" i="58"/>
  <c r="Z32" i="58"/>
  <c r="X32" i="58"/>
  <c r="N32" i="58"/>
  <c r="L32" i="58"/>
  <c r="B32" i="58"/>
  <c r="X31" i="58"/>
  <c r="Z31" i="58" s="1"/>
  <c r="L31" i="58"/>
  <c r="N31" i="58" s="1"/>
  <c r="B31" i="58"/>
  <c r="X30" i="58"/>
  <c r="Z30" i="58" s="1"/>
  <c r="L30" i="58"/>
  <c r="N30" i="58" s="1"/>
  <c r="B30" i="58"/>
  <c r="X29" i="58"/>
  <c r="Z29" i="58" s="1"/>
  <c r="N29" i="58"/>
  <c r="L29" i="58"/>
  <c r="B29" i="58"/>
  <c r="Z28" i="58"/>
  <c r="X28" i="58"/>
  <c r="N28" i="58"/>
  <c r="L28" i="58"/>
  <c r="B28" i="58"/>
  <c r="X27" i="58"/>
  <c r="Z27" i="58" s="1"/>
  <c r="L27" i="58"/>
  <c r="N27" i="58" s="1"/>
  <c r="B27" i="58"/>
  <c r="Z26" i="58"/>
  <c r="X26" i="58"/>
  <c r="L26" i="58"/>
  <c r="N26" i="58" s="1"/>
  <c r="B26" i="58"/>
  <c r="X25" i="58"/>
  <c r="Z25" i="58" s="1"/>
  <c r="L25" i="58"/>
  <c r="N25" i="58" s="1"/>
  <c r="B25" i="58"/>
  <c r="Z24" i="58"/>
  <c r="T24" i="58"/>
  <c r="P24" i="58"/>
  <c r="X24" i="58" s="1"/>
  <c r="L24" i="58"/>
  <c r="N24" i="58" s="1"/>
  <c r="H24" i="58"/>
  <c r="D24" i="58"/>
  <c r="B24" i="58"/>
  <c r="X23" i="58"/>
  <c r="T23" i="58" a="1"/>
  <c r="T23" i="58" s="1"/>
  <c r="P23" i="58" a="1"/>
  <c r="P23" i="58"/>
  <c r="H23" i="58" a="1"/>
  <c r="H23" i="58" s="1"/>
  <c r="D23" i="58" a="1"/>
  <c r="D23" i="58" s="1"/>
  <c r="X19" i="58"/>
  <c r="Z19" i="58" s="1"/>
  <c r="N19" i="58"/>
  <c r="L19" i="58"/>
  <c r="B19" i="58"/>
  <c r="X18" i="58"/>
  <c r="Z18" i="58" s="1"/>
  <c r="N18" i="58"/>
  <c r="L18" i="58"/>
  <c r="B18" i="58"/>
  <c r="T17" i="58"/>
  <c r="P17" i="58"/>
  <c r="X17" i="58" s="1"/>
  <c r="Z17" i="58" s="1"/>
  <c r="H17" i="58"/>
  <c r="N17" i="58" s="1"/>
  <c r="D17" i="58"/>
  <c r="L17" i="58" s="1"/>
  <c r="Z15" i="58"/>
  <c r="X15" i="58"/>
  <c r="T15" i="58"/>
  <c r="P15" i="58"/>
  <c r="N15" i="58"/>
  <c r="H15" i="58"/>
  <c r="D15" i="58"/>
  <c r="L15" i="58" s="1"/>
  <c r="B15" i="58"/>
  <c r="T14" i="58"/>
  <c r="P14" i="58"/>
  <c r="X14" i="58" s="1"/>
  <c r="Z14" i="58" s="1"/>
  <c r="H14" i="58"/>
  <c r="N14" i="58" s="1"/>
  <c r="D14" i="58"/>
  <c r="L14" i="58" s="1"/>
  <c r="B14" i="58"/>
  <c r="T13" i="58"/>
  <c r="P13" i="58"/>
  <c r="H13" i="58"/>
  <c r="D13" i="58"/>
  <c r="B13" i="58"/>
  <c r="T12" i="58"/>
  <c r="V27" i="58" s="1"/>
  <c r="D6" i="58"/>
  <c r="D4" i="58"/>
  <c r="V56" i="57"/>
  <c r="R53" i="57"/>
  <c r="Z51" i="57"/>
  <c r="X51" i="57"/>
  <c r="V51" i="57"/>
  <c r="R51" i="57"/>
  <c r="N51" i="57"/>
  <c r="L51" i="57"/>
  <c r="R49" i="57"/>
  <c r="J49" i="57"/>
  <c r="Z47" i="57"/>
  <c r="T47" i="57"/>
  <c r="P47" i="57"/>
  <c r="X47" i="57" s="1"/>
  <c r="N47" i="57"/>
  <c r="L47" i="57"/>
  <c r="H47" i="57"/>
  <c r="D47" i="57"/>
  <c r="Z45" i="57"/>
  <c r="X45" i="57"/>
  <c r="V45" i="57"/>
  <c r="N45" i="57"/>
  <c r="L45" i="57"/>
  <c r="B45" i="57"/>
  <c r="V44" i="57"/>
  <c r="T44" i="57"/>
  <c r="P44" i="57"/>
  <c r="J44" i="57"/>
  <c r="H44" i="57"/>
  <c r="N44" i="57" s="1"/>
  <c r="D44" i="57"/>
  <c r="L44" i="57" s="1"/>
  <c r="B44" i="57"/>
  <c r="X43" i="57"/>
  <c r="Z43" i="57" s="1"/>
  <c r="N43" i="57"/>
  <c r="L43" i="57"/>
  <c r="B43" i="57"/>
  <c r="Z42" i="57"/>
  <c r="X42" i="57"/>
  <c r="T42" i="57"/>
  <c r="R42" i="57"/>
  <c r="P42" i="57"/>
  <c r="J42" i="57"/>
  <c r="H42" i="57"/>
  <c r="D42" i="57"/>
  <c r="B42" i="57"/>
  <c r="Z41" i="57"/>
  <c r="X41" i="57"/>
  <c r="R41" i="57"/>
  <c r="L41" i="57"/>
  <c r="N41" i="57" s="1"/>
  <c r="B41" i="57"/>
  <c r="T40" i="57"/>
  <c r="P40" i="57"/>
  <c r="H40" i="57"/>
  <c r="D40" i="57"/>
  <c r="B40" i="57"/>
  <c r="Z39" i="57"/>
  <c r="X39" i="57"/>
  <c r="N39" i="57"/>
  <c r="L39" i="57"/>
  <c r="B39" i="57"/>
  <c r="Z38" i="57"/>
  <c r="X38" i="57"/>
  <c r="N38" i="57"/>
  <c r="L38" i="57"/>
  <c r="B38" i="57"/>
  <c r="Z37" i="57"/>
  <c r="X37" i="57"/>
  <c r="V37" i="57"/>
  <c r="R37" i="57"/>
  <c r="N37" i="57"/>
  <c r="L37" i="57"/>
  <c r="J37" i="57"/>
  <c r="F37" i="57"/>
  <c r="B37" i="57"/>
  <c r="X36" i="57"/>
  <c r="V36" i="57"/>
  <c r="T36" i="57"/>
  <c r="Z36" i="57" s="1"/>
  <c r="P36" i="57"/>
  <c r="H36" i="57"/>
  <c r="D36" i="57"/>
  <c r="B36" i="57"/>
  <c r="Z35" i="57"/>
  <c r="X35" i="57"/>
  <c r="V35" i="57"/>
  <c r="L35" i="57"/>
  <c r="N35" i="57" s="1"/>
  <c r="B35" i="57"/>
  <c r="X34" i="57"/>
  <c r="T34" i="57"/>
  <c r="Z34" i="57" s="1"/>
  <c r="P34" i="57"/>
  <c r="L34" i="57"/>
  <c r="J34" i="57"/>
  <c r="H34" i="57"/>
  <c r="D34" i="57"/>
  <c r="B34" i="57"/>
  <c r="Z33" i="57"/>
  <c r="X33" i="57"/>
  <c r="V33" i="57"/>
  <c r="N33" i="57"/>
  <c r="L33" i="57"/>
  <c r="J33" i="57"/>
  <c r="F33" i="57"/>
  <c r="B33" i="57"/>
  <c r="V32" i="57"/>
  <c r="T32" i="57"/>
  <c r="P32" i="57"/>
  <c r="X32" i="57" s="1"/>
  <c r="N32" i="57"/>
  <c r="H32" i="57"/>
  <c r="F32" i="57"/>
  <c r="D32" i="57"/>
  <c r="L32" i="57" s="1"/>
  <c r="B32" i="57"/>
  <c r="Z31" i="57"/>
  <c r="X31" i="57"/>
  <c r="N31" i="57"/>
  <c r="L31" i="57"/>
  <c r="J31" i="57"/>
  <c r="B31" i="57"/>
  <c r="Z30" i="57"/>
  <c r="T30" i="57"/>
  <c r="P30" i="57"/>
  <c r="X30" i="57" s="1"/>
  <c r="L30" i="57"/>
  <c r="J30" i="57"/>
  <c r="H30" i="57"/>
  <c r="N30" i="57" s="1"/>
  <c r="D30" i="57"/>
  <c r="B30" i="57"/>
  <c r="Z29" i="57"/>
  <c r="X29" i="57"/>
  <c r="V29" i="57"/>
  <c r="R29" i="57"/>
  <c r="N29" i="57"/>
  <c r="L29" i="57"/>
  <c r="J29" i="57"/>
  <c r="F29" i="57"/>
  <c r="B29" i="57"/>
  <c r="V28" i="57"/>
  <c r="T28" i="57"/>
  <c r="P28" i="57"/>
  <c r="X28" i="57" s="1"/>
  <c r="L28" i="57"/>
  <c r="H28" i="57"/>
  <c r="N28" i="57" s="1"/>
  <c r="D28" i="57"/>
  <c r="B28" i="57"/>
  <c r="Z27" i="57"/>
  <c r="X27" i="57"/>
  <c r="V27" i="57"/>
  <c r="N27" i="57"/>
  <c r="L27" i="57"/>
  <c r="B27" i="57"/>
  <c r="X26" i="57"/>
  <c r="Z26" i="57" s="1"/>
  <c r="R26" i="57"/>
  <c r="N26" i="57"/>
  <c r="L26" i="57"/>
  <c r="F26" i="57"/>
  <c r="B26" i="57"/>
  <c r="Z25" i="57"/>
  <c r="X25" i="57"/>
  <c r="V25" i="57"/>
  <c r="R25" i="57"/>
  <c r="N25" i="57"/>
  <c r="L25" i="57"/>
  <c r="J25" i="57"/>
  <c r="F25" i="57"/>
  <c r="B25" i="57"/>
  <c r="X24" i="57"/>
  <c r="Z24" i="57" s="1"/>
  <c r="V24" i="57"/>
  <c r="L24" i="57"/>
  <c r="N24" i="57" s="1"/>
  <c r="J24" i="57"/>
  <c r="B24" i="57"/>
  <c r="Z23" i="57"/>
  <c r="X23" i="57"/>
  <c r="L23" i="57"/>
  <c r="N23" i="57" s="1"/>
  <c r="J23" i="57"/>
  <c r="B23" i="57"/>
  <c r="Z22" i="57"/>
  <c r="X22" i="57"/>
  <c r="R22" i="57"/>
  <c r="N22" i="57"/>
  <c r="L22" i="57"/>
  <c r="F22" i="57"/>
  <c r="B22" i="57"/>
  <c r="Z21" i="57"/>
  <c r="X21" i="57"/>
  <c r="V21" i="57"/>
  <c r="R21" i="57"/>
  <c r="N21" i="57"/>
  <c r="L21" i="57"/>
  <c r="J21" i="57"/>
  <c r="F21" i="57"/>
  <c r="B21" i="57"/>
  <c r="X20" i="57"/>
  <c r="Z20" i="57" s="1"/>
  <c r="V20" i="57"/>
  <c r="R20" i="57"/>
  <c r="L20" i="57"/>
  <c r="N20" i="57" s="1"/>
  <c r="J20" i="57"/>
  <c r="B20" i="57"/>
  <c r="Z19" i="57"/>
  <c r="X19" i="57"/>
  <c r="V19" i="57"/>
  <c r="T19" i="57"/>
  <c r="R19" i="57"/>
  <c r="P19" i="57"/>
  <c r="J19" i="57"/>
  <c r="H19" i="57"/>
  <c r="F19" i="57"/>
  <c r="D19" i="57"/>
  <c r="B19" i="57"/>
  <c r="T18" i="57" a="1"/>
  <c r="T18" i="57" s="1"/>
  <c r="P18" i="57" a="1"/>
  <c r="P18" i="57"/>
  <c r="X18" i="57" s="1"/>
  <c r="H18" i="57" a="1"/>
  <c r="H18" i="57"/>
  <c r="F18" i="57"/>
  <c r="D18" i="57" a="1"/>
  <c r="D18" i="57"/>
  <c r="P16" i="57"/>
  <c r="J16" i="57"/>
  <c r="T14" i="57"/>
  <c r="P14" i="57"/>
  <c r="L14" i="57"/>
  <c r="J14" i="57"/>
  <c r="H14" i="57"/>
  <c r="D14" i="57"/>
  <c r="Z12" i="57"/>
  <c r="T12" i="57"/>
  <c r="P12" i="57"/>
  <c r="N12" i="57"/>
  <c r="L12" i="57"/>
  <c r="H12" i="57"/>
  <c r="J56" i="57" s="1"/>
  <c r="D12" i="57"/>
  <c r="F42" i="57" s="1"/>
  <c r="D6" i="57"/>
  <c r="D4" i="57"/>
  <c r="Z51" i="56"/>
  <c r="X51" i="56"/>
  <c r="N51" i="56"/>
  <c r="L51" i="56"/>
  <c r="T47" i="56"/>
  <c r="Z47" i="56" s="1"/>
  <c r="P47" i="56"/>
  <c r="X47" i="56" s="1"/>
  <c r="H47" i="56"/>
  <c r="L47" i="56" s="1"/>
  <c r="D47" i="56"/>
  <c r="X45" i="56"/>
  <c r="Z45" i="56" s="1"/>
  <c r="N45" i="56"/>
  <c r="L45" i="56"/>
  <c r="B45" i="56"/>
  <c r="T44" i="56"/>
  <c r="P44" i="56"/>
  <c r="X44" i="56" s="1"/>
  <c r="Z44" i="56" s="1"/>
  <c r="H44" i="56"/>
  <c r="D44" i="56"/>
  <c r="B44" i="56"/>
  <c r="Z43" i="56"/>
  <c r="X43" i="56"/>
  <c r="N43" i="56"/>
  <c r="L43" i="56"/>
  <c r="B43" i="56"/>
  <c r="Z42" i="56"/>
  <c r="X42" i="56"/>
  <c r="N42" i="56"/>
  <c r="L42" i="56"/>
  <c r="B42" i="56"/>
  <c r="Z41" i="56"/>
  <c r="X41" i="56"/>
  <c r="N41" i="56"/>
  <c r="L41" i="56"/>
  <c r="B41" i="56"/>
  <c r="Z40" i="56"/>
  <c r="X40" i="56"/>
  <c r="T40" i="56"/>
  <c r="P40" i="56"/>
  <c r="H40" i="56"/>
  <c r="D40" i="56"/>
  <c r="B40" i="56"/>
  <c r="Z39" i="56"/>
  <c r="X39" i="56"/>
  <c r="N39" i="56"/>
  <c r="L39" i="56"/>
  <c r="B39" i="56"/>
  <c r="T38" i="56"/>
  <c r="P38" i="56"/>
  <c r="N38" i="56"/>
  <c r="L38" i="56"/>
  <c r="H38" i="56"/>
  <c r="D38" i="56"/>
  <c r="B38" i="56"/>
  <c r="X37" i="56"/>
  <c r="Z37" i="56" s="1"/>
  <c r="N37" i="56"/>
  <c r="L37" i="56"/>
  <c r="B37" i="56"/>
  <c r="Z36" i="56"/>
  <c r="X36" i="56"/>
  <c r="N36" i="56"/>
  <c r="L36" i="56"/>
  <c r="J36" i="56"/>
  <c r="B36" i="56"/>
  <c r="T35" i="56"/>
  <c r="P35" i="56"/>
  <c r="H35" i="56"/>
  <c r="N35" i="56" s="1"/>
  <c r="D35" i="56"/>
  <c r="L35" i="56" s="1"/>
  <c r="B35" i="56"/>
  <c r="Z34" i="56"/>
  <c r="X34" i="56"/>
  <c r="N34" i="56"/>
  <c r="L34" i="56"/>
  <c r="B34" i="56"/>
  <c r="X33" i="56"/>
  <c r="T33" i="56"/>
  <c r="P33" i="56"/>
  <c r="N33" i="56"/>
  <c r="H33" i="56"/>
  <c r="L33" i="56" s="1"/>
  <c r="D33" i="56"/>
  <c r="B33" i="56"/>
  <c r="X32" i="56"/>
  <c r="Z32" i="56" s="1"/>
  <c r="L32" i="56"/>
  <c r="N32" i="56" s="1"/>
  <c r="B32" i="56"/>
  <c r="Z31" i="56"/>
  <c r="X31" i="56"/>
  <c r="T31" i="56"/>
  <c r="P31" i="56"/>
  <c r="H31" i="56"/>
  <c r="D31" i="56"/>
  <c r="L31" i="56" s="1"/>
  <c r="B31" i="56"/>
  <c r="Z30" i="56"/>
  <c r="X30" i="56"/>
  <c r="N30" i="56"/>
  <c r="L30" i="56"/>
  <c r="B30" i="56"/>
  <c r="T29" i="56"/>
  <c r="Z29" i="56" s="1"/>
  <c r="P29" i="56"/>
  <c r="X29" i="56" s="1"/>
  <c r="N29" i="56"/>
  <c r="H29" i="56"/>
  <c r="D29" i="56"/>
  <c r="B29" i="56"/>
  <c r="Z28" i="56"/>
  <c r="X28" i="56"/>
  <c r="N28" i="56"/>
  <c r="L28" i="56"/>
  <c r="B28" i="56"/>
  <c r="T27" i="56"/>
  <c r="Z27" i="56" s="1"/>
  <c r="R27" i="56"/>
  <c r="P27" i="56"/>
  <c r="X27" i="56" s="1"/>
  <c r="L27" i="56"/>
  <c r="H27" i="56"/>
  <c r="N27" i="56" s="1"/>
  <c r="D27" i="56"/>
  <c r="B27" i="56"/>
  <c r="Z26" i="56"/>
  <c r="X26" i="56"/>
  <c r="N26" i="56"/>
  <c r="L26" i="56"/>
  <c r="B26" i="56"/>
  <c r="X25" i="56"/>
  <c r="Z25" i="56" s="1"/>
  <c r="N25" i="56"/>
  <c r="L25" i="56"/>
  <c r="B25" i="56"/>
  <c r="X24" i="56"/>
  <c r="Z24" i="56" s="1"/>
  <c r="N24" i="56"/>
  <c r="L24" i="56"/>
  <c r="B24" i="56"/>
  <c r="X23" i="56"/>
  <c r="Z23" i="56" s="1"/>
  <c r="R23" i="56"/>
  <c r="N23" i="56"/>
  <c r="L23" i="56"/>
  <c r="B23" i="56"/>
  <c r="Z22" i="56"/>
  <c r="X22" i="56"/>
  <c r="N22" i="56"/>
  <c r="L22" i="56"/>
  <c r="B22" i="56"/>
  <c r="T21" i="56"/>
  <c r="P21" i="56"/>
  <c r="X21" i="56" s="1"/>
  <c r="N21" i="56"/>
  <c r="H21" i="56"/>
  <c r="F21" i="56"/>
  <c r="D21" i="56"/>
  <c r="L21" i="56" s="1"/>
  <c r="B21" i="56"/>
  <c r="T20" i="56" a="1"/>
  <c r="T20" i="56" s="1"/>
  <c r="P20" i="56" a="1"/>
  <c r="P20" i="56" s="1"/>
  <c r="H20" i="56" a="1"/>
  <c r="H20" i="56" s="1"/>
  <c r="D20" i="56" a="1"/>
  <c r="D20" i="56" s="1"/>
  <c r="L20" i="56" s="1"/>
  <c r="P18" i="56"/>
  <c r="X16" i="56"/>
  <c r="Z16" i="56" s="1"/>
  <c r="N16" i="56"/>
  <c r="L16" i="56"/>
  <c r="B16" i="56"/>
  <c r="T15" i="56"/>
  <c r="X15" i="56" s="1"/>
  <c r="Z15" i="56" s="1"/>
  <c r="P15" i="56"/>
  <c r="J15" i="56"/>
  <c r="H15" i="56"/>
  <c r="N15" i="56" s="1"/>
  <c r="D15" i="56"/>
  <c r="L15" i="56" s="1"/>
  <c r="Z13" i="56"/>
  <c r="T13" i="56"/>
  <c r="T12" i="56" s="1"/>
  <c r="P13" i="56"/>
  <c r="X13" i="56" s="1"/>
  <c r="N13" i="56"/>
  <c r="H13" i="56"/>
  <c r="D13" i="56"/>
  <c r="L13" i="56" s="1"/>
  <c r="B13" i="56"/>
  <c r="P12" i="56"/>
  <c r="H12" i="56"/>
  <c r="J45" i="56" s="1"/>
  <c r="D12" i="56"/>
  <c r="F47" i="56" s="1"/>
  <c r="D6" i="56"/>
  <c r="D4" i="56"/>
  <c r="J35" i="55"/>
  <c r="Z33" i="55"/>
  <c r="X33" i="55"/>
  <c r="N33" i="55"/>
  <c r="L33" i="55"/>
  <c r="Z29" i="55"/>
  <c r="T29" i="55"/>
  <c r="P29" i="55"/>
  <c r="X29" i="55" s="1"/>
  <c r="J29" i="55"/>
  <c r="H29" i="55"/>
  <c r="N29" i="55" s="1"/>
  <c r="D29" i="55"/>
  <c r="L29" i="55" s="1"/>
  <c r="X27" i="55"/>
  <c r="Z27" i="55" s="1"/>
  <c r="N27" i="55"/>
  <c r="L27" i="55"/>
  <c r="B27" i="55"/>
  <c r="T26" i="55"/>
  <c r="X26" i="55" s="1"/>
  <c r="Z26" i="55" s="1"/>
  <c r="P26" i="55"/>
  <c r="J26" i="55"/>
  <c r="H26" i="55"/>
  <c r="N26" i="55" s="1"/>
  <c r="D26" i="55"/>
  <c r="L26" i="55" s="1"/>
  <c r="B26" i="55"/>
  <c r="X25" i="55"/>
  <c r="Z25" i="55" s="1"/>
  <c r="R25" i="55"/>
  <c r="N25" i="55"/>
  <c r="L25" i="55"/>
  <c r="J25" i="55"/>
  <c r="F25" i="55"/>
  <c r="B25" i="55"/>
  <c r="V24" i="55"/>
  <c r="T24" i="55"/>
  <c r="P24" i="55"/>
  <c r="X24" i="55" s="1"/>
  <c r="N24" i="55"/>
  <c r="H24" i="55"/>
  <c r="F24" i="55"/>
  <c r="D24" i="55"/>
  <c r="L24" i="55" s="1"/>
  <c r="B24" i="55"/>
  <c r="X23" i="55"/>
  <c r="Z23" i="55" s="1"/>
  <c r="N23" i="55"/>
  <c r="L23" i="55"/>
  <c r="B23" i="55"/>
  <c r="T22" i="55"/>
  <c r="R22" i="55"/>
  <c r="P22" i="55"/>
  <c r="X22" i="55" s="1"/>
  <c r="Z22" i="55" s="1"/>
  <c r="L22" i="55"/>
  <c r="J22" i="55"/>
  <c r="H22" i="55"/>
  <c r="N22" i="55" s="1"/>
  <c r="D22" i="55"/>
  <c r="B22" i="55"/>
  <c r="Z21" i="55"/>
  <c r="X21" i="55"/>
  <c r="V21" i="55"/>
  <c r="N21" i="55"/>
  <c r="L21" i="55"/>
  <c r="F21" i="55"/>
  <c r="B21" i="55"/>
  <c r="X20" i="55"/>
  <c r="V20" i="55"/>
  <c r="T20" i="55"/>
  <c r="Z20" i="55" s="1"/>
  <c r="P20" i="55"/>
  <c r="N20" i="55"/>
  <c r="H20" i="55"/>
  <c r="L20" i="55" s="1"/>
  <c r="F20" i="55"/>
  <c r="D20" i="55"/>
  <c r="B20" i="55"/>
  <c r="T19" i="55" a="1"/>
  <c r="T19" i="55"/>
  <c r="P19" i="55" a="1"/>
  <c r="P19" i="55" s="1"/>
  <c r="X19" i="55" s="1"/>
  <c r="L19" i="55"/>
  <c r="J19" i="55"/>
  <c r="H19" i="55" a="1"/>
  <c r="H19" i="55"/>
  <c r="N19" i="55" s="1"/>
  <c r="F19" i="55"/>
  <c r="D19" i="55" a="1"/>
  <c r="D19" i="55" s="1"/>
  <c r="H17" i="55"/>
  <c r="N17" i="55" s="1"/>
  <c r="F17" i="55"/>
  <c r="D17" i="55"/>
  <c r="Z15" i="55"/>
  <c r="X15" i="55"/>
  <c r="N15" i="55"/>
  <c r="L15" i="55"/>
  <c r="J15" i="55"/>
  <c r="F15" i="55"/>
  <c r="B15" i="55"/>
  <c r="Z14" i="55"/>
  <c r="X14" i="55"/>
  <c r="T14" i="55"/>
  <c r="R14" i="55"/>
  <c r="P14" i="55"/>
  <c r="L14" i="55"/>
  <c r="J14" i="55"/>
  <c r="H14" i="55"/>
  <c r="N14" i="55" s="1"/>
  <c r="D14" i="55"/>
  <c r="Z12" i="55"/>
  <c r="T12" i="55"/>
  <c r="V35" i="55" s="1"/>
  <c r="P12" i="55"/>
  <c r="R38" i="55" s="1"/>
  <c r="N12" i="55"/>
  <c r="L12" i="55"/>
  <c r="H12" i="55"/>
  <c r="J33" i="55" s="1"/>
  <c r="D12" i="55"/>
  <c r="F35" i="55" s="1"/>
  <c r="D6" i="55"/>
  <c r="D4" i="55"/>
  <c r="V39" i="54"/>
  <c r="F39" i="54"/>
  <c r="V36" i="54"/>
  <c r="F36" i="54"/>
  <c r="Z34" i="54"/>
  <c r="X34" i="54"/>
  <c r="V34" i="54"/>
  <c r="N34" i="54"/>
  <c r="L34" i="54"/>
  <c r="J34" i="54"/>
  <c r="V32" i="54"/>
  <c r="F32" i="54"/>
  <c r="V30" i="54"/>
  <c r="T30" i="54"/>
  <c r="Z30" i="54" s="1"/>
  <c r="P30" i="54"/>
  <c r="X30" i="54" s="1"/>
  <c r="N30" i="54"/>
  <c r="L30" i="54"/>
  <c r="H30" i="54"/>
  <c r="F30" i="54"/>
  <c r="D30" i="54"/>
  <c r="B30" i="54"/>
  <c r="P29" i="54"/>
  <c r="J29" i="54"/>
  <c r="H29" i="54"/>
  <c r="N29" i="54" s="1"/>
  <c r="D29" i="54"/>
  <c r="X27" i="54"/>
  <c r="Z27" i="54" s="1"/>
  <c r="N27" i="54"/>
  <c r="L27" i="54"/>
  <c r="B27" i="54"/>
  <c r="Z26" i="54"/>
  <c r="T26" i="54"/>
  <c r="P26" i="54"/>
  <c r="X26" i="54" s="1"/>
  <c r="J26" i="54"/>
  <c r="H26" i="54"/>
  <c r="D26" i="54"/>
  <c r="L26" i="54" s="1"/>
  <c r="B26" i="54"/>
  <c r="Z25" i="54"/>
  <c r="X25" i="54"/>
  <c r="R25" i="54"/>
  <c r="N25" i="54"/>
  <c r="L25" i="54"/>
  <c r="J25" i="54"/>
  <c r="F25" i="54"/>
  <c r="B25" i="54"/>
  <c r="V24" i="54"/>
  <c r="T24" i="54"/>
  <c r="P24" i="54"/>
  <c r="X24" i="54" s="1"/>
  <c r="N24" i="54"/>
  <c r="L24" i="54"/>
  <c r="H24" i="54"/>
  <c r="F24" i="54"/>
  <c r="D24" i="54"/>
  <c r="B24" i="54"/>
  <c r="Z23" i="54"/>
  <c r="X23" i="54"/>
  <c r="N23" i="54"/>
  <c r="L23" i="54"/>
  <c r="B23" i="54"/>
  <c r="Z22" i="54"/>
  <c r="X22" i="54"/>
  <c r="T22" i="54"/>
  <c r="R22" i="54"/>
  <c r="P22" i="54"/>
  <c r="L22" i="54"/>
  <c r="J22" i="54"/>
  <c r="H22" i="54"/>
  <c r="N22" i="54" s="1"/>
  <c r="D22" i="54"/>
  <c r="B22" i="54"/>
  <c r="Z21" i="54"/>
  <c r="X21" i="54"/>
  <c r="V21" i="54"/>
  <c r="N21" i="54"/>
  <c r="L21" i="54"/>
  <c r="F21" i="54"/>
  <c r="B21" i="54"/>
  <c r="X20" i="54"/>
  <c r="Z20" i="54" s="1"/>
  <c r="V20" i="54"/>
  <c r="N20" i="54"/>
  <c r="L20" i="54"/>
  <c r="J20" i="54"/>
  <c r="B20" i="54"/>
  <c r="T19" i="54"/>
  <c r="P19" i="54"/>
  <c r="X19" i="54" s="1"/>
  <c r="Z19" i="54" s="1"/>
  <c r="J19" i="54"/>
  <c r="H19" i="54"/>
  <c r="N19" i="54" s="1"/>
  <c r="D19" i="54"/>
  <c r="B19" i="54"/>
  <c r="T18" i="54" a="1"/>
  <c r="T18" i="54" s="1"/>
  <c r="P18" i="54" a="1"/>
  <c r="P18" i="54" s="1"/>
  <c r="X18" i="54" s="1"/>
  <c r="Z18" i="54" s="1"/>
  <c r="H18" i="54" a="1"/>
  <c r="H18" i="54" s="1"/>
  <c r="D18" i="54" a="1"/>
  <c r="D18" i="54" s="1"/>
  <c r="Z16" i="54"/>
  <c r="T16" i="54"/>
  <c r="J16" i="54"/>
  <c r="D16" i="54"/>
  <c r="D32" i="54" s="1"/>
  <c r="Z14" i="54"/>
  <c r="V14" i="54"/>
  <c r="T14" i="54"/>
  <c r="R14" i="54"/>
  <c r="P14" i="54"/>
  <c r="X14" i="54" s="1"/>
  <c r="N14" i="54"/>
  <c r="L14" i="54"/>
  <c r="J14" i="54"/>
  <c r="H14" i="54"/>
  <c r="F14" i="54"/>
  <c r="D14" i="54"/>
  <c r="Z12" i="54"/>
  <c r="T12" i="54"/>
  <c r="V29" i="54" s="1"/>
  <c r="P12" i="54"/>
  <c r="R26" i="54" s="1"/>
  <c r="N12" i="54"/>
  <c r="H12" i="54"/>
  <c r="J27" i="54" s="1"/>
  <c r="D12" i="54"/>
  <c r="F29" i="54" s="1"/>
  <c r="D6" i="54"/>
  <c r="D4" i="54"/>
  <c r="F35" i="53"/>
  <c r="F32" i="53"/>
  <c r="X30" i="53"/>
  <c r="Z30" i="53" s="1"/>
  <c r="N30" i="53"/>
  <c r="L30" i="53"/>
  <c r="J30" i="53"/>
  <c r="F28" i="53"/>
  <c r="Z26" i="53"/>
  <c r="T26" i="53"/>
  <c r="P26" i="53"/>
  <c r="X26" i="53" s="1"/>
  <c r="N26" i="53"/>
  <c r="H26" i="53"/>
  <c r="F26" i="53"/>
  <c r="D26" i="53"/>
  <c r="L26" i="53" s="1"/>
  <c r="X24" i="53"/>
  <c r="Z24" i="53" s="1"/>
  <c r="N24" i="53"/>
  <c r="L24" i="53"/>
  <c r="J24" i="53"/>
  <c r="B24" i="53"/>
  <c r="T23" i="53"/>
  <c r="P23" i="53"/>
  <c r="X23" i="53" s="1"/>
  <c r="Z23" i="53" s="1"/>
  <c r="H23" i="53"/>
  <c r="N23" i="53" s="1"/>
  <c r="D23" i="53"/>
  <c r="L23" i="53" s="1"/>
  <c r="B23" i="53"/>
  <c r="Z22" i="53"/>
  <c r="X22" i="53"/>
  <c r="N22" i="53"/>
  <c r="L22" i="53"/>
  <c r="B22" i="53"/>
  <c r="T21" i="53"/>
  <c r="P21" i="53"/>
  <c r="X21" i="53" s="1"/>
  <c r="L21" i="53"/>
  <c r="H21" i="53"/>
  <c r="N21" i="53" s="1"/>
  <c r="F21" i="53"/>
  <c r="D21" i="53"/>
  <c r="B21" i="53"/>
  <c r="T20" i="53" a="1"/>
  <c r="T20" i="53" s="1"/>
  <c r="P20" i="53" a="1"/>
  <c r="P20" i="53" s="1"/>
  <c r="X20" i="53" s="1"/>
  <c r="H20" i="53" a="1"/>
  <c r="H20" i="53" s="1"/>
  <c r="N20" i="53" s="1"/>
  <c r="F20" i="53"/>
  <c r="D20" i="53" a="1"/>
  <c r="D20" i="53" s="1"/>
  <c r="L20" i="53" s="1"/>
  <c r="F18" i="53"/>
  <c r="D18" i="53"/>
  <c r="D28" i="53" s="1"/>
  <c r="X16" i="53"/>
  <c r="T16" i="53"/>
  <c r="Z16" i="53" s="1"/>
  <c r="P16" i="53"/>
  <c r="N16" i="53"/>
  <c r="H16" i="53"/>
  <c r="L16" i="53" s="1"/>
  <c r="F16" i="53"/>
  <c r="D16" i="53"/>
  <c r="T14" i="53"/>
  <c r="Z14" i="53" s="1"/>
  <c r="P14" i="53"/>
  <c r="X14" i="53" s="1"/>
  <c r="L14" i="53"/>
  <c r="H14" i="53"/>
  <c r="H12" i="53" s="1"/>
  <c r="D14" i="53"/>
  <c r="B14" i="53"/>
  <c r="X13" i="53"/>
  <c r="T13" i="53"/>
  <c r="P13" i="53"/>
  <c r="N13" i="53"/>
  <c r="L13" i="53"/>
  <c r="H13" i="53"/>
  <c r="D13" i="53"/>
  <c r="B13" i="53"/>
  <c r="P12" i="53"/>
  <c r="R22" i="53" s="1"/>
  <c r="D12" i="53"/>
  <c r="F23" i="53" s="1"/>
  <c r="D6" i="53"/>
  <c r="D4" i="53"/>
  <c r="V74" i="52"/>
  <c r="F74" i="52"/>
  <c r="Z72" i="52"/>
  <c r="X72" i="52"/>
  <c r="N72" i="52"/>
  <c r="L72" i="52"/>
  <c r="V68" i="52"/>
  <c r="T68" i="52"/>
  <c r="Z68" i="52" s="1"/>
  <c r="P68" i="52"/>
  <c r="X68" i="52" s="1"/>
  <c r="N68" i="52"/>
  <c r="H68" i="52"/>
  <c r="F68" i="52"/>
  <c r="D68" i="52"/>
  <c r="L68" i="52" s="1"/>
  <c r="B68" i="52"/>
  <c r="P67" i="52"/>
  <c r="H67" i="52"/>
  <c r="N67" i="52" s="1"/>
  <c r="Z65" i="52"/>
  <c r="X65" i="52"/>
  <c r="N65" i="52"/>
  <c r="L65" i="52"/>
  <c r="B65" i="52"/>
  <c r="Z64" i="52"/>
  <c r="T64" i="52"/>
  <c r="X64" i="52" s="1"/>
  <c r="R64" i="52"/>
  <c r="P64" i="52"/>
  <c r="H64" i="52"/>
  <c r="N64" i="52" s="1"/>
  <c r="D64" i="52"/>
  <c r="L64" i="52" s="1"/>
  <c r="B64" i="52"/>
  <c r="X63" i="52"/>
  <c r="Z63" i="52" s="1"/>
  <c r="R63" i="52"/>
  <c r="N63" i="52"/>
  <c r="L63" i="52"/>
  <c r="F63" i="52"/>
  <c r="B63" i="52"/>
  <c r="V62" i="52"/>
  <c r="T62" i="52"/>
  <c r="P62" i="52"/>
  <c r="X62" i="52" s="1"/>
  <c r="N62" i="52"/>
  <c r="H62" i="52"/>
  <c r="F62" i="52"/>
  <c r="D62" i="52"/>
  <c r="L62" i="52" s="1"/>
  <c r="B62" i="52"/>
  <c r="Z61" i="52"/>
  <c r="X61" i="52"/>
  <c r="N61" i="52"/>
  <c r="L61" i="52"/>
  <c r="B61" i="52"/>
  <c r="Z60" i="52"/>
  <c r="X60" i="52"/>
  <c r="N60" i="52"/>
  <c r="L60" i="52"/>
  <c r="F60" i="52"/>
  <c r="B60" i="52"/>
  <c r="Z59" i="52"/>
  <c r="X59" i="52"/>
  <c r="R59" i="52"/>
  <c r="N59" i="52"/>
  <c r="L59" i="52"/>
  <c r="F59" i="52"/>
  <c r="B59" i="52"/>
  <c r="Z58" i="52"/>
  <c r="X58" i="52"/>
  <c r="V58" i="52"/>
  <c r="N58" i="52"/>
  <c r="L58" i="52"/>
  <c r="B58" i="52"/>
  <c r="X57" i="52"/>
  <c r="Z57" i="52" s="1"/>
  <c r="N57" i="52"/>
  <c r="L57" i="52"/>
  <c r="B57" i="52"/>
  <c r="Z56" i="52"/>
  <c r="X56" i="52"/>
  <c r="R56" i="52"/>
  <c r="N56" i="52"/>
  <c r="L56" i="52"/>
  <c r="B56" i="52"/>
  <c r="Z55" i="52"/>
  <c r="X55" i="52"/>
  <c r="R55" i="52"/>
  <c r="N55" i="52"/>
  <c r="L55" i="52"/>
  <c r="F55" i="52"/>
  <c r="B55" i="52"/>
  <c r="X54" i="52"/>
  <c r="T54" i="52"/>
  <c r="Z54" i="52" s="1"/>
  <c r="P54" i="52"/>
  <c r="H54" i="52"/>
  <c r="F54" i="52"/>
  <c r="D54" i="52"/>
  <c r="L54" i="52" s="1"/>
  <c r="N54" i="52" s="1"/>
  <c r="B54" i="52"/>
  <c r="Z53" i="52"/>
  <c r="X53" i="52"/>
  <c r="N53" i="52"/>
  <c r="L53" i="52"/>
  <c r="B53" i="52"/>
  <c r="Z52" i="52"/>
  <c r="T52" i="52"/>
  <c r="R52" i="52"/>
  <c r="P52" i="52"/>
  <c r="X52" i="52" s="1"/>
  <c r="H52" i="52"/>
  <c r="N52" i="52" s="1"/>
  <c r="D52" i="52"/>
  <c r="L52" i="52" s="1"/>
  <c r="B52" i="52"/>
  <c r="Z51" i="52"/>
  <c r="X51" i="52"/>
  <c r="R51" i="52"/>
  <c r="N51" i="52"/>
  <c r="L51" i="52"/>
  <c r="F51" i="52"/>
  <c r="B51" i="52"/>
  <c r="V50" i="52"/>
  <c r="T50" i="52"/>
  <c r="Z50" i="52" s="1"/>
  <c r="P50" i="52"/>
  <c r="X50" i="52" s="1"/>
  <c r="N50" i="52"/>
  <c r="L50" i="52"/>
  <c r="H50" i="52"/>
  <c r="F50" i="52"/>
  <c r="D50" i="52"/>
  <c r="B50" i="52"/>
  <c r="Z49" i="52"/>
  <c r="X49" i="52"/>
  <c r="L49" i="52"/>
  <c r="N49" i="52" s="1"/>
  <c r="B49" i="52"/>
  <c r="Z48" i="52"/>
  <c r="X48" i="52"/>
  <c r="N48" i="52"/>
  <c r="L48" i="52"/>
  <c r="F48" i="52"/>
  <c r="B48" i="52"/>
  <c r="T47" i="52"/>
  <c r="P47" i="52"/>
  <c r="H47" i="52"/>
  <c r="D47" i="52"/>
  <c r="L47" i="52" s="1"/>
  <c r="N47" i="52" s="1"/>
  <c r="B47" i="52"/>
  <c r="X46" i="52"/>
  <c r="Z46" i="52" s="1"/>
  <c r="N46" i="52"/>
  <c r="L46" i="52"/>
  <c r="J46" i="52"/>
  <c r="B46" i="52"/>
  <c r="T45" i="52"/>
  <c r="P45" i="52"/>
  <c r="X45" i="52" s="1"/>
  <c r="Z45" i="52" s="1"/>
  <c r="H45" i="52"/>
  <c r="N45" i="52" s="1"/>
  <c r="D45" i="52"/>
  <c r="L45" i="52" s="1"/>
  <c r="B45" i="52"/>
  <c r="Z44" i="52"/>
  <c r="X44" i="52"/>
  <c r="R44" i="52"/>
  <c r="N44" i="52"/>
  <c r="L44" i="52"/>
  <c r="B44" i="52"/>
  <c r="T43" i="52"/>
  <c r="Z43" i="52" s="1"/>
  <c r="P43" i="52"/>
  <c r="X43" i="52" s="1"/>
  <c r="L43" i="52"/>
  <c r="H43" i="52"/>
  <c r="N43" i="52" s="1"/>
  <c r="F43" i="52"/>
  <c r="D43" i="52"/>
  <c r="B43" i="52"/>
  <c r="Z42" i="52"/>
  <c r="X42" i="52"/>
  <c r="N42" i="52"/>
  <c r="L42" i="52"/>
  <c r="B42" i="52"/>
  <c r="X41" i="52"/>
  <c r="T41" i="52"/>
  <c r="Z41" i="52" s="1"/>
  <c r="R41" i="52"/>
  <c r="P41" i="52"/>
  <c r="H41" i="52"/>
  <c r="D41" i="52"/>
  <c r="B41" i="52"/>
  <c r="Z40" i="52"/>
  <c r="X40" i="52"/>
  <c r="N40" i="52"/>
  <c r="L40" i="52"/>
  <c r="F40" i="52"/>
  <c r="B40" i="52"/>
  <c r="Z39" i="52"/>
  <c r="X39" i="52"/>
  <c r="R39" i="52"/>
  <c r="N39" i="52"/>
  <c r="L39" i="52"/>
  <c r="F39" i="52"/>
  <c r="B39" i="52"/>
  <c r="T38" i="52"/>
  <c r="P38" i="52"/>
  <c r="X38" i="52" s="1"/>
  <c r="Z38" i="52" s="1"/>
  <c r="N38" i="52"/>
  <c r="L38" i="52"/>
  <c r="H38" i="52"/>
  <c r="F38" i="52"/>
  <c r="D38" i="52"/>
  <c r="B38" i="52"/>
  <c r="Z37" i="52"/>
  <c r="X37" i="52"/>
  <c r="N37" i="52"/>
  <c r="L37" i="52"/>
  <c r="B37" i="52"/>
  <c r="Z36" i="52"/>
  <c r="X36" i="52"/>
  <c r="T36" i="52"/>
  <c r="R36" i="52"/>
  <c r="P36" i="52"/>
  <c r="L36" i="52"/>
  <c r="H36" i="52"/>
  <c r="N36" i="52" s="1"/>
  <c r="D36" i="52"/>
  <c r="B36" i="52"/>
  <c r="Z35" i="52"/>
  <c r="X35" i="52"/>
  <c r="V35" i="52"/>
  <c r="R35" i="52"/>
  <c r="N35" i="52"/>
  <c r="L35" i="52"/>
  <c r="F35" i="52"/>
  <c r="B35" i="52"/>
  <c r="X34" i="52"/>
  <c r="T34" i="52"/>
  <c r="Z34" i="52" s="1"/>
  <c r="P34" i="52"/>
  <c r="N34" i="52"/>
  <c r="H34" i="52"/>
  <c r="F34" i="52"/>
  <c r="D34" i="52"/>
  <c r="L34" i="52" s="1"/>
  <c r="B34" i="52"/>
  <c r="Z33" i="52"/>
  <c r="X33" i="52"/>
  <c r="N33" i="52"/>
  <c r="L33" i="52"/>
  <c r="B33" i="52"/>
  <c r="Z32" i="52"/>
  <c r="X32" i="52"/>
  <c r="R32" i="52"/>
  <c r="N32" i="52"/>
  <c r="L32" i="52"/>
  <c r="B32" i="52"/>
  <c r="Z31" i="52"/>
  <c r="X31" i="52"/>
  <c r="R31" i="52"/>
  <c r="N31" i="52"/>
  <c r="L31" i="52"/>
  <c r="F31" i="52"/>
  <c r="B31" i="52"/>
  <c r="X30" i="52"/>
  <c r="Z30" i="52" s="1"/>
  <c r="N30" i="52"/>
  <c r="L30" i="52"/>
  <c r="B30" i="52"/>
  <c r="X29" i="52"/>
  <c r="Z29" i="52" s="1"/>
  <c r="T29" i="52"/>
  <c r="P29" i="52"/>
  <c r="H29" i="52"/>
  <c r="D29" i="52"/>
  <c r="L29" i="52" s="1"/>
  <c r="B29" i="52"/>
  <c r="Z28" i="52"/>
  <c r="X28" i="52"/>
  <c r="R28" i="52"/>
  <c r="N28" i="52"/>
  <c r="L28" i="52"/>
  <c r="B28" i="52"/>
  <c r="Z27" i="52"/>
  <c r="X27" i="52"/>
  <c r="R27" i="52"/>
  <c r="N27" i="52"/>
  <c r="L27" i="52"/>
  <c r="F27" i="52"/>
  <c r="B27" i="52"/>
  <c r="X26" i="52"/>
  <c r="Z26" i="52" s="1"/>
  <c r="V26" i="52"/>
  <c r="N26" i="52"/>
  <c r="L26" i="52"/>
  <c r="J26" i="52"/>
  <c r="B26" i="52"/>
  <c r="X25" i="52"/>
  <c r="Z25" i="52" s="1"/>
  <c r="N25" i="52"/>
  <c r="L25" i="52"/>
  <c r="B25" i="52"/>
  <c r="Z24" i="52"/>
  <c r="X24" i="52"/>
  <c r="N24" i="52"/>
  <c r="L24" i="52"/>
  <c r="F24" i="52"/>
  <c r="B24" i="52"/>
  <c r="Z23" i="52"/>
  <c r="X23" i="52"/>
  <c r="R23" i="52"/>
  <c r="N23" i="52"/>
  <c r="L23" i="52"/>
  <c r="F23" i="52"/>
  <c r="B23" i="52"/>
  <c r="Z22" i="52"/>
  <c r="X22" i="52"/>
  <c r="V22" i="52"/>
  <c r="L22" i="52"/>
  <c r="N22" i="52" s="1"/>
  <c r="B22" i="52"/>
  <c r="X21" i="52"/>
  <c r="Z21" i="52" s="1"/>
  <c r="N21" i="52"/>
  <c r="L21" i="52"/>
  <c r="B21" i="52"/>
  <c r="T20" i="52"/>
  <c r="R20" i="52"/>
  <c r="P20" i="52"/>
  <c r="H20" i="52"/>
  <c r="N20" i="52" s="1"/>
  <c r="D20" i="52"/>
  <c r="L20" i="52" s="1"/>
  <c r="B20" i="52"/>
  <c r="T19" i="52" a="1"/>
  <c r="T19" i="52" s="1"/>
  <c r="P19" i="52" a="1"/>
  <c r="P19" i="52" s="1"/>
  <c r="X19" i="52" s="1"/>
  <c r="H19" i="52" a="1"/>
  <c r="H19" i="52" s="1"/>
  <c r="D19" i="52" a="1"/>
  <c r="D19" i="52" s="1"/>
  <c r="L19" i="52" s="1"/>
  <c r="T17" i="52"/>
  <c r="D17" i="52"/>
  <c r="Z15" i="52"/>
  <c r="X15" i="52"/>
  <c r="V15" i="52"/>
  <c r="R15" i="52"/>
  <c r="N15" i="52"/>
  <c r="L15" i="52"/>
  <c r="F15" i="52"/>
  <c r="B15" i="52"/>
  <c r="X14" i="52"/>
  <c r="V14" i="52"/>
  <c r="T14" i="52"/>
  <c r="Z14" i="52" s="1"/>
  <c r="P14" i="52"/>
  <c r="N14" i="52"/>
  <c r="H14" i="52"/>
  <c r="F14" i="52"/>
  <c r="D14" i="52"/>
  <c r="L14" i="52" s="1"/>
  <c r="T12" i="52"/>
  <c r="V31" i="52" s="1"/>
  <c r="P12" i="52"/>
  <c r="R72" i="52" s="1"/>
  <c r="L12" i="52"/>
  <c r="H12" i="52"/>
  <c r="J64" i="52" s="1"/>
  <c r="D12" i="52"/>
  <c r="F77" i="52" s="1"/>
  <c r="D6" i="52"/>
  <c r="D4" i="52"/>
  <c r="Z89" i="51"/>
  <c r="X89" i="51"/>
  <c r="N89" i="51"/>
  <c r="L89" i="51"/>
  <c r="Z85" i="51"/>
  <c r="T85" i="51"/>
  <c r="P85" i="51"/>
  <c r="X85" i="51" s="1"/>
  <c r="L85" i="51"/>
  <c r="H85" i="51"/>
  <c r="N85" i="51" s="1"/>
  <c r="D85" i="51"/>
  <c r="B85" i="51"/>
  <c r="T84" i="51"/>
  <c r="Z84" i="51" s="1"/>
  <c r="D84" i="51"/>
  <c r="Z82" i="51"/>
  <c r="X82" i="51"/>
  <c r="N82" i="51"/>
  <c r="L82" i="51"/>
  <c r="B82" i="51"/>
  <c r="T81" i="51"/>
  <c r="P81" i="51"/>
  <c r="X81" i="51" s="1"/>
  <c r="H81" i="51"/>
  <c r="D81" i="51"/>
  <c r="L81" i="51" s="1"/>
  <c r="N81" i="51" s="1"/>
  <c r="B81" i="51"/>
  <c r="X80" i="51"/>
  <c r="Z80" i="51" s="1"/>
  <c r="N80" i="51"/>
  <c r="L80" i="51"/>
  <c r="B80" i="51"/>
  <c r="T79" i="51"/>
  <c r="P79" i="51"/>
  <c r="X79" i="51" s="1"/>
  <c r="Z79" i="51" s="1"/>
  <c r="L79" i="51"/>
  <c r="H79" i="51"/>
  <c r="N79" i="51" s="1"/>
  <c r="D79" i="51"/>
  <c r="B79" i="51"/>
  <c r="Z78" i="51"/>
  <c r="X78" i="51"/>
  <c r="N78" i="51"/>
  <c r="L78" i="51"/>
  <c r="B78" i="51"/>
  <c r="X77" i="51"/>
  <c r="V77" i="51"/>
  <c r="T77" i="51"/>
  <c r="P77" i="51"/>
  <c r="N77" i="51"/>
  <c r="H77" i="51"/>
  <c r="L77" i="51" s="1"/>
  <c r="D77" i="51"/>
  <c r="B77" i="51"/>
  <c r="Z76" i="51"/>
  <c r="X76" i="51"/>
  <c r="N76" i="51"/>
  <c r="L76" i="51"/>
  <c r="B76" i="51"/>
  <c r="Z75" i="51"/>
  <c r="X75" i="51"/>
  <c r="N75" i="51"/>
  <c r="L75" i="51"/>
  <c r="B75" i="51"/>
  <c r="Z74" i="51"/>
  <c r="X74" i="51"/>
  <c r="N74" i="51"/>
  <c r="L74" i="51"/>
  <c r="B74" i="51"/>
  <c r="X73" i="51"/>
  <c r="Z73" i="51" s="1"/>
  <c r="N73" i="51"/>
  <c r="L73" i="51"/>
  <c r="B73" i="51"/>
  <c r="X72" i="51"/>
  <c r="Z72" i="51" s="1"/>
  <c r="L72" i="51"/>
  <c r="N72" i="51" s="1"/>
  <c r="B72" i="51"/>
  <c r="Z71" i="51"/>
  <c r="X71" i="51"/>
  <c r="N71" i="51"/>
  <c r="L71" i="51"/>
  <c r="B71" i="51"/>
  <c r="Z70" i="51"/>
  <c r="X70" i="51"/>
  <c r="N70" i="51"/>
  <c r="L70" i="51"/>
  <c r="B70" i="51"/>
  <c r="T69" i="51"/>
  <c r="Z69" i="51" s="1"/>
  <c r="P69" i="51"/>
  <c r="X69" i="51" s="1"/>
  <c r="H69" i="51"/>
  <c r="D69" i="51"/>
  <c r="L69" i="51" s="1"/>
  <c r="N69" i="51" s="1"/>
  <c r="B69" i="51"/>
  <c r="Z68" i="51"/>
  <c r="X68" i="51"/>
  <c r="L68" i="51"/>
  <c r="N68" i="51" s="1"/>
  <c r="B68" i="51"/>
  <c r="Z67" i="51"/>
  <c r="T67" i="51"/>
  <c r="P67" i="51"/>
  <c r="X67" i="51" s="1"/>
  <c r="L67" i="51"/>
  <c r="H67" i="51"/>
  <c r="D67" i="51"/>
  <c r="B67" i="51"/>
  <c r="Z66" i="51"/>
  <c r="X66" i="51"/>
  <c r="N66" i="51"/>
  <c r="L66" i="51"/>
  <c r="B66" i="51"/>
  <c r="X65" i="51"/>
  <c r="Z65" i="51" s="1"/>
  <c r="L65" i="51"/>
  <c r="N65" i="51" s="1"/>
  <c r="B65" i="51"/>
  <c r="Z64" i="51"/>
  <c r="X64" i="51"/>
  <c r="L64" i="51"/>
  <c r="N64" i="51" s="1"/>
  <c r="B64" i="51"/>
  <c r="Z63" i="51"/>
  <c r="X63" i="51"/>
  <c r="N63" i="51"/>
  <c r="L63" i="51"/>
  <c r="B63" i="51"/>
  <c r="T62" i="51"/>
  <c r="P62" i="51"/>
  <c r="X62" i="51" s="1"/>
  <c r="H62" i="51"/>
  <c r="D62" i="51"/>
  <c r="L62" i="51" s="1"/>
  <c r="N62" i="51" s="1"/>
  <c r="B62" i="51"/>
  <c r="X61" i="51"/>
  <c r="Z61" i="51" s="1"/>
  <c r="L61" i="51"/>
  <c r="N61" i="51" s="1"/>
  <c r="B61" i="51"/>
  <c r="Z60" i="51"/>
  <c r="X60" i="51"/>
  <c r="L60" i="51"/>
  <c r="N60" i="51" s="1"/>
  <c r="B60" i="51"/>
  <c r="Z59" i="51"/>
  <c r="X59" i="51"/>
  <c r="N59" i="51"/>
  <c r="L59" i="51"/>
  <c r="B59" i="51"/>
  <c r="T58" i="51"/>
  <c r="P58" i="51"/>
  <c r="L58" i="51"/>
  <c r="N58" i="51" s="1"/>
  <c r="H58" i="51"/>
  <c r="D58" i="51"/>
  <c r="B58" i="51"/>
  <c r="X57" i="51"/>
  <c r="Z57" i="51" s="1"/>
  <c r="L57" i="51"/>
  <c r="N57" i="51" s="1"/>
  <c r="B57" i="51"/>
  <c r="T56" i="51"/>
  <c r="P56" i="51"/>
  <c r="X56" i="51" s="1"/>
  <c r="Z56" i="51" s="1"/>
  <c r="H56" i="51"/>
  <c r="L56" i="51" s="1"/>
  <c r="D56" i="51"/>
  <c r="B56" i="51"/>
  <c r="X55" i="51"/>
  <c r="Z55" i="51" s="1"/>
  <c r="N55" i="51"/>
  <c r="L55" i="51"/>
  <c r="B55" i="51"/>
  <c r="Z54" i="51"/>
  <c r="T54" i="51"/>
  <c r="X54" i="51" s="1"/>
  <c r="P54" i="51"/>
  <c r="H54" i="51"/>
  <c r="D54" i="51"/>
  <c r="L54" i="51" s="1"/>
  <c r="B54" i="51"/>
  <c r="Z53" i="51"/>
  <c r="X53" i="51"/>
  <c r="N53" i="51"/>
  <c r="L53" i="51"/>
  <c r="B53" i="51"/>
  <c r="T52" i="51"/>
  <c r="X52" i="51" s="1"/>
  <c r="P52" i="51"/>
  <c r="H52" i="51"/>
  <c r="D52" i="51"/>
  <c r="B52" i="51"/>
  <c r="Z51" i="51"/>
  <c r="X51" i="51"/>
  <c r="L51" i="51"/>
  <c r="N51" i="51" s="1"/>
  <c r="B51" i="51"/>
  <c r="T50" i="51"/>
  <c r="P50" i="51"/>
  <c r="X50" i="51" s="1"/>
  <c r="Z50" i="51" s="1"/>
  <c r="H50" i="51"/>
  <c r="D50" i="51"/>
  <c r="L50" i="51" s="1"/>
  <c r="B50" i="51"/>
  <c r="X49" i="51"/>
  <c r="Z49" i="51" s="1"/>
  <c r="N49" i="51"/>
  <c r="L49" i="51"/>
  <c r="B49" i="51"/>
  <c r="T48" i="51"/>
  <c r="P48" i="51"/>
  <c r="X48" i="51" s="1"/>
  <c r="Z48" i="51" s="1"/>
  <c r="N48" i="51"/>
  <c r="L48" i="51"/>
  <c r="J48" i="51"/>
  <c r="H48" i="51"/>
  <c r="D48" i="51"/>
  <c r="B48" i="51"/>
  <c r="Z47" i="51"/>
  <c r="X47" i="51"/>
  <c r="L47" i="51"/>
  <c r="N47" i="51" s="1"/>
  <c r="B47" i="51"/>
  <c r="X46" i="51"/>
  <c r="Z46" i="51" s="1"/>
  <c r="V46" i="51"/>
  <c r="L46" i="51"/>
  <c r="N46" i="51" s="1"/>
  <c r="B46" i="51"/>
  <c r="X45" i="51"/>
  <c r="Z45" i="51" s="1"/>
  <c r="T45" i="51"/>
  <c r="P45" i="51"/>
  <c r="H45" i="51"/>
  <c r="D45" i="51"/>
  <c r="B45" i="51"/>
  <c r="Z44" i="51"/>
  <c r="X44" i="51"/>
  <c r="N44" i="51"/>
  <c r="L44" i="51"/>
  <c r="B44" i="51"/>
  <c r="T43" i="51"/>
  <c r="P43" i="51"/>
  <c r="H43" i="51"/>
  <c r="D43" i="51"/>
  <c r="L43" i="51" s="1"/>
  <c r="N43" i="51" s="1"/>
  <c r="B43" i="51"/>
  <c r="X42" i="51"/>
  <c r="Z42" i="51" s="1"/>
  <c r="L42" i="51"/>
  <c r="N42" i="51" s="1"/>
  <c r="B42" i="51"/>
  <c r="T41" i="51"/>
  <c r="P41" i="51"/>
  <c r="X41" i="51" s="1"/>
  <c r="Z41" i="51" s="1"/>
  <c r="H41" i="51"/>
  <c r="D41" i="51"/>
  <c r="B41" i="51"/>
  <c r="Z40" i="51"/>
  <c r="X40" i="51"/>
  <c r="N40" i="51"/>
  <c r="L40" i="51"/>
  <c r="B40" i="51"/>
  <c r="T39" i="51"/>
  <c r="P39" i="51"/>
  <c r="L39" i="51"/>
  <c r="N39" i="51" s="1"/>
  <c r="H39" i="51"/>
  <c r="D39" i="51"/>
  <c r="B39" i="51"/>
  <c r="Z38" i="51"/>
  <c r="X38" i="51"/>
  <c r="V38" i="51"/>
  <c r="N38" i="51"/>
  <c r="L38" i="51"/>
  <c r="B38" i="51"/>
  <c r="X37" i="51"/>
  <c r="Z37" i="51" s="1"/>
  <c r="N37" i="51"/>
  <c r="L37" i="51"/>
  <c r="B37" i="51"/>
  <c r="Z36" i="51"/>
  <c r="X36" i="51"/>
  <c r="N36" i="51"/>
  <c r="L36" i="51"/>
  <c r="B36" i="51"/>
  <c r="X35" i="51"/>
  <c r="Z35" i="51" s="1"/>
  <c r="N35" i="51"/>
  <c r="L35" i="51"/>
  <c r="B35" i="51"/>
  <c r="X34" i="51"/>
  <c r="Z34" i="51" s="1"/>
  <c r="L34" i="51"/>
  <c r="N34" i="51" s="1"/>
  <c r="B34" i="51"/>
  <c r="T33" i="51"/>
  <c r="P33" i="51"/>
  <c r="X33" i="51" s="1"/>
  <c r="Z33" i="51" s="1"/>
  <c r="H33" i="51"/>
  <c r="D33" i="51"/>
  <c r="B33" i="51"/>
  <c r="Z32" i="51"/>
  <c r="X32" i="51"/>
  <c r="N32" i="51"/>
  <c r="L32" i="51"/>
  <c r="B32" i="51"/>
  <c r="X31" i="51"/>
  <c r="Z31" i="51" s="1"/>
  <c r="N31" i="51"/>
  <c r="L31" i="51"/>
  <c r="B31" i="51"/>
  <c r="X30" i="51"/>
  <c r="Z30" i="51" s="1"/>
  <c r="L30" i="51"/>
  <c r="N30" i="51" s="1"/>
  <c r="B30" i="51"/>
  <c r="Z29" i="51"/>
  <c r="X29" i="51"/>
  <c r="N29" i="51"/>
  <c r="L29" i="51"/>
  <c r="B29" i="51"/>
  <c r="Z28" i="51"/>
  <c r="X28" i="51"/>
  <c r="N28" i="51"/>
  <c r="L28" i="51"/>
  <c r="B28" i="51"/>
  <c r="Z27" i="51"/>
  <c r="X27" i="51"/>
  <c r="R27" i="51"/>
  <c r="L27" i="51"/>
  <c r="N27" i="51" s="1"/>
  <c r="B27" i="51"/>
  <c r="X26" i="51"/>
  <c r="Z26" i="51" s="1"/>
  <c r="V26" i="51"/>
  <c r="L26" i="51"/>
  <c r="N26" i="51" s="1"/>
  <c r="B26" i="51"/>
  <c r="X25" i="51"/>
  <c r="Z25" i="51" s="1"/>
  <c r="N25" i="51"/>
  <c r="L25" i="51"/>
  <c r="B25" i="51"/>
  <c r="Z24" i="51"/>
  <c r="X24" i="51"/>
  <c r="N24" i="51"/>
  <c r="L24" i="51"/>
  <c r="B24" i="51"/>
  <c r="T23" i="51"/>
  <c r="P23" i="51"/>
  <c r="L23" i="51"/>
  <c r="N23" i="51" s="1"/>
  <c r="H23" i="51"/>
  <c r="D23" i="51"/>
  <c r="B23" i="51"/>
  <c r="V22" i="51"/>
  <c r="T22" i="51" a="1"/>
  <c r="T22" i="51"/>
  <c r="Z22" i="51" s="1"/>
  <c r="P22" i="51" a="1"/>
  <c r="P22" i="51" s="1"/>
  <c r="X22" i="51" s="1"/>
  <c r="H22" i="51" a="1"/>
  <c r="H22" i="51" s="1"/>
  <c r="D22" i="51" a="1"/>
  <c r="D22" i="51" s="1"/>
  <c r="X18" i="51"/>
  <c r="Z18" i="51" s="1"/>
  <c r="L18" i="51"/>
  <c r="N18" i="51" s="1"/>
  <c r="B18" i="51"/>
  <c r="X17" i="51"/>
  <c r="Z17" i="51" s="1"/>
  <c r="L17" i="51"/>
  <c r="N17" i="51" s="1"/>
  <c r="B17" i="51"/>
  <c r="T16" i="51"/>
  <c r="X16" i="51" s="1"/>
  <c r="Z16" i="51" s="1"/>
  <c r="R16" i="51"/>
  <c r="P16" i="51"/>
  <c r="H16" i="51"/>
  <c r="D16" i="51"/>
  <c r="L16" i="51" s="1"/>
  <c r="T14" i="51"/>
  <c r="P14" i="51"/>
  <c r="X14" i="51" s="1"/>
  <c r="Z14" i="51" s="1"/>
  <c r="H14" i="51"/>
  <c r="D14" i="51"/>
  <c r="L14" i="51" s="1"/>
  <c r="N14" i="51" s="1"/>
  <c r="B14" i="51"/>
  <c r="T13" i="51"/>
  <c r="P13" i="51"/>
  <c r="P12" i="51" s="1"/>
  <c r="R79" i="51" s="1"/>
  <c r="H13" i="51"/>
  <c r="D13" i="51"/>
  <c r="B13" i="51"/>
  <c r="T12" i="51"/>
  <c r="V74" i="51" s="1"/>
  <c r="H12" i="51"/>
  <c r="D6" i="51"/>
  <c r="D4" i="51"/>
  <c r="Z39" i="50"/>
  <c r="X39" i="50"/>
  <c r="N39" i="50"/>
  <c r="L39" i="50"/>
  <c r="Z35" i="50"/>
  <c r="T35" i="50"/>
  <c r="P35" i="50"/>
  <c r="X35" i="50" s="1"/>
  <c r="H35" i="50"/>
  <c r="N35" i="50" s="1"/>
  <c r="D35" i="50"/>
  <c r="L35" i="50" s="1"/>
  <c r="Z33" i="50"/>
  <c r="X33" i="50"/>
  <c r="N33" i="50"/>
  <c r="L33" i="50"/>
  <c r="B33" i="50"/>
  <c r="Z32" i="50"/>
  <c r="X32" i="50"/>
  <c r="R32" i="50"/>
  <c r="N32" i="50"/>
  <c r="L32" i="50"/>
  <c r="B32" i="50"/>
  <c r="T31" i="50"/>
  <c r="P31" i="50"/>
  <c r="X31" i="50" s="1"/>
  <c r="H31" i="50"/>
  <c r="L31" i="50" s="1"/>
  <c r="N31" i="50" s="1"/>
  <c r="D31" i="50"/>
  <c r="B31" i="50"/>
  <c r="X30" i="50"/>
  <c r="Z30" i="50" s="1"/>
  <c r="N30" i="50"/>
  <c r="L30" i="50"/>
  <c r="B30" i="50"/>
  <c r="T29" i="50"/>
  <c r="X29" i="50" s="1"/>
  <c r="Z29" i="50" s="1"/>
  <c r="R29" i="50"/>
  <c r="P29" i="50"/>
  <c r="L29" i="50"/>
  <c r="H29" i="50"/>
  <c r="N29" i="50" s="1"/>
  <c r="D29" i="50"/>
  <c r="B29" i="50"/>
  <c r="Z28" i="50"/>
  <c r="X28" i="50"/>
  <c r="N28" i="50"/>
  <c r="L28" i="50"/>
  <c r="B28" i="50"/>
  <c r="X27" i="50"/>
  <c r="T27" i="50"/>
  <c r="Z27" i="50" s="1"/>
  <c r="P27" i="50"/>
  <c r="N27" i="50"/>
  <c r="H27" i="50"/>
  <c r="D27" i="50"/>
  <c r="L27" i="50" s="1"/>
  <c r="B27" i="50"/>
  <c r="X26" i="50"/>
  <c r="Z26" i="50" s="1"/>
  <c r="L26" i="50"/>
  <c r="N26" i="50" s="1"/>
  <c r="B26" i="50"/>
  <c r="Z25" i="50"/>
  <c r="T25" i="50"/>
  <c r="P25" i="50"/>
  <c r="X25" i="50" s="1"/>
  <c r="H25" i="50"/>
  <c r="D25" i="50"/>
  <c r="L25" i="50" s="1"/>
  <c r="B25" i="50"/>
  <c r="Z24" i="50"/>
  <c r="X24" i="50"/>
  <c r="N24" i="50"/>
  <c r="L24" i="50"/>
  <c r="B24" i="50"/>
  <c r="T23" i="50"/>
  <c r="Z23" i="50" s="1"/>
  <c r="P23" i="50"/>
  <c r="X23" i="50" s="1"/>
  <c r="N23" i="50"/>
  <c r="H23" i="50"/>
  <c r="L23" i="50" s="1"/>
  <c r="D23" i="50"/>
  <c r="B23" i="50"/>
  <c r="X22" i="50"/>
  <c r="Z22" i="50" s="1"/>
  <c r="N22" i="50"/>
  <c r="L22" i="50"/>
  <c r="B22" i="50"/>
  <c r="T21" i="50"/>
  <c r="X21" i="50" s="1"/>
  <c r="Z21" i="50" s="1"/>
  <c r="R21" i="50"/>
  <c r="P21" i="50"/>
  <c r="L21" i="50"/>
  <c r="H21" i="50"/>
  <c r="N21" i="50" s="1"/>
  <c r="D21" i="50"/>
  <c r="B21" i="50"/>
  <c r="T20" i="50" a="1"/>
  <c r="T20" i="50" s="1"/>
  <c r="P20" i="50" a="1"/>
  <c r="P20" i="50"/>
  <c r="H20" i="50" a="1"/>
  <c r="H20" i="50" s="1"/>
  <c r="D20" i="50" a="1"/>
  <c r="D20" i="50"/>
  <c r="Z16" i="50"/>
  <c r="X16" i="50"/>
  <c r="N16" i="50"/>
  <c r="L16" i="50"/>
  <c r="B16" i="50"/>
  <c r="X15" i="50"/>
  <c r="T15" i="50"/>
  <c r="Z15" i="50" s="1"/>
  <c r="P15" i="50"/>
  <c r="N15" i="50"/>
  <c r="H15" i="50"/>
  <c r="L15" i="50" s="1"/>
  <c r="D15" i="50"/>
  <c r="T13" i="50"/>
  <c r="X13" i="50" s="1"/>
  <c r="P13" i="50"/>
  <c r="P12" i="50" s="1"/>
  <c r="R24" i="50" s="1"/>
  <c r="H13" i="50"/>
  <c r="D13" i="50"/>
  <c r="D12" i="50" s="1"/>
  <c r="F15" i="50" s="1"/>
  <c r="B13" i="50"/>
  <c r="D6" i="50"/>
  <c r="D4" i="50"/>
  <c r="F46" i="49"/>
  <c r="R43" i="49"/>
  <c r="F43" i="49"/>
  <c r="Z41" i="49"/>
  <c r="X41" i="49"/>
  <c r="R41" i="49"/>
  <c r="N41" i="49"/>
  <c r="L41" i="49"/>
  <c r="F41" i="49"/>
  <c r="F39" i="49"/>
  <c r="T37" i="49"/>
  <c r="Z37" i="49" s="1"/>
  <c r="R37" i="49"/>
  <c r="P37" i="49"/>
  <c r="X37" i="49" s="1"/>
  <c r="N37" i="49"/>
  <c r="L37" i="49"/>
  <c r="H37" i="49"/>
  <c r="F37" i="49"/>
  <c r="D37" i="49"/>
  <c r="Z35" i="49"/>
  <c r="X35" i="49"/>
  <c r="R35" i="49"/>
  <c r="N35" i="49"/>
  <c r="L35" i="49"/>
  <c r="F35" i="49"/>
  <c r="B35" i="49"/>
  <c r="V34" i="49"/>
  <c r="T34" i="49"/>
  <c r="P34" i="49"/>
  <c r="X34" i="49" s="1"/>
  <c r="N34" i="49"/>
  <c r="H34" i="49"/>
  <c r="L34" i="49" s="1"/>
  <c r="F34" i="49"/>
  <c r="D34" i="49"/>
  <c r="B34" i="49"/>
  <c r="X33" i="49"/>
  <c r="Z33" i="49" s="1"/>
  <c r="N33" i="49"/>
  <c r="L33" i="49"/>
  <c r="B33" i="49"/>
  <c r="T32" i="49"/>
  <c r="X32" i="49" s="1"/>
  <c r="Z32" i="49" s="1"/>
  <c r="R32" i="49"/>
  <c r="P32" i="49"/>
  <c r="L32" i="49"/>
  <c r="H32" i="49"/>
  <c r="N32" i="49" s="1"/>
  <c r="D32" i="49"/>
  <c r="B32" i="49"/>
  <c r="Z31" i="49"/>
  <c r="X31" i="49"/>
  <c r="R31" i="49"/>
  <c r="N31" i="49"/>
  <c r="L31" i="49"/>
  <c r="F31" i="49"/>
  <c r="B31" i="49"/>
  <c r="X30" i="49"/>
  <c r="Z30" i="49" s="1"/>
  <c r="R30" i="49"/>
  <c r="L30" i="49"/>
  <c r="N30" i="49" s="1"/>
  <c r="J30" i="49"/>
  <c r="B30" i="49"/>
  <c r="T29" i="49"/>
  <c r="R29" i="49"/>
  <c r="P29" i="49"/>
  <c r="X29" i="49" s="1"/>
  <c r="Z29" i="49" s="1"/>
  <c r="H29" i="49"/>
  <c r="N29" i="49" s="1"/>
  <c r="D29" i="49"/>
  <c r="L29" i="49" s="1"/>
  <c r="B29" i="49"/>
  <c r="Z28" i="49"/>
  <c r="X28" i="49"/>
  <c r="R28" i="49"/>
  <c r="N28" i="49"/>
  <c r="L28" i="49"/>
  <c r="F28" i="49"/>
  <c r="B28" i="49"/>
  <c r="T27" i="49"/>
  <c r="R27" i="49"/>
  <c r="P27" i="49"/>
  <c r="X27" i="49" s="1"/>
  <c r="L27" i="49"/>
  <c r="N27" i="49" s="1"/>
  <c r="H27" i="49"/>
  <c r="F27" i="49"/>
  <c r="D27" i="49"/>
  <c r="B27" i="49"/>
  <c r="X26" i="49"/>
  <c r="Z26" i="49" s="1"/>
  <c r="V26" i="49"/>
  <c r="N26" i="49"/>
  <c r="L26" i="49"/>
  <c r="B26" i="49"/>
  <c r="X25" i="49"/>
  <c r="Z25" i="49" s="1"/>
  <c r="T25" i="49"/>
  <c r="R25" i="49"/>
  <c r="P25" i="49"/>
  <c r="H25" i="49"/>
  <c r="N25" i="49" s="1"/>
  <c r="D25" i="49"/>
  <c r="B25" i="49"/>
  <c r="Z24" i="49"/>
  <c r="X24" i="49"/>
  <c r="R24" i="49"/>
  <c r="N24" i="49"/>
  <c r="L24" i="49"/>
  <c r="F24" i="49"/>
  <c r="B24" i="49"/>
  <c r="Z23" i="49"/>
  <c r="X23" i="49"/>
  <c r="R23" i="49"/>
  <c r="N23" i="49"/>
  <c r="L23" i="49"/>
  <c r="F23" i="49"/>
  <c r="B23" i="49"/>
  <c r="X22" i="49"/>
  <c r="Z22" i="49" s="1"/>
  <c r="V22" i="49"/>
  <c r="N22" i="49"/>
  <c r="L22" i="49"/>
  <c r="B22" i="49"/>
  <c r="X21" i="49"/>
  <c r="Z21" i="49" s="1"/>
  <c r="N21" i="49"/>
  <c r="L21" i="49"/>
  <c r="B21" i="49"/>
  <c r="Z20" i="49"/>
  <c r="X20" i="49"/>
  <c r="R20" i="49"/>
  <c r="N20" i="49"/>
  <c r="L20" i="49"/>
  <c r="F20" i="49"/>
  <c r="B20" i="49"/>
  <c r="T19" i="49"/>
  <c r="R19" i="49"/>
  <c r="P19" i="49"/>
  <c r="X19" i="49" s="1"/>
  <c r="N19" i="49"/>
  <c r="H19" i="49"/>
  <c r="F19" i="49"/>
  <c r="D19" i="49"/>
  <c r="L19" i="49" s="1"/>
  <c r="B19" i="49"/>
  <c r="V18" i="49"/>
  <c r="T18" i="49" a="1"/>
  <c r="T18" i="49" s="1"/>
  <c r="R18" i="49"/>
  <c r="P18" i="49" a="1"/>
  <c r="P18" i="49" s="1"/>
  <c r="H18" i="49" a="1"/>
  <c r="H18" i="49" s="1"/>
  <c r="F18" i="49"/>
  <c r="D18" i="49" a="1"/>
  <c r="D18" i="49" s="1"/>
  <c r="L18" i="49" s="1"/>
  <c r="V16" i="49"/>
  <c r="P16" i="49"/>
  <c r="F16" i="49"/>
  <c r="X14" i="49"/>
  <c r="T14" i="49"/>
  <c r="Z14" i="49" s="1"/>
  <c r="P14" i="49"/>
  <c r="N14" i="49"/>
  <c r="H14" i="49"/>
  <c r="F14" i="49"/>
  <c r="D14" i="49"/>
  <c r="L14" i="49" s="1"/>
  <c r="T12" i="49"/>
  <c r="V14" i="49" s="1"/>
  <c r="P12" i="49"/>
  <c r="R33" i="49" s="1"/>
  <c r="H12" i="49"/>
  <c r="D12" i="49"/>
  <c r="F29" i="49" s="1"/>
  <c r="D6" i="49"/>
  <c r="D4" i="49"/>
  <c r="J45" i="48"/>
  <c r="R42" i="48"/>
  <c r="J42" i="48"/>
  <c r="Z40" i="48"/>
  <c r="X40" i="48"/>
  <c r="N40" i="48"/>
  <c r="L40" i="48"/>
  <c r="J38" i="48"/>
  <c r="Z36" i="48"/>
  <c r="T36" i="48"/>
  <c r="X36" i="48" s="1"/>
  <c r="P36" i="48"/>
  <c r="J36" i="48"/>
  <c r="H36" i="48"/>
  <c r="N36" i="48" s="1"/>
  <c r="D36" i="48"/>
  <c r="L36" i="48" s="1"/>
  <c r="Z34" i="48"/>
  <c r="X34" i="48"/>
  <c r="N34" i="48"/>
  <c r="L34" i="48"/>
  <c r="B34" i="48"/>
  <c r="V33" i="48"/>
  <c r="T33" i="48"/>
  <c r="P33" i="48"/>
  <c r="X33" i="48" s="1"/>
  <c r="H33" i="48"/>
  <c r="D33" i="48"/>
  <c r="L33" i="48" s="1"/>
  <c r="N33" i="48" s="1"/>
  <c r="B33" i="48"/>
  <c r="X32" i="48"/>
  <c r="Z32" i="48" s="1"/>
  <c r="V32" i="48"/>
  <c r="L32" i="48"/>
  <c r="N32" i="48" s="1"/>
  <c r="J32" i="48"/>
  <c r="B32" i="48"/>
  <c r="X31" i="48"/>
  <c r="Z31" i="48" s="1"/>
  <c r="T31" i="48"/>
  <c r="P31" i="48"/>
  <c r="J31" i="48"/>
  <c r="H31" i="48"/>
  <c r="D31" i="48"/>
  <c r="B31" i="48"/>
  <c r="Z30" i="48"/>
  <c r="X30" i="48"/>
  <c r="N30" i="48"/>
  <c r="L30" i="48"/>
  <c r="B30" i="48"/>
  <c r="V29" i="48"/>
  <c r="T29" i="48"/>
  <c r="P29" i="48"/>
  <c r="N29" i="48"/>
  <c r="L29" i="48"/>
  <c r="J29" i="48"/>
  <c r="H29" i="48"/>
  <c r="D29" i="48"/>
  <c r="B29" i="48"/>
  <c r="X28" i="48"/>
  <c r="Z28" i="48" s="1"/>
  <c r="V28" i="48"/>
  <c r="N28" i="48"/>
  <c r="L28" i="48"/>
  <c r="J28" i="48"/>
  <c r="B28" i="48"/>
  <c r="X27" i="48"/>
  <c r="Z27" i="48" s="1"/>
  <c r="N27" i="48"/>
  <c r="L27" i="48"/>
  <c r="B27" i="48"/>
  <c r="Z26" i="48"/>
  <c r="T26" i="48"/>
  <c r="X26" i="48" s="1"/>
  <c r="P26" i="48"/>
  <c r="L26" i="48"/>
  <c r="J26" i="48"/>
  <c r="H26" i="48"/>
  <c r="D26" i="48"/>
  <c r="B26" i="48"/>
  <c r="Z25" i="48"/>
  <c r="X25" i="48"/>
  <c r="V25" i="48"/>
  <c r="N25" i="48"/>
  <c r="L25" i="48"/>
  <c r="J25" i="48"/>
  <c r="B25" i="48"/>
  <c r="X24" i="48"/>
  <c r="V24" i="48"/>
  <c r="T24" i="48"/>
  <c r="P24" i="48"/>
  <c r="H24" i="48"/>
  <c r="N24" i="48" s="1"/>
  <c r="D24" i="48"/>
  <c r="B24" i="48"/>
  <c r="X23" i="48"/>
  <c r="Z23" i="48" s="1"/>
  <c r="N23" i="48"/>
  <c r="L23" i="48"/>
  <c r="J23" i="48"/>
  <c r="B23" i="48"/>
  <c r="T22" i="48"/>
  <c r="P22" i="48"/>
  <c r="L22" i="48"/>
  <c r="J22" i="48"/>
  <c r="H22" i="48"/>
  <c r="D22" i="48"/>
  <c r="B22" i="48"/>
  <c r="Z21" i="48"/>
  <c r="X21" i="48"/>
  <c r="V21" i="48"/>
  <c r="R21" i="48"/>
  <c r="N21" i="48"/>
  <c r="L21" i="48"/>
  <c r="J21" i="48"/>
  <c r="B21" i="48"/>
  <c r="X20" i="48"/>
  <c r="V20" i="48"/>
  <c r="T20" i="48"/>
  <c r="Z20" i="48" s="1"/>
  <c r="P20" i="48"/>
  <c r="N20" i="48"/>
  <c r="H20" i="48"/>
  <c r="L20" i="48" s="1"/>
  <c r="D20" i="48"/>
  <c r="B20" i="48"/>
  <c r="V19" i="48"/>
  <c r="T19" i="48" a="1"/>
  <c r="T19" i="48"/>
  <c r="P19" i="48" a="1"/>
  <c r="P19" i="48" s="1"/>
  <c r="X19" i="48" s="1"/>
  <c r="Z19" i="48" s="1"/>
  <c r="L19" i="48"/>
  <c r="J19" i="48"/>
  <c r="H19" i="48" a="1"/>
  <c r="H19" i="48"/>
  <c r="N19" i="48" s="1"/>
  <c r="D19" i="48" a="1"/>
  <c r="D19" i="48" s="1"/>
  <c r="V17" i="48"/>
  <c r="R17" i="48"/>
  <c r="J17" i="48"/>
  <c r="H17" i="48"/>
  <c r="Z15" i="48"/>
  <c r="X15" i="48"/>
  <c r="N15" i="48"/>
  <c r="L15" i="48"/>
  <c r="J15" i="48"/>
  <c r="B15" i="48"/>
  <c r="Z14" i="48"/>
  <c r="T14" i="48"/>
  <c r="P14" i="48"/>
  <c r="X14" i="48" s="1"/>
  <c r="N14" i="48"/>
  <c r="L14" i="48"/>
  <c r="J14" i="48"/>
  <c r="H14" i="48"/>
  <c r="D14" i="48"/>
  <c r="Z12" i="48"/>
  <c r="T12" i="48"/>
  <c r="V27" i="48" s="1"/>
  <c r="P12" i="48"/>
  <c r="N12" i="48"/>
  <c r="H12" i="48"/>
  <c r="J40" i="48" s="1"/>
  <c r="D12" i="48"/>
  <c r="D6" i="48"/>
  <c r="D4" i="48"/>
  <c r="Z84" i="47"/>
  <c r="X84" i="47"/>
  <c r="N84" i="47"/>
  <c r="L84" i="47"/>
  <c r="T80" i="47"/>
  <c r="P80" i="47"/>
  <c r="X80" i="47" s="1"/>
  <c r="H80" i="47"/>
  <c r="N80" i="47" s="1"/>
  <c r="D80" i="47"/>
  <c r="B80" i="47"/>
  <c r="X79" i="47"/>
  <c r="Z79" i="47" s="1"/>
  <c r="T79" i="47"/>
  <c r="P79" i="47"/>
  <c r="P78" i="47" s="1"/>
  <c r="X78" i="47" s="1"/>
  <c r="Z78" i="47" s="1"/>
  <c r="H79" i="47"/>
  <c r="D79" i="47"/>
  <c r="B79" i="47"/>
  <c r="T78" i="47"/>
  <c r="D78" i="47"/>
  <c r="Z76" i="47"/>
  <c r="X76" i="47"/>
  <c r="N76" i="47"/>
  <c r="L76" i="47"/>
  <c r="B76" i="47"/>
  <c r="T75" i="47"/>
  <c r="P75" i="47"/>
  <c r="N75" i="47"/>
  <c r="L75" i="47"/>
  <c r="H75" i="47"/>
  <c r="D75" i="47"/>
  <c r="B75" i="47"/>
  <c r="X74" i="47"/>
  <c r="Z74" i="47" s="1"/>
  <c r="N74" i="47"/>
  <c r="L74" i="47"/>
  <c r="B74" i="47"/>
  <c r="Z73" i="47"/>
  <c r="X73" i="47"/>
  <c r="N73" i="47"/>
  <c r="L73" i="47"/>
  <c r="B73" i="47"/>
  <c r="T72" i="47"/>
  <c r="P72" i="47"/>
  <c r="N72" i="47"/>
  <c r="H72" i="47"/>
  <c r="D72" i="47"/>
  <c r="L72" i="47" s="1"/>
  <c r="B72" i="47"/>
  <c r="Z71" i="47"/>
  <c r="X71" i="47"/>
  <c r="L71" i="47"/>
  <c r="N71" i="47" s="1"/>
  <c r="B71" i="47"/>
  <c r="X70" i="47"/>
  <c r="Z70" i="47" s="1"/>
  <c r="T70" i="47"/>
  <c r="P70" i="47"/>
  <c r="H70" i="47"/>
  <c r="D70" i="47"/>
  <c r="B70" i="47"/>
  <c r="X69" i="47"/>
  <c r="Z69" i="47" s="1"/>
  <c r="N69" i="47"/>
  <c r="L69" i="47"/>
  <c r="B69" i="47"/>
  <c r="T68" i="47"/>
  <c r="P68" i="47"/>
  <c r="H68" i="47"/>
  <c r="D68" i="47"/>
  <c r="L68" i="47" s="1"/>
  <c r="B68" i="47"/>
  <c r="Z67" i="47"/>
  <c r="X67" i="47"/>
  <c r="N67" i="47"/>
  <c r="L67" i="47"/>
  <c r="J67" i="47"/>
  <c r="B67" i="47"/>
  <c r="X66" i="47"/>
  <c r="Z66" i="47" s="1"/>
  <c r="N66" i="47"/>
  <c r="L66" i="47"/>
  <c r="B66" i="47"/>
  <c r="X65" i="47"/>
  <c r="Z65" i="47" s="1"/>
  <c r="V65" i="47"/>
  <c r="N65" i="47"/>
  <c r="L65" i="47"/>
  <c r="B65" i="47"/>
  <c r="X64" i="47"/>
  <c r="T64" i="47"/>
  <c r="Z64" i="47" s="1"/>
  <c r="P64" i="47"/>
  <c r="H64" i="47"/>
  <c r="N64" i="47" s="1"/>
  <c r="D64" i="47"/>
  <c r="B64" i="47"/>
  <c r="Z63" i="47"/>
  <c r="X63" i="47"/>
  <c r="V63" i="47"/>
  <c r="N63" i="47"/>
  <c r="L63" i="47"/>
  <c r="B63" i="47"/>
  <c r="X62" i="47"/>
  <c r="V62" i="47"/>
  <c r="T62" i="47"/>
  <c r="P62" i="47"/>
  <c r="N62" i="47"/>
  <c r="H62" i="47"/>
  <c r="D62" i="47"/>
  <c r="L62" i="47" s="1"/>
  <c r="B62" i="47"/>
  <c r="Z61" i="47"/>
  <c r="X61" i="47"/>
  <c r="N61" i="47"/>
  <c r="L61" i="47"/>
  <c r="B61" i="47"/>
  <c r="Z60" i="47"/>
  <c r="X60" i="47"/>
  <c r="L60" i="47"/>
  <c r="N60" i="47" s="1"/>
  <c r="B60" i="47"/>
  <c r="Z59" i="47"/>
  <c r="X59" i="47"/>
  <c r="V59" i="47"/>
  <c r="N59" i="47"/>
  <c r="L59" i="47"/>
  <c r="B59" i="47"/>
  <c r="V58" i="47"/>
  <c r="T58" i="47"/>
  <c r="P58" i="47"/>
  <c r="H58" i="47"/>
  <c r="D58" i="47"/>
  <c r="L58" i="47" s="1"/>
  <c r="N58" i="47" s="1"/>
  <c r="B58" i="47"/>
  <c r="X57" i="47"/>
  <c r="Z57" i="47" s="1"/>
  <c r="L57" i="47"/>
  <c r="N57" i="47" s="1"/>
  <c r="B57" i="47"/>
  <c r="Z56" i="47"/>
  <c r="X56" i="47"/>
  <c r="N56" i="47"/>
  <c r="L56" i="47"/>
  <c r="B56" i="47"/>
  <c r="Z55" i="47"/>
  <c r="X55" i="47"/>
  <c r="N55" i="47"/>
  <c r="L55" i="47"/>
  <c r="B55" i="47"/>
  <c r="X54" i="47"/>
  <c r="Z54" i="47" s="1"/>
  <c r="L54" i="47"/>
  <c r="N54" i="47" s="1"/>
  <c r="B54" i="47"/>
  <c r="V53" i="47"/>
  <c r="T53" i="47"/>
  <c r="P53" i="47"/>
  <c r="X53" i="47" s="1"/>
  <c r="Z53" i="47" s="1"/>
  <c r="H53" i="47"/>
  <c r="D53" i="47"/>
  <c r="B53" i="47"/>
  <c r="Z52" i="47"/>
  <c r="X52" i="47"/>
  <c r="R52" i="47"/>
  <c r="N52" i="47"/>
  <c r="L52" i="47"/>
  <c r="B52" i="47"/>
  <c r="T51" i="47"/>
  <c r="Z51" i="47" s="1"/>
  <c r="P51" i="47"/>
  <c r="N51" i="47"/>
  <c r="H51" i="47"/>
  <c r="D51" i="47"/>
  <c r="L51" i="47" s="1"/>
  <c r="B51" i="47"/>
  <c r="Z50" i="47"/>
  <c r="X50" i="47"/>
  <c r="L50" i="47"/>
  <c r="N50" i="47" s="1"/>
  <c r="B50" i="47"/>
  <c r="X49" i="47"/>
  <c r="Z49" i="47" s="1"/>
  <c r="T49" i="47"/>
  <c r="P49" i="47"/>
  <c r="L49" i="47"/>
  <c r="N49" i="47" s="1"/>
  <c r="H49" i="47"/>
  <c r="D49" i="47"/>
  <c r="B49" i="47"/>
  <c r="X48" i="47"/>
  <c r="Z48" i="47" s="1"/>
  <c r="V48" i="47"/>
  <c r="N48" i="47"/>
  <c r="L48" i="47"/>
  <c r="B48" i="47"/>
  <c r="Z47" i="47"/>
  <c r="X47" i="47"/>
  <c r="T47" i="47"/>
  <c r="P47" i="47"/>
  <c r="H47" i="47"/>
  <c r="N47" i="47" s="1"/>
  <c r="D47" i="47"/>
  <c r="B47" i="47"/>
  <c r="X46" i="47"/>
  <c r="Z46" i="47" s="1"/>
  <c r="R46" i="47"/>
  <c r="N46" i="47"/>
  <c r="L46" i="47"/>
  <c r="B46" i="47"/>
  <c r="V45" i="47"/>
  <c r="T45" i="47"/>
  <c r="P45" i="47"/>
  <c r="J45" i="47"/>
  <c r="H45" i="47"/>
  <c r="N45" i="47" s="1"/>
  <c r="D45" i="47"/>
  <c r="L45" i="47" s="1"/>
  <c r="B45" i="47"/>
  <c r="Z44" i="47"/>
  <c r="X44" i="47"/>
  <c r="R44" i="47"/>
  <c r="L44" i="47"/>
  <c r="N44" i="47" s="1"/>
  <c r="B44" i="47"/>
  <c r="V43" i="47"/>
  <c r="T43" i="47"/>
  <c r="P43" i="47"/>
  <c r="X43" i="47" s="1"/>
  <c r="L43" i="47"/>
  <c r="H43" i="47"/>
  <c r="N43" i="47" s="1"/>
  <c r="D43" i="47"/>
  <c r="B43" i="47"/>
  <c r="Z42" i="47"/>
  <c r="X42" i="47"/>
  <c r="N42" i="47"/>
  <c r="L42" i="47"/>
  <c r="B42" i="47"/>
  <c r="X41" i="47"/>
  <c r="T41" i="47"/>
  <c r="Z41" i="47" s="1"/>
  <c r="P41" i="47"/>
  <c r="N41" i="47"/>
  <c r="L41" i="47"/>
  <c r="H41" i="47"/>
  <c r="D41" i="47"/>
  <c r="B41" i="47"/>
  <c r="X40" i="47"/>
  <c r="Z40" i="47" s="1"/>
  <c r="V40" i="47"/>
  <c r="N40" i="47"/>
  <c r="L40" i="47"/>
  <c r="B40" i="47"/>
  <c r="Z39" i="47"/>
  <c r="X39" i="47"/>
  <c r="N39" i="47"/>
  <c r="L39" i="47"/>
  <c r="B39" i="47"/>
  <c r="Z38" i="47"/>
  <c r="T38" i="47"/>
  <c r="P38" i="47"/>
  <c r="X38" i="47" s="1"/>
  <c r="L38" i="47"/>
  <c r="N38" i="47" s="1"/>
  <c r="H38" i="47"/>
  <c r="D38" i="47"/>
  <c r="B38" i="47"/>
  <c r="Z37" i="47"/>
  <c r="X37" i="47"/>
  <c r="V37" i="47"/>
  <c r="L37" i="47"/>
  <c r="N37" i="47" s="1"/>
  <c r="B37" i="47"/>
  <c r="X36" i="47"/>
  <c r="Z36" i="47" s="1"/>
  <c r="V36" i="47"/>
  <c r="T36" i="47"/>
  <c r="P36" i="47"/>
  <c r="L36" i="47"/>
  <c r="H36" i="47"/>
  <c r="D36" i="47"/>
  <c r="B36" i="47"/>
  <c r="Z35" i="47"/>
  <c r="X35" i="47"/>
  <c r="V35" i="47"/>
  <c r="N35" i="47"/>
  <c r="L35" i="47"/>
  <c r="B35" i="47"/>
  <c r="X34" i="47"/>
  <c r="T34" i="47"/>
  <c r="R34" i="47"/>
  <c r="P34" i="47"/>
  <c r="H34" i="47"/>
  <c r="N34" i="47" s="1"/>
  <c r="D34" i="47"/>
  <c r="B34" i="47"/>
  <c r="Z33" i="47"/>
  <c r="X33" i="47"/>
  <c r="N33" i="47"/>
  <c r="L33" i="47"/>
  <c r="F33" i="47"/>
  <c r="B33" i="47"/>
  <c r="Z32" i="47"/>
  <c r="X32" i="47"/>
  <c r="R32" i="47"/>
  <c r="L32" i="47"/>
  <c r="N32" i="47" s="1"/>
  <c r="J32" i="47"/>
  <c r="B32" i="47"/>
  <c r="Z31" i="47"/>
  <c r="X31" i="47"/>
  <c r="V31" i="47"/>
  <c r="N31" i="47"/>
  <c r="L31" i="47"/>
  <c r="B31" i="47"/>
  <c r="X30" i="47"/>
  <c r="Z30" i="47" s="1"/>
  <c r="R30" i="47"/>
  <c r="N30" i="47"/>
  <c r="L30" i="47"/>
  <c r="B30" i="47"/>
  <c r="Z29" i="47"/>
  <c r="X29" i="47"/>
  <c r="V29" i="47"/>
  <c r="R29" i="47"/>
  <c r="L29" i="47"/>
  <c r="N29" i="47" s="1"/>
  <c r="B29" i="47"/>
  <c r="X28" i="47"/>
  <c r="Z28" i="47" s="1"/>
  <c r="V28" i="47"/>
  <c r="T28" i="47"/>
  <c r="P28" i="47"/>
  <c r="H28" i="47"/>
  <c r="D28" i="47"/>
  <c r="B28" i="47"/>
  <c r="Z27" i="47"/>
  <c r="X27" i="47"/>
  <c r="V27" i="47"/>
  <c r="L27" i="47"/>
  <c r="N27" i="47" s="1"/>
  <c r="B27" i="47"/>
  <c r="X26" i="47"/>
  <c r="Z26" i="47" s="1"/>
  <c r="R26" i="47"/>
  <c r="N26" i="47"/>
  <c r="L26" i="47"/>
  <c r="B26" i="47"/>
  <c r="Z25" i="47"/>
  <c r="X25" i="47"/>
  <c r="V25" i="47"/>
  <c r="R25" i="47"/>
  <c r="L25" i="47"/>
  <c r="N25" i="47" s="1"/>
  <c r="B25" i="47"/>
  <c r="X24" i="47"/>
  <c r="Z24" i="47" s="1"/>
  <c r="V24" i="47"/>
  <c r="N24" i="47"/>
  <c r="L24" i="47"/>
  <c r="B24" i="47"/>
  <c r="X23" i="47"/>
  <c r="Z23" i="47" s="1"/>
  <c r="N23" i="47"/>
  <c r="L23" i="47"/>
  <c r="B23" i="47"/>
  <c r="Z22" i="47"/>
  <c r="X22" i="47"/>
  <c r="L22" i="47"/>
  <c r="N22" i="47" s="1"/>
  <c r="B22" i="47"/>
  <c r="X21" i="47"/>
  <c r="Z21" i="47" s="1"/>
  <c r="N21" i="47"/>
  <c r="L21" i="47"/>
  <c r="F21" i="47"/>
  <c r="B21" i="47"/>
  <c r="Z20" i="47"/>
  <c r="X20" i="47"/>
  <c r="R20" i="47"/>
  <c r="L20" i="47"/>
  <c r="N20" i="47" s="1"/>
  <c r="J20" i="47"/>
  <c r="B20" i="47"/>
  <c r="V19" i="47"/>
  <c r="T19" i="47"/>
  <c r="Z19" i="47" s="1"/>
  <c r="R19" i="47"/>
  <c r="P19" i="47"/>
  <c r="X19" i="47" s="1"/>
  <c r="L19" i="47"/>
  <c r="H19" i="47"/>
  <c r="N19" i="47" s="1"/>
  <c r="D19" i="47"/>
  <c r="B19" i="47"/>
  <c r="T18" i="47" a="1"/>
  <c r="T18" i="47" s="1"/>
  <c r="R18" i="47"/>
  <c r="P18" i="47" a="1"/>
  <c r="P18" i="47"/>
  <c r="H18" i="47" a="1"/>
  <c r="H18" i="47" s="1"/>
  <c r="D18" i="47" a="1"/>
  <c r="D18" i="47"/>
  <c r="J16" i="47"/>
  <c r="V14" i="47"/>
  <c r="T14" i="47"/>
  <c r="Z14" i="47" s="1"/>
  <c r="P14" i="47"/>
  <c r="H14" i="47"/>
  <c r="D14" i="47"/>
  <c r="Z12" i="47"/>
  <c r="T12" i="47"/>
  <c r="V49" i="47" s="1"/>
  <c r="P12" i="47"/>
  <c r="R68" i="47" s="1"/>
  <c r="L12" i="47"/>
  <c r="H12" i="47"/>
  <c r="D12" i="47"/>
  <c r="F42" i="47" s="1"/>
  <c r="D6" i="47"/>
  <c r="D4" i="47"/>
  <c r="Z34" i="46"/>
  <c r="X34" i="46"/>
  <c r="N34" i="46"/>
  <c r="L34" i="46"/>
  <c r="J32" i="46"/>
  <c r="Z30" i="46"/>
  <c r="T30" i="46"/>
  <c r="P30" i="46"/>
  <c r="X30" i="46" s="1"/>
  <c r="L30" i="46"/>
  <c r="J30" i="46"/>
  <c r="H30" i="46"/>
  <c r="N30" i="46" s="1"/>
  <c r="D30" i="46"/>
  <c r="Z28" i="46"/>
  <c r="X28" i="46"/>
  <c r="R28" i="46"/>
  <c r="N28" i="46"/>
  <c r="L28" i="46"/>
  <c r="B28" i="46"/>
  <c r="T27" i="46"/>
  <c r="R27" i="46"/>
  <c r="P27" i="46"/>
  <c r="X27" i="46" s="1"/>
  <c r="Z27" i="46" s="1"/>
  <c r="L27" i="46"/>
  <c r="H27" i="46"/>
  <c r="N27" i="46" s="1"/>
  <c r="D27" i="46"/>
  <c r="B27" i="46"/>
  <c r="Z26" i="46"/>
  <c r="X26" i="46"/>
  <c r="V26" i="46"/>
  <c r="L26" i="46"/>
  <c r="N26" i="46" s="1"/>
  <c r="B26" i="46"/>
  <c r="X25" i="46"/>
  <c r="T25" i="46"/>
  <c r="P25" i="46"/>
  <c r="L25" i="46"/>
  <c r="N25" i="46" s="1"/>
  <c r="H25" i="46"/>
  <c r="F25" i="46"/>
  <c r="D25" i="46"/>
  <c r="B25" i="46"/>
  <c r="X24" i="46"/>
  <c r="Z24" i="46" s="1"/>
  <c r="N24" i="46"/>
  <c r="L24" i="46"/>
  <c r="F24" i="46"/>
  <c r="B24" i="46"/>
  <c r="T23" i="46"/>
  <c r="X23" i="46" s="1"/>
  <c r="Z23" i="46" s="1"/>
  <c r="P23" i="46"/>
  <c r="L23" i="46"/>
  <c r="H23" i="46"/>
  <c r="N23" i="46" s="1"/>
  <c r="D23" i="46"/>
  <c r="B23" i="46"/>
  <c r="X22" i="46"/>
  <c r="Z22" i="46" s="1"/>
  <c r="N22" i="46"/>
  <c r="L22" i="46"/>
  <c r="J22" i="46"/>
  <c r="B22" i="46"/>
  <c r="T21" i="46"/>
  <c r="P21" i="46"/>
  <c r="H21" i="46"/>
  <c r="D21" i="46"/>
  <c r="B21" i="46"/>
  <c r="Z20" i="46"/>
  <c r="X20" i="46"/>
  <c r="R20" i="46"/>
  <c r="N20" i="46"/>
  <c r="L20" i="46"/>
  <c r="B20" i="46"/>
  <c r="V19" i="46"/>
  <c r="T19" i="46"/>
  <c r="R19" i="46"/>
  <c r="P19" i="46"/>
  <c r="H19" i="46"/>
  <c r="N19" i="46" s="1"/>
  <c r="D19" i="46"/>
  <c r="L19" i="46" s="1"/>
  <c r="B19" i="46"/>
  <c r="Z18" i="46"/>
  <c r="T18" i="46" a="1"/>
  <c r="T18" i="46"/>
  <c r="P18" i="46" a="1"/>
  <c r="P18" i="46" s="1"/>
  <c r="X18" i="46" s="1"/>
  <c r="N18" i="46"/>
  <c r="H18" i="46" a="1"/>
  <c r="H18" i="46" s="1"/>
  <c r="D18" i="46" a="1"/>
  <c r="D18" i="46" s="1"/>
  <c r="L18" i="46" s="1"/>
  <c r="J16" i="46"/>
  <c r="V14" i="46"/>
  <c r="T14" i="46"/>
  <c r="T16" i="46" s="1"/>
  <c r="T32" i="46" s="1"/>
  <c r="T36" i="46" s="1"/>
  <c r="R14" i="46"/>
  <c r="P14" i="46"/>
  <c r="X14" i="46" s="1"/>
  <c r="N14" i="46"/>
  <c r="H14" i="46"/>
  <c r="F14" i="46"/>
  <c r="D14" i="46"/>
  <c r="L14" i="46" s="1"/>
  <c r="Z12" i="46"/>
  <c r="T12" i="46"/>
  <c r="V30" i="46" s="1"/>
  <c r="P12" i="46"/>
  <c r="R34" i="46" s="1"/>
  <c r="H12" i="46"/>
  <c r="D12" i="46"/>
  <c r="D6" i="46"/>
  <c r="D4" i="46"/>
  <c r="Z86" i="45"/>
  <c r="X86" i="45"/>
  <c r="N86" i="45"/>
  <c r="L86" i="45"/>
  <c r="J86" i="45"/>
  <c r="Z82" i="45"/>
  <c r="X82" i="45"/>
  <c r="T82" i="45"/>
  <c r="P82" i="45"/>
  <c r="J82" i="45"/>
  <c r="H82" i="45"/>
  <c r="N82" i="45" s="1"/>
  <c r="D82" i="45"/>
  <c r="L82" i="45" s="1"/>
  <c r="B82" i="45"/>
  <c r="T81" i="45"/>
  <c r="Z81" i="45" s="1"/>
  <c r="P81" i="45"/>
  <c r="D81" i="45"/>
  <c r="X79" i="45"/>
  <c r="Z79" i="45" s="1"/>
  <c r="N79" i="45"/>
  <c r="L79" i="45"/>
  <c r="B79" i="45"/>
  <c r="Z78" i="45"/>
  <c r="T78" i="45"/>
  <c r="X78" i="45" s="1"/>
  <c r="P78" i="45"/>
  <c r="N78" i="45"/>
  <c r="L78" i="45"/>
  <c r="H78" i="45"/>
  <c r="D78" i="45"/>
  <c r="B78" i="45"/>
  <c r="Z77" i="45"/>
  <c r="X77" i="45"/>
  <c r="N77" i="45"/>
  <c r="L77" i="45"/>
  <c r="B77" i="45"/>
  <c r="Z76" i="45"/>
  <c r="X76" i="45"/>
  <c r="T76" i="45"/>
  <c r="P76" i="45"/>
  <c r="H76" i="45"/>
  <c r="N76" i="45" s="1"/>
  <c r="D76" i="45"/>
  <c r="L76" i="45" s="1"/>
  <c r="B76" i="45"/>
  <c r="Z75" i="45"/>
  <c r="X75" i="45"/>
  <c r="N75" i="45"/>
  <c r="L75" i="45"/>
  <c r="B75" i="45"/>
  <c r="T74" i="45"/>
  <c r="Z74" i="45" s="1"/>
  <c r="P74" i="45"/>
  <c r="X74" i="45" s="1"/>
  <c r="H74" i="45"/>
  <c r="N74" i="45" s="1"/>
  <c r="D74" i="45"/>
  <c r="L74" i="45" s="1"/>
  <c r="B74" i="45"/>
  <c r="Z73" i="45"/>
  <c r="X73" i="45"/>
  <c r="N73" i="45"/>
  <c r="L73" i="45"/>
  <c r="B73" i="45"/>
  <c r="Z72" i="45"/>
  <c r="X72" i="45"/>
  <c r="N72" i="45"/>
  <c r="L72" i="45"/>
  <c r="J72" i="45"/>
  <c r="B72" i="45"/>
  <c r="Z71" i="45"/>
  <c r="X71" i="45"/>
  <c r="N71" i="45"/>
  <c r="L71" i="45"/>
  <c r="B71" i="45"/>
  <c r="Z70" i="45"/>
  <c r="X70" i="45"/>
  <c r="N70" i="45"/>
  <c r="L70" i="45"/>
  <c r="B70" i="45"/>
  <c r="Z69" i="45"/>
  <c r="X69" i="45"/>
  <c r="N69" i="45"/>
  <c r="L69" i="45"/>
  <c r="B69" i="45"/>
  <c r="Z68" i="45"/>
  <c r="X68" i="45"/>
  <c r="N68" i="45"/>
  <c r="L68" i="45"/>
  <c r="B68" i="45"/>
  <c r="X67" i="45"/>
  <c r="Z67" i="45" s="1"/>
  <c r="N67" i="45"/>
  <c r="L67" i="45"/>
  <c r="B67" i="45"/>
  <c r="Z66" i="45"/>
  <c r="X66" i="45"/>
  <c r="N66" i="45"/>
  <c r="L66" i="45"/>
  <c r="B66" i="45"/>
  <c r="Z65" i="45"/>
  <c r="X65" i="45"/>
  <c r="N65" i="45"/>
  <c r="L65" i="45"/>
  <c r="B65" i="45"/>
  <c r="T64" i="45"/>
  <c r="Z64" i="45" s="1"/>
  <c r="P64" i="45"/>
  <c r="X64" i="45" s="1"/>
  <c r="N64" i="45"/>
  <c r="H64" i="45"/>
  <c r="D64" i="45"/>
  <c r="L64" i="45" s="1"/>
  <c r="B64" i="45"/>
  <c r="Z63" i="45"/>
  <c r="X63" i="45"/>
  <c r="N63" i="45"/>
  <c r="L63" i="45"/>
  <c r="B63" i="45"/>
  <c r="Z62" i="45"/>
  <c r="T62" i="45"/>
  <c r="P62" i="45"/>
  <c r="X62" i="45" s="1"/>
  <c r="N62" i="45"/>
  <c r="L62" i="45"/>
  <c r="H62" i="45"/>
  <c r="D62" i="45"/>
  <c r="B62" i="45"/>
  <c r="Z61" i="45"/>
  <c r="X61" i="45"/>
  <c r="N61" i="45"/>
  <c r="L61" i="45"/>
  <c r="B61" i="45"/>
  <c r="Z60" i="45"/>
  <c r="X60" i="45"/>
  <c r="N60" i="45"/>
  <c r="L60" i="45"/>
  <c r="B60" i="45"/>
  <c r="X59" i="45"/>
  <c r="Z59" i="45" s="1"/>
  <c r="L59" i="45"/>
  <c r="N59" i="45" s="1"/>
  <c r="B59" i="45"/>
  <c r="Z58" i="45"/>
  <c r="X58" i="45"/>
  <c r="N58" i="45"/>
  <c r="L58" i="45"/>
  <c r="B58" i="45"/>
  <c r="T57" i="45"/>
  <c r="Z57" i="45" s="1"/>
  <c r="P57" i="45"/>
  <c r="X57" i="45" s="1"/>
  <c r="L57" i="45"/>
  <c r="N57" i="45" s="1"/>
  <c r="H57" i="45"/>
  <c r="D57" i="45"/>
  <c r="B57" i="45"/>
  <c r="Z56" i="45"/>
  <c r="X56" i="45"/>
  <c r="L56" i="45"/>
  <c r="N56" i="45" s="1"/>
  <c r="B56" i="45"/>
  <c r="X55" i="45"/>
  <c r="Z55" i="45" s="1"/>
  <c r="L55" i="45"/>
  <c r="N55" i="45" s="1"/>
  <c r="B55" i="45"/>
  <c r="T54" i="45"/>
  <c r="P54" i="45"/>
  <c r="X54" i="45" s="1"/>
  <c r="Z54" i="45" s="1"/>
  <c r="N54" i="45"/>
  <c r="L54" i="45"/>
  <c r="H54" i="45"/>
  <c r="D54" i="45"/>
  <c r="B54" i="45"/>
  <c r="X53" i="45"/>
  <c r="Z53" i="45" s="1"/>
  <c r="N53" i="45"/>
  <c r="L53" i="45"/>
  <c r="B53" i="45"/>
  <c r="Z52" i="45"/>
  <c r="X52" i="45"/>
  <c r="T52" i="45"/>
  <c r="P52" i="45"/>
  <c r="J52" i="45"/>
  <c r="H52" i="45"/>
  <c r="D52" i="45"/>
  <c r="B52" i="45"/>
  <c r="Z51" i="45"/>
  <c r="X51" i="45"/>
  <c r="N51" i="45"/>
  <c r="L51" i="45"/>
  <c r="B51" i="45"/>
  <c r="T50" i="45"/>
  <c r="Z50" i="45" s="1"/>
  <c r="P50" i="45"/>
  <c r="H50" i="45"/>
  <c r="N50" i="45" s="1"/>
  <c r="D50" i="45"/>
  <c r="L50" i="45" s="1"/>
  <c r="B50" i="45"/>
  <c r="X49" i="45"/>
  <c r="Z49" i="45" s="1"/>
  <c r="N49" i="45"/>
  <c r="L49" i="45"/>
  <c r="B49" i="45"/>
  <c r="T48" i="45"/>
  <c r="Z48" i="45" s="1"/>
  <c r="R48" i="45"/>
  <c r="P48" i="45"/>
  <c r="X48" i="45" s="1"/>
  <c r="N48" i="45"/>
  <c r="H48" i="45"/>
  <c r="D48" i="45"/>
  <c r="L48" i="45" s="1"/>
  <c r="B48" i="45"/>
  <c r="Z47" i="45"/>
  <c r="X47" i="45"/>
  <c r="N47" i="45"/>
  <c r="L47" i="45"/>
  <c r="B47" i="45"/>
  <c r="Z46" i="45"/>
  <c r="T46" i="45"/>
  <c r="P46" i="45"/>
  <c r="X46" i="45" s="1"/>
  <c r="N46" i="45"/>
  <c r="L46" i="45"/>
  <c r="J46" i="45"/>
  <c r="H46" i="45"/>
  <c r="D46" i="45"/>
  <c r="B46" i="45"/>
  <c r="X45" i="45"/>
  <c r="Z45" i="45" s="1"/>
  <c r="N45" i="45"/>
  <c r="L45" i="45"/>
  <c r="B45" i="45"/>
  <c r="Z44" i="45"/>
  <c r="X44" i="45"/>
  <c r="L44" i="45"/>
  <c r="N44" i="45" s="1"/>
  <c r="B44" i="45"/>
  <c r="X43" i="45"/>
  <c r="Z43" i="45" s="1"/>
  <c r="T43" i="45"/>
  <c r="P43" i="45"/>
  <c r="L43" i="45"/>
  <c r="H43" i="45"/>
  <c r="D43" i="45"/>
  <c r="B43" i="45"/>
  <c r="Z42" i="45"/>
  <c r="X42" i="45"/>
  <c r="N42" i="45"/>
  <c r="L42" i="45"/>
  <c r="B42" i="45"/>
  <c r="T41" i="45"/>
  <c r="P41" i="45"/>
  <c r="H41" i="45"/>
  <c r="N41" i="45" s="1"/>
  <c r="D41" i="45"/>
  <c r="B41" i="45"/>
  <c r="Z40" i="45"/>
  <c r="X40" i="45"/>
  <c r="N40" i="45"/>
  <c r="L40" i="45"/>
  <c r="J40" i="45"/>
  <c r="B40" i="45"/>
  <c r="T39" i="45"/>
  <c r="Z39" i="45" s="1"/>
  <c r="P39" i="45"/>
  <c r="H39" i="45"/>
  <c r="N39" i="45" s="1"/>
  <c r="D39" i="45"/>
  <c r="L39" i="45" s="1"/>
  <c r="B39" i="45"/>
  <c r="Z38" i="45"/>
  <c r="X38" i="45"/>
  <c r="N38" i="45"/>
  <c r="L38" i="45"/>
  <c r="J38" i="45"/>
  <c r="B38" i="45"/>
  <c r="T37" i="45"/>
  <c r="Z37" i="45" s="1"/>
  <c r="P37" i="45"/>
  <c r="X37" i="45" s="1"/>
  <c r="L37" i="45"/>
  <c r="H37" i="45"/>
  <c r="N37" i="45" s="1"/>
  <c r="D37" i="45"/>
  <c r="B37" i="45"/>
  <c r="Z36" i="45"/>
  <c r="X36" i="45"/>
  <c r="N36" i="45"/>
  <c r="L36" i="45"/>
  <c r="B36" i="45"/>
  <c r="Z35" i="45"/>
  <c r="X35" i="45"/>
  <c r="N35" i="45"/>
  <c r="L35" i="45"/>
  <c r="B35" i="45"/>
  <c r="Z34" i="45"/>
  <c r="X34" i="45"/>
  <c r="N34" i="45"/>
  <c r="L34" i="45"/>
  <c r="J34" i="45"/>
  <c r="B34" i="45"/>
  <c r="Z33" i="45"/>
  <c r="X33" i="45"/>
  <c r="N33" i="45"/>
  <c r="L33" i="45"/>
  <c r="B33" i="45"/>
  <c r="T32" i="45"/>
  <c r="Z32" i="45" s="1"/>
  <c r="P32" i="45"/>
  <c r="X32" i="45" s="1"/>
  <c r="N32" i="45"/>
  <c r="H32" i="45"/>
  <c r="D32" i="45"/>
  <c r="L32" i="45" s="1"/>
  <c r="B32" i="45"/>
  <c r="Z31" i="45"/>
  <c r="X31" i="45"/>
  <c r="N31" i="45"/>
  <c r="L31" i="45"/>
  <c r="B31" i="45"/>
  <c r="Z30" i="45"/>
  <c r="X30" i="45"/>
  <c r="N30" i="45"/>
  <c r="L30" i="45"/>
  <c r="B30" i="45"/>
  <c r="Z29" i="45"/>
  <c r="X29" i="45"/>
  <c r="N29" i="45"/>
  <c r="L29" i="45"/>
  <c r="B29" i="45"/>
  <c r="Z28" i="45"/>
  <c r="X28" i="45"/>
  <c r="N28" i="45"/>
  <c r="L28" i="45"/>
  <c r="J28" i="45"/>
  <c r="B28" i="45"/>
  <c r="Z27" i="45"/>
  <c r="X27" i="45"/>
  <c r="N27" i="45"/>
  <c r="L27" i="45"/>
  <c r="B27" i="45"/>
  <c r="Z26" i="45"/>
  <c r="X26" i="45"/>
  <c r="N26" i="45"/>
  <c r="L26" i="45"/>
  <c r="B26" i="45"/>
  <c r="Z25" i="45"/>
  <c r="X25" i="45"/>
  <c r="N25" i="45"/>
  <c r="L25" i="45"/>
  <c r="B25" i="45"/>
  <c r="Z24" i="45"/>
  <c r="X24" i="45"/>
  <c r="N24" i="45"/>
  <c r="L24" i="45"/>
  <c r="B24" i="45"/>
  <c r="X23" i="45"/>
  <c r="T23" i="45"/>
  <c r="P23" i="45"/>
  <c r="H23" i="45"/>
  <c r="N23" i="45" s="1"/>
  <c r="D23" i="45"/>
  <c r="B23" i="45"/>
  <c r="T22" i="45" a="1"/>
  <c r="T22" i="45"/>
  <c r="P22" i="45" a="1"/>
  <c r="P22" i="45" s="1"/>
  <c r="H22" i="45" a="1"/>
  <c r="H22" i="45"/>
  <c r="D22" i="45" a="1"/>
  <c r="D22" i="45" s="1"/>
  <c r="Z18" i="45"/>
  <c r="X18" i="45"/>
  <c r="N18" i="45"/>
  <c r="L18" i="45"/>
  <c r="J18" i="45"/>
  <c r="B18" i="45"/>
  <c r="X17" i="45"/>
  <c r="Z17" i="45" s="1"/>
  <c r="N17" i="45"/>
  <c r="L17" i="45"/>
  <c r="B17" i="45"/>
  <c r="T16" i="45"/>
  <c r="P16" i="45"/>
  <c r="X16" i="45" s="1"/>
  <c r="Z16" i="45" s="1"/>
  <c r="N16" i="45"/>
  <c r="L16" i="45"/>
  <c r="H16" i="45"/>
  <c r="D16" i="45"/>
  <c r="T14" i="45"/>
  <c r="P14" i="45"/>
  <c r="N14" i="45"/>
  <c r="H14" i="45"/>
  <c r="D14" i="45"/>
  <c r="L14" i="45" s="1"/>
  <c r="B14" i="45"/>
  <c r="Z13" i="45"/>
  <c r="X13" i="45"/>
  <c r="T13" i="45"/>
  <c r="P13" i="45"/>
  <c r="P12" i="45" s="1"/>
  <c r="H13" i="45"/>
  <c r="N13" i="45" s="1"/>
  <c r="D13" i="45"/>
  <c r="B13" i="45"/>
  <c r="H12" i="45"/>
  <c r="D6" i="45"/>
  <c r="D4" i="45"/>
  <c r="Z32" i="44"/>
  <c r="X32" i="44"/>
  <c r="N32" i="44"/>
  <c r="L32" i="44"/>
  <c r="Z28" i="44"/>
  <c r="X28" i="44"/>
  <c r="T28" i="44"/>
  <c r="P28" i="44"/>
  <c r="H28" i="44"/>
  <c r="N28" i="44" s="1"/>
  <c r="D28" i="44"/>
  <c r="L28" i="44" s="1"/>
  <c r="Z26" i="44"/>
  <c r="X26" i="44"/>
  <c r="N26" i="44"/>
  <c r="L26" i="44"/>
  <c r="B26" i="44"/>
  <c r="T25" i="44"/>
  <c r="P25" i="44"/>
  <c r="N25" i="44"/>
  <c r="H25" i="44"/>
  <c r="D25" i="44"/>
  <c r="L25" i="44" s="1"/>
  <c r="B25" i="44"/>
  <c r="Z24" i="44"/>
  <c r="X24" i="44"/>
  <c r="N24" i="44"/>
  <c r="L24" i="44"/>
  <c r="B24" i="44"/>
  <c r="T23" i="44"/>
  <c r="P23" i="44"/>
  <c r="X23" i="44" s="1"/>
  <c r="Z23" i="44" s="1"/>
  <c r="N23" i="44"/>
  <c r="L23" i="44"/>
  <c r="H23" i="44"/>
  <c r="D23" i="44"/>
  <c r="B23" i="44"/>
  <c r="Z22" i="44"/>
  <c r="T22" i="44" a="1"/>
  <c r="T22" i="44"/>
  <c r="P22" i="44" a="1"/>
  <c r="P22" i="44" s="1"/>
  <c r="X22" i="44" s="1"/>
  <c r="N22" i="44"/>
  <c r="H22" i="44" a="1"/>
  <c r="H22" i="44"/>
  <c r="D22" i="44" a="1"/>
  <c r="D22" i="44" s="1"/>
  <c r="L22" i="44" s="1"/>
  <c r="Z18" i="44"/>
  <c r="X18" i="44"/>
  <c r="N18" i="44"/>
  <c r="L18" i="44"/>
  <c r="B18" i="44"/>
  <c r="X17" i="44"/>
  <c r="Z17" i="44" s="1"/>
  <c r="L17" i="44"/>
  <c r="N17" i="44" s="1"/>
  <c r="B17" i="44"/>
  <c r="T16" i="44"/>
  <c r="P16" i="44"/>
  <c r="X16" i="44" s="1"/>
  <c r="H16" i="44"/>
  <c r="D16" i="44"/>
  <c r="L16" i="44" s="1"/>
  <c r="N16" i="44" s="1"/>
  <c r="T14" i="44"/>
  <c r="X14" i="44" s="1"/>
  <c r="Z14" i="44" s="1"/>
  <c r="P14" i="44"/>
  <c r="H14" i="44"/>
  <c r="D14" i="44"/>
  <c r="B14" i="44"/>
  <c r="Z13" i="44"/>
  <c r="X13" i="44"/>
  <c r="T13" i="44"/>
  <c r="P13" i="44"/>
  <c r="P12" i="44" s="1"/>
  <c r="H13" i="44"/>
  <c r="N13" i="44" s="1"/>
  <c r="D13" i="44"/>
  <c r="D12" i="44" s="1"/>
  <c r="F28" i="44" s="1"/>
  <c r="B13" i="44"/>
  <c r="D6" i="44"/>
  <c r="D4" i="44"/>
  <c r="Z120" i="43"/>
  <c r="X120" i="43"/>
  <c r="N120" i="43"/>
  <c r="L120" i="43"/>
  <c r="Z116" i="43"/>
  <c r="X116" i="43"/>
  <c r="T116" i="43"/>
  <c r="P116" i="43"/>
  <c r="N116" i="43"/>
  <c r="L116" i="43"/>
  <c r="H116" i="43"/>
  <c r="D116" i="43"/>
  <c r="Z114" i="43"/>
  <c r="X114" i="43"/>
  <c r="N114" i="43"/>
  <c r="L114" i="43"/>
  <c r="B114" i="43"/>
  <c r="T113" i="43"/>
  <c r="P113" i="43"/>
  <c r="H113" i="43"/>
  <c r="D113" i="43"/>
  <c r="L113" i="43" s="1"/>
  <c r="B113" i="43"/>
  <c r="Z112" i="43"/>
  <c r="X112" i="43"/>
  <c r="N112" i="43"/>
  <c r="L112" i="43"/>
  <c r="B112" i="43"/>
  <c r="T111" i="43"/>
  <c r="P111" i="43"/>
  <c r="H111" i="43"/>
  <c r="N111" i="43" s="1"/>
  <c r="D111" i="43"/>
  <c r="L111" i="43" s="1"/>
  <c r="B111" i="43"/>
  <c r="Z110" i="43"/>
  <c r="X110" i="43"/>
  <c r="N110" i="43"/>
  <c r="L110" i="43"/>
  <c r="B110" i="43"/>
  <c r="T109" i="43"/>
  <c r="P109" i="43"/>
  <c r="X109" i="43" s="1"/>
  <c r="L109" i="43"/>
  <c r="N109" i="43" s="1"/>
  <c r="H109" i="43"/>
  <c r="D109" i="43"/>
  <c r="B109" i="43"/>
  <c r="Z108" i="43"/>
  <c r="X108" i="43"/>
  <c r="N108" i="43"/>
  <c r="L108" i="43"/>
  <c r="B108" i="43"/>
  <c r="X107" i="43"/>
  <c r="Z107" i="43" s="1"/>
  <c r="L107" i="43"/>
  <c r="N107" i="43" s="1"/>
  <c r="B107" i="43"/>
  <c r="Z106" i="43"/>
  <c r="X106" i="43"/>
  <c r="N106" i="43"/>
  <c r="L106" i="43"/>
  <c r="B106" i="43"/>
  <c r="X105" i="43"/>
  <c r="Z105" i="43" s="1"/>
  <c r="N105" i="43"/>
  <c r="L105" i="43"/>
  <c r="B105" i="43"/>
  <c r="T104" i="43"/>
  <c r="P104" i="43"/>
  <c r="X104" i="43" s="1"/>
  <c r="Z104" i="43" s="1"/>
  <c r="N104" i="43"/>
  <c r="H104" i="43"/>
  <c r="D104" i="43"/>
  <c r="L104" i="43" s="1"/>
  <c r="B104" i="43"/>
  <c r="X103" i="43"/>
  <c r="Z103" i="43" s="1"/>
  <c r="N103" i="43"/>
  <c r="L103" i="43"/>
  <c r="B103" i="43"/>
  <c r="Z102" i="43"/>
  <c r="X102" i="43"/>
  <c r="N102" i="43"/>
  <c r="L102" i="43"/>
  <c r="B102" i="43"/>
  <c r="T101" i="43"/>
  <c r="Z101" i="43" s="1"/>
  <c r="P101" i="43"/>
  <c r="X101" i="43" s="1"/>
  <c r="N101" i="43"/>
  <c r="L101" i="43"/>
  <c r="H101" i="43"/>
  <c r="D101" i="43"/>
  <c r="B101" i="43"/>
  <c r="Z100" i="43"/>
  <c r="X100" i="43"/>
  <c r="N100" i="43"/>
  <c r="L100" i="43"/>
  <c r="B100" i="43"/>
  <c r="X99" i="43"/>
  <c r="Z99" i="43" s="1"/>
  <c r="L99" i="43"/>
  <c r="N99" i="43" s="1"/>
  <c r="B99" i="43"/>
  <c r="Z98" i="43"/>
  <c r="X98" i="43"/>
  <c r="N98" i="43"/>
  <c r="L98" i="43"/>
  <c r="B98" i="43"/>
  <c r="T97" i="43"/>
  <c r="P97" i="43"/>
  <c r="X97" i="43" s="1"/>
  <c r="L97" i="43"/>
  <c r="N97" i="43" s="1"/>
  <c r="H97" i="43"/>
  <c r="D97" i="43"/>
  <c r="B97" i="43"/>
  <c r="Z96" i="43"/>
  <c r="X96" i="43"/>
  <c r="N96" i="43"/>
  <c r="L96" i="43"/>
  <c r="B96" i="43"/>
  <c r="X95" i="43"/>
  <c r="Z95" i="43" s="1"/>
  <c r="L95" i="43"/>
  <c r="N95" i="43" s="1"/>
  <c r="B95" i="43"/>
  <c r="Z94" i="43"/>
  <c r="X94" i="43"/>
  <c r="N94" i="43"/>
  <c r="L94" i="43"/>
  <c r="B94" i="43"/>
  <c r="T93" i="43"/>
  <c r="P93" i="43"/>
  <c r="X93" i="43" s="1"/>
  <c r="L93" i="43"/>
  <c r="N93" i="43" s="1"/>
  <c r="H93" i="43"/>
  <c r="D93" i="43"/>
  <c r="B93" i="43"/>
  <c r="Z92" i="43"/>
  <c r="X92" i="43"/>
  <c r="N92" i="43"/>
  <c r="L92" i="43"/>
  <c r="B92" i="43"/>
  <c r="X91" i="43"/>
  <c r="Z91" i="43" s="1"/>
  <c r="T91" i="43"/>
  <c r="P91" i="43"/>
  <c r="H91" i="43"/>
  <c r="D91" i="43"/>
  <c r="B91" i="43"/>
  <c r="Z90" i="43"/>
  <c r="X90" i="43"/>
  <c r="N90" i="43"/>
  <c r="L90" i="43"/>
  <c r="B90" i="43"/>
  <c r="X89" i="43"/>
  <c r="T89" i="43"/>
  <c r="Z89" i="43" s="1"/>
  <c r="P89" i="43"/>
  <c r="H89" i="43"/>
  <c r="N89" i="43" s="1"/>
  <c r="D89" i="43"/>
  <c r="B89" i="43"/>
  <c r="Z88" i="43"/>
  <c r="X88" i="43"/>
  <c r="N88" i="43"/>
  <c r="L88" i="43"/>
  <c r="B88" i="43"/>
  <c r="T87" i="43"/>
  <c r="Z87" i="43" s="1"/>
  <c r="P87" i="43"/>
  <c r="H87" i="43"/>
  <c r="D87" i="43"/>
  <c r="L87" i="43" s="1"/>
  <c r="B87" i="43"/>
  <c r="Z86" i="43"/>
  <c r="X86" i="43"/>
  <c r="N86" i="43"/>
  <c r="L86" i="43"/>
  <c r="B86" i="43"/>
  <c r="T85" i="43"/>
  <c r="P85" i="43"/>
  <c r="X85" i="43" s="1"/>
  <c r="L85" i="43"/>
  <c r="N85" i="43" s="1"/>
  <c r="H85" i="43"/>
  <c r="D85" i="43"/>
  <c r="B85" i="43"/>
  <c r="Z84" i="43"/>
  <c r="X84" i="43"/>
  <c r="N84" i="43"/>
  <c r="L84" i="43"/>
  <c r="B84" i="43"/>
  <c r="X83" i="43"/>
  <c r="Z83" i="43" s="1"/>
  <c r="T83" i="43"/>
  <c r="P83" i="43"/>
  <c r="H83" i="43"/>
  <c r="N83" i="43" s="1"/>
  <c r="D83" i="43"/>
  <c r="B83" i="43"/>
  <c r="Z82" i="43"/>
  <c r="X82" i="43"/>
  <c r="N82" i="43"/>
  <c r="L82" i="43"/>
  <c r="B82" i="43"/>
  <c r="X81" i="43"/>
  <c r="T81" i="43"/>
  <c r="Z81" i="43" s="1"/>
  <c r="P81" i="43"/>
  <c r="H81" i="43"/>
  <c r="N81" i="43" s="1"/>
  <c r="D81" i="43"/>
  <c r="B81" i="43"/>
  <c r="Z80" i="43"/>
  <c r="X80" i="43"/>
  <c r="N80" i="43"/>
  <c r="L80" i="43"/>
  <c r="B80" i="43"/>
  <c r="T79" i="43"/>
  <c r="P79" i="43"/>
  <c r="H79" i="43"/>
  <c r="D79" i="43"/>
  <c r="L79" i="43" s="1"/>
  <c r="B79" i="43"/>
  <c r="Z78" i="43"/>
  <c r="X78" i="43"/>
  <c r="N78" i="43"/>
  <c r="L78" i="43"/>
  <c r="B78" i="43"/>
  <c r="T77" i="43"/>
  <c r="P77" i="43"/>
  <c r="X77" i="43" s="1"/>
  <c r="L77" i="43"/>
  <c r="N77" i="43" s="1"/>
  <c r="H77" i="43"/>
  <c r="D77" i="43"/>
  <c r="B77" i="43"/>
  <c r="Z76" i="43"/>
  <c r="X76" i="43"/>
  <c r="N76" i="43"/>
  <c r="L76" i="43"/>
  <c r="B76" i="43"/>
  <c r="X75" i="43"/>
  <c r="Z75" i="43" s="1"/>
  <c r="T75" i="43"/>
  <c r="P75" i="43"/>
  <c r="H75" i="43"/>
  <c r="D75" i="43"/>
  <c r="B75" i="43"/>
  <c r="Z74" i="43"/>
  <c r="X74" i="43"/>
  <c r="N74" i="43"/>
  <c r="L74" i="43"/>
  <c r="B74" i="43"/>
  <c r="X73" i="43"/>
  <c r="Z73" i="43" s="1"/>
  <c r="L73" i="43"/>
  <c r="N73" i="43" s="1"/>
  <c r="B73" i="43"/>
  <c r="Z72" i="43"/>
  <c r="X72" i="43"/>
  <c r="N72" i="43"/>
  <c r="L72" i="43"/>
  <c r="B72" i="43"/>
  <c r="X71" i="43"/>
  <c r="Z71" i="43" s="1"/>
  <c r="L71" i="43"/>
  <c r="N71" i="43" s="1"/>
  <c r="B71" i="43"/>
  <c r="Z70" i="43"/>
  <c r="X70" i="43"/>
  <c r="N70" i="43"/>
  <c r="L70" i="43"/>
  <c r="B70" i="43"/>
  <c r="X69" i="43"/>
  <c r="Z69" i="43" s="1"/>
  <c r="L69" i="43"/>
  <c r="N69" i="43" s="1"/>
  <c r="B69" i="43"/>
  <c r="T68" i="43"/>
  <c r="P68" i="43"/>
  <c r="X68" i="43" s="1"/>
  <c r="Z68" i="43" s="1"/>
  <c r="N68" i="43"/>
  <c r="H68" i="43"/>
  <c r="D68" i="43"/>
  <c r="L68" i="43" s="1"/>
  <c r="B68" i="43"/>
  <c r="X67" i="43"/>
  <c r="Z67" i="43" s="1"/>
  <c r="L67" i="43"/>
  <c r="N67" i="43" s="1"/>
  <c r="B67" i="43"/>
  <c r="Z66" i="43"/>
  <c r="X66" i="43"/>
  <c r="N66" i="43"/>
  <c r="L66" i="43"/>
  <c r="B66" i="43"/>
  <c r="X65" i="43"/>
  <c r="Z65" i="43" s="1"/>
  <c r="L65" i="43"/>
  <c r="N65" i="43" s="1"/>
  <c r="B65" i="43"/>
  <c r="Z64" i="43"/>
  <c r="X64" i="43"/>
  <c r="N64" i="43"/>
  <c r="L64" i="43"/>
  <c r="B64" i="43"/>
  <c r="X63" i="43"/>
  <c r="Z63" i="43" s="1"/>
  <c r="L63" i="43"/>
  <c r="N63" i="43" s="1"/>
  <c r="B63" i="43"/>
  <c r="Z62" i="43"/>
  <c r="X62" i="43"/>
  <c r="N62" i="43"/>
  <c r="L62" i="43"/>
  <c r="B62" i="43"/>
  <c r="X61" i="43"/>
  <c r="Z61" i="43" s="1"/>
  <c r="L61" i="43"/>
  <c r="N61" i="43" s="1"/>
  <c r="B61" i="43"/>
  <c r="Z60" i="43"/>
  <c r="X60" i="43"/>
  <c r="N60" i="43"/>
  <c r="L60" i="43"/>
  <c r="B60" i="43"/>
  <c r="X59" i="43"/>
  <c r="Z59" i="43" s="1"/>
  <c r="T59" i="43"/>
  <c r="P59" i="43"/>
  <c r="L59" i="43"/>
  <c r="H59" i="43"/>
  <c r="D59" i="43"/>
  <c r="B59" i="43"/>
  <c r="T58" i="43" a="1"/>
  <c r="T58" i="43"/>
  <c r="P58" i="43" a="1"/>
  <c r="P58" i="43" s="1"/>
  <c r="H58" i="43" a="1"/>
  <c r="H58" i="43"/>
  <c r="D58" i="43" a="1"/>
  <c r="D58" i="43" s="1"/>
  <c r="Z54" i="43"/>
  <c r="X54" i="43"/>
  <c r="N54" i="43"/>
  <c r="L54" i="43"/>
  <c r="B54" i="43"/>
  <c r="X53" i="43"/>
  <c r="Z53" i="43" s="1"/>
  <c r="L53" i="43"/>
  <c r="N53" i="43" s="1"/>
  <c r="B53" i="43"/>
  <c r="Z52" i="43"/>
  <c r="X52" i="43"/>
  <c r="N52" i="43"/>
  <c r="L52" i="43"/>
  <c r="B52" i="43"/>
  <c r="X51" i="43"/>
  <c r="Z51" i="43" s="1"/>
  <c r="L51" i="43"/>
  <c r="N51" i="43" s="1"/>
  <c r="B51" i="43"/>
  <c r="Z50" i="43"/>
  <c r="X50" i="43"/>
  <c r="N50" i="43"/>
  <c r="L50" i="43"/>
  <c r="B50" i="43"/>
  <c r="X49" i="43"/>
  <c r="Z49" i="43" s="1"/>
  <c r="L49" i="43"/>
  <c r="N49" i="43" s="1"/>
  <c r="B49" i="43"/>
  <c r="Z48" i="43"/>
  <c r="X48" i="43"/>
  <c r="N48" i="43"/>
  <c r="L48" i="43"/>
  <c r="B48" i="43"/>
  <c r="Z47" i="43"/>
  <c r="X47" i="43"/>
  <c r="L47" i="43"/>
  <c r="N47" i="43" s="1"/>
  <c r="B47" i="43"/>
  <c r="Z46" i="43"/>
  <c r="X46" i="43"/>
  <c r="N46" i="43"/>
  <c r="L46" i="43"/>
  <c r="B46" i="43"/>
  <c r="X45" i="43"/>
  <c r="Z45" i="43" s="1"/>
  <c r="L45" i="43"/>
  <c r="N45" i="43" s="1"/>
  <c r="B45" i="43"/>
  <c r="Z44" i="43"/>
  <c r="X44" i="43"/>
  <c r="L44" i="43"/>
  <c r="N44" i="43" s="1"/>
  <c r="B44" i="43"/>
  <c r="X43" i="43"/>
  <c r="Z43" i="43" s="1"/>
  <c r="N43" i="43"/>
  <c r="L43" i="43"/>
  <c r="B43" i="43"/>
  <c r="Z42" i="43"/>
  <c r="X42" i="43"/>
  <c r="N42" i="43"/>
  <c r="L42" i="43"/>
  <c r="B42" i="43"/>
  <c r="X41" i="43"/>
  <c r="Z41" i="43" s="1"/>
  <c r="L41" i="43"/>
  <c r="N41" i="43" s="1"/>
  <c r="B41" i="43"/>
  <c r="Z40" i="43"/>
  <c r="X40" i="43"/>
  <c r="N40" i="43"/>
  <c r="L40" i="43"/>
  <c r="B40" i="43"/>
  <c r="Z39" i="43"/>
  <c r="X39" i="43"/>
  <c r="N39" i="43"/>
  <c r="L39" i="43"/>
  <c r="B39" i="43"/>
  <c r="Z38" i="43"/>
  <c r="T38" i="43"/>
  <c r="P38" i="43"/>
  <c r="X38" i="43" s="1"/>
  <c r="L38" i="43"/>
  <c r="N38" i="43" s="1"/>
  <c r="H38" i="43"/>
  <c r="D38" i="43"/>
  <c r="Z36" i="43"/>
  <c r="T36" i="43"/>
  <c r="P36" i="43"/>
  <c r="X36" i="43" s="1"/>
  <c r="H36" i="43"/>
  <c r="N36" i="43" s="1"/>
  <c r="D36" i="43"/>
  <c r="B36" i="43"/>
  <c r="Z35" i="43"/>
  <c r="X35" i="43"/>
  <c r="T35" i="43"/>
  <c r="P35" i="43"/>
  <c r="H35" i="43"/>
  <c r="N35" i="43" s="1"/>
  <c r="D35" i="43"/>
  <c r="L35" i="43" s="1"/>
  <c r="B35" i="43"/>
  <c r="Z34" i="43"/>
  <c r="X34" i="43"/>
  <c r="T34" i="43"/>
  <c r="P34" i="43"/>
  <c r="H34" i="43"/>
  <c r="D34" i="43"/>
  <c r="B34" i="43"/>
  <c r="Z33" i="43"/>
  <c r="X33" i="43"/>
  <c r="T33" i="43"/>
  <c r="P33" i="43"/>
  <c r="H33" i="43"/>
  <c r="D33" i="43"/>
  <c r="L33" i="43" s="1"/>
  <c r="B33" i="43"/>
  <c r="T32" i="43"/>
  <c r="P32" i="43"/>
  <c r="H32" i="43"/>
  <c r="D32" i="43"/>
  <c r="B32" i="43"/>
  <c r="Z31" i="43"/>
  <c r="X31" i="43"/>
  <c r="T31" i="43"/>
  <c r="P31" i="43"/>
  <c r="L31" i="43"/>
  <c r="H31" i="43"/>
  <c r="N31" i="43" s="1"/>
  <c r="D31" i="43"/>
  <c r="B31" i="43"/>
  <c r="T30" i="43"/>
  <c r="P30" i="43"/>
  <c r="X30" i="43" s="1"/>
  <c r="Z30" i="43" s="1"/>
  <c r="N30" i="43"/>
  <c r="H30" i="43"/>
  <c r="D30" i="43"/>
  <c r="L30" i="43" s="1"/>
  <c r="B30" i="43"/>
  <c r="T29" i="43"/>
  <c r="Z29" i="43" s="1"/>
  <c r="P29" i="43"/>
  <c r="X29" i="43" s="1"/>
  <c r="L29" i="43"/>
  <c r="H29" i="43"/>
  <c r="N29" i="43" s="1"/>
  <c r="D29" i="43"/>
  <c r="B29" i="43"/>
  <c r="T28" i="43"/>
  <c r="Z28" i="43" s="1"/>
  <c r="P28" i="43"/>
  <c r="X28" i="43" s="1"/>
  <c r="N28" i="43"/>
  <c r="L28" i="43"/>
  <c r="H28" i="43"/>
  <c r="D28" i="43"/>
  <c r="B28" i="43"/>
  <c r="X27" i="43"/>
  <c r="T27" i="43"/>
  <c r="Z27" i="43" s="1"/>
  <c r="P27" i="43"/>
  <c r="N27" i="43"/>
  <c r="L27" i="43"/>
  <c r="H27" i="43"/>
  <c r="D27" i="43"/>
  <c r="B27" i="43"/>
  <c r="T26" i="43"/>
  <c r="P26" i="43"/>
  <c r="X26" i="43" s="1"/>
  <c r="Z26" i="43" s="1"/>
  <c r="N26" i="43"/>
  <c r="H26" i="43"/>
  <c r="D26" i="43"/>
  <c r="L26" i="43" s="1"/>
  <c r="B26" i="43"/>
  <c r="X25" i="43"/>
  <c r="T25" i="43"/>
  <c r="Z25" i="43" s="1"/>
  <c r="P25" i="43"/>
  <c r="H25" i="43"/>
  <c r="N25" i="43" s="1"/>
  <c r="D25" i="43"/>
  <c r="L25" i="43" s="1"/>
  <c r="B25" i="43"/>
  <c r="Z24" i="43"/>
  <c r="X24" i="43"/>
  <c r="T24" i="43"/>
  <c r="P24" i="43"/>
  <c r="H24" i="43"/>
  <c r="D24" i="43"/>
  <c r="L24" i="43" s="1"/>
  <c r="B24" i="43"/>
  <c r="Z23" i="43"/>
  <c r="X23" i="43"/>
  <c r="T23" i="43"/>
  <c r="P23" i="43"/>
  <c r="L23" i="43"/>
  <c r="H23" i="43"/>
  <c r="N23" i="43" s="1"/>
  <c r="D23" i="43"/>
  <c r="B23" i="43"/>
  <c r="T22" i="43"/>
  <c r="P22" i="43"/>
  <c r="X22" i="43" s="1"/>
  <c r="Z22" i="43" s="1"/>
  <c r="N22" i="43"/>
  <c r="H22" i="43"/>
  <c r="D22" i="43"/>
  <c r="L22" i="43" s="1"/>
  <c r="B22" i="43"/>
  <c r="T21" i="43"/>
  <c r="Z21" i="43" s="1"/>
  <c r="P21" i="43"/>
  <c r="X21" i="43" s="1"/>
  <c r="L21" i="43"/>
  <c r="H21" i="43"/>
  <c r="N21" i="43" s="1"/>
  <c r="D21" i="43"/>
  <c r="B21" i="43"/>
  <c r="T20" i="43"/>
  <c r="P20" i="43"/>
  <c r="X20" i="43" s="1"/>
  <c r="N20" i="43"/>
  <c r="L20" i="43"/>
  <c r="H20" i="43"/>
  <c r="D20" i="43"/>
  <c r="B20" i="43"/>
  <c r="X19" i="43"/>
  <c r="T19" i="43"/>
  <c r="P19" i="43"/>
  <c r="N19" i="43"/>
  <c r="L19" i="43"/>
  <c r="H19" i="43"/>
  <c r="D19" i="43"/>
  <c r="B19" i="43"/>
  <c r="Z18" i="43"/>
  <c r="T18" i="43"/>
  <c r="P18" i="43"/>
  <c r="X18" i="43" s="1"/>
  <c r="H18" i="43"/>
  <c r="D18" i="43"/>
  <c r="L18" i="43" s="1"/>
  <c r="N18" i="43" s="1"/>
  <c r="B18" i="43"/>
  <c r="X17" i="43"/>
  <c r="T17" i="43"/>
  <c r="Z17" i="43" s="1"/>
  <c r="P17" i="43"/>
  <c r="H17" i="43"/>
  <c r="D17" i="43"/>
  <c r="L17" i="43" s="1"/>
  <c r="B17" i="43"/>
  <c r="Z16" i="43"/>
  <c r="X16" i="43"/>
  <c r="T16" i="43"/>
  <c r="P16" i="43"/>
  <c r="H16" i="43"/>
  <c r="N16" i="43" s="1"/>
  <c r="D16" i="43"/>
  <c r="B16" i="43"/>
  <c r="Z15" i="43"/>
  <c r="X15" i="43"/>
  <c r="T15" i="43"/>
  <c r="P15" i="43"/>
  <c r="L15" i="43"/>
  <c r="H15" i="43"/>
  <c r="N15" i="43" s="1"/>
  <c r="D15" i="43"/>
  <c r="B15" i="43"/>
  <c r="T14" i="43"/>
  <c r="P14" i="43"/>
  <c r="X14" i="43" s="1"/>
  <c r="Z14" i="43" s="1"/>
  <c r="H14" i="43"/>
  <c r="D14" i="43"/>
  <c r="L14" i="43" s="1"/>
  <c r="N14" i="43" s="1"/>
  <c r="B14" i="43"/>
  <c r="T13" i="43"/>
  <c r="P13" i="43"/>
  <c r="L13" i="43"/>
  <c r="H13" i="43"/>
  <c r="D13" i="43"/>
  <c r="B13" i="43"/>
  <c r="T12" i="43"/>
  <c r="D6" i="43"/>
  <c r="D4" i="43"/>
  <c r="J86" i="42"/>
  <c r="Z81" i="42"/>
  <c r="X81" i="42"/>
  <c r="N81" i="42"/>
  <c r="L81" i="42"/>
  <c r="J79" i="42"/>
  <c r="T77" i="42"/>
  <c r="Z77" i="42" s="1"/>
  <c r="P77" i="42"/>
  <c r="X77" i="42" s="1"/>
  <c r="N77" i="42"/>
  <c r="L77" i="42"/>
  <c r="H77" i="42"/>
  <c r="D77" i="42"/>
  <c r="Z75" i="42"/>
  <c r="X75" i="42"/>
  <c r="N75" i="42"/>
  <c r="L75" i="42"/>
  <c r="B75" i="42"/>
  <c r="X74" i="42"/>
  <c r="Z74" i="42" s="1"/>
  <c r="T74" i="42"/>
  <c r="P74" i="42"/>
  <c r="L74" i="42"/>
  <c r="H74" i="42"/>
  <c r="N74" i="42" s="1"/>
  <c r="D74" i="42"/>
  <c r="B74" i="42"/>
  <c r="Z73" i="42"/>
  <c r="X73" i="42"/>
  <c r="V73" i="42"/>
  <c r="N73" i="42"/>
  <c r="L73" i="42"/>
  <c r="B73" i="42"/>
  <c r="X72" i="42"/>
  <c r="T72" i="42"/>
  <c r="Z72" i="42" s="1"/>
  <c r="P72" i="42"/>
  <c r="H72" i="42"/>
  <c r="N72" i="42" s="1"/>
  <c r="D72" i="42"/>
  <c r="B72" i="42"/>
  <c r="Z71" i="42"/>
  <c r="X71" i="42"/>
  <c r="N71" i="42"/>
  <c r="L71" i="42"/>
  <c r="B71" i="42"/>
  <c r="T70" i="42"/>
  <c r="P70" i="42"/>
  <c r="H70" i="42"/>
  <c r="D70" i="42"/>
  <c r="L70" i="42" s="1"/>
  <c r="N70" i="42" s="1"/>
  <c r="B70" i="42"/>
  <c r="Z69" i="42"/>
  <c r="X69" i="42"/>
  <c r="N69" i="42"/>
  <c r="L69" i="42"/>
  <c r="J69" i="42"/>
  <c r="B69" i="42"/>
  <c r="Z68" i="42"/>
  <c r="X68" i="42"/>
  <c r="N68" i="42"/>
  <c r="L68" i="42"/>
  <c r="B68" i="42"/>
  <c r="Z67" i="42"/>
  <c r="X67" i="42"/>
  <c r="N67" i="42"/>
  <c r="L67" i="42"/>
  <c r="B67" i="42"/>
  <c r="X66" i="42"/>
  <c r="Z66" i="42" s="1"/>
  <c r="N66" i="42"/>
  <c r="L66" i="42"/>
  <c r="B66" i="42"/>
  <c r="Z65" i="42"/>
  <c r="X65" i="42"/>
  <c r="V65" i="42"/>
  <c r="N65" i="42"/>
  <c r="L65" i="42"/>
  <c r="B65" i="42"/>
  <c r="X64" i="42"/>
  <c r="Z64" i="42" s="1"/>
  <c r="N64" i="42"/>
  <c r="L64" i="42"/>
  <c r="B64" i="42"/>
  <c r="Z63" i="42"/>
  <c r="T63" i="42"/>
  <c r="X63" i="42" s="1"/>
  <c r="P63" i="42"/>
  <c r="J63" i="42"/>
  <c r="H63" i="42"/>
  <c r="N63" i="42" s="1"/>
  <c r="D63" i="42"/>
  <c r="L63" i="42" s="1"/>
  <c r="B63" i="42"/>
  <c r="Z62" i="42"/>
  <c r="X62" i="42"/>
  <c r="N62" i="42"/>
  <c r="L62" i="42"/>
  <c r="B62" i="42"/>
  <c r="Z61" i="42"/>
  <c r="X61" i="42"/>
  <c r="V61" i="42"/>
  <c r="N61" i="42"/>
  <c r="L61" i="42"/>
  <c r="B61" i="42"/>
  <c r="X60" i="42"/>
  <c r="Z60" i="42" s="1"/>
  <c r="N60" i="42"/>
  <c r="L60" i="42"/>
  <c r="B60" i="42"/>
  <c r="Z59" i="42"/>
  <c r="X59" i="42"/>
  <c r="N59" i="42"/>
  <c r="L59" i="42"/>
  <c r="B59" i="42"/>
  <c r="X58" i="42"/>
  <c r="Z58" i="42" s="1"/>
  <c r="T58" i="42"/>
  <c r="P58" i="42"/>
  <c r="L58" i="42"/>
  <c r="H58" i="42"/>
  <c r="N58" i="42" s="1"/>
  <c r="D58" i="42"/>
  <c r="B58" i="42"/>
  <c r="X57" i="42"/>
  <c r="Z57" i="42" s="1"/>
  <c r="V57" i="42"/>
  <c r="N57" i="42"/>
  <c r="L57" i="42"/>
  <c r="B57" i="42"/>
  <c r="X56" i="42"/>
  <c r="Z56" i="42" s="1"/>
  <c r="N56" i="42"/>
  <c r="L56" i="42"/>
  <c r="B56" i="42"/>
  <c r="Z55" i="42"/>
  <c r="T55" i="42"/>
  <c r="X55" i="42" s="1"/>
  <c r="P55" i="42"/>
  <c r="J55" i="42"/>
  <c r="H55" i="42"/>
  <c r="N55" i="42" s="1"/>
  <c r="D55" i="42"/>
  <c r="L55" i="42" s="1"/>
  <c r="B55" i="42"/>
  <c r="X54" i="42"/>
  <c r="Z54" i="42" s="1"/>
  <c r="R54" i="42"/>
  <c r="L54" i="42"/>
  <c r="N54" i="42" s="1"/>
  <c r="B54" i="42"/>
  <c r="V53" i="42"/>
  <c r="T53" i="42"/>
  <c r="Z53" i="42" s="1"/>
  <c r="P53" i="42"/>
  <c r="X53" i="42" s="1"/>
  <c r="H53" i="42"/>
  <c r="D53" i="42"/>
  <c r="L53" i="42" s="1"/>
  <c r="N53" i="42" s="1"/>
  <c r="B53" i="42"/>
  <c r="Z52" i="42"/>
  <c r="X52" i="42"/>
  <c r="L52" i="42"/>
  <c r="N52" i="42" s="1"/>
  <c r="B52" i="42"/>
  <c r="T51" i="42"/>
  <c r="P51" i="42"/>
  <c r="X51" i="42" s="1"/>
  <c r="Z51" i="42" s="1"/>
  <c r="N51" i="42"/>
  <c r="L51" i="42"/>
  <c r="H51" i="42"/>
  <c r="D51" i="42"/>
  <c r="B51" i="42"/>
  <c r="X50" i="42"/>
  <c r="Z50" i="42" s="1"/>
  <c r="N50" i="42"/>
  <c r="L50" i="42"/>
  <c r="F50" i="42"/>
  <c r="B50" i="42"/>
  <c r="Z49" i="42"/>
  <c r="X49" i="42"/>
  <c r="T49" i="42"/>
  <c r="P49" i="42"/>
  <c r="N49" i="42"/>
  <c r="H49" i="42"/>
  <c r="L49" i="42" s="1"/>
  <c r="D49" i="42"/>
  <c r="B49" i="42"/>
  <c r="X48" i="42"/>
  <c r="Z48" i="42" s="1"/>
  <c r="N48" i="42"/>
  <c r="L48" i="42"/>
  <c r="B48" i="42"/>
  <c r="T47" i="42"/>
  <c r="X47" i="42" s="1"/>
  <c r="Z47" i="42" s="1"/>
  <c r="P47" i="42"/>
  <c r="J47" i="42"/>
  <c r="H47" i="42"/>
  <c r="N47" i="42" s="1"/>
  <c r="D47" i="42"/>
  <c r="L47" i="42" s="1"/>
  <c r="B47" i="42"/>
  <c r="Z46" i="42"/>
  <c r="X46" i="42"/>
  <c r="N46" i="42"/>
  <c r="L46" i="42"/>
  <c r="B46" i="42"/>
  <c r="V45" i="42"/>
  <c r="T45" i="42"/>
  <c r="Z45" i="42" s="1"/>
  <c r="P45" i="42"/>
  <c r="X45" i="42" s="1"/>
  <c r="H45" i="42"/>
  <c r="N45" i="42" s="1"/>
  <c r="F45" i="42"/>
  <c r="D45" i="42"/>
  <c r="L45" i="42" s="1"/>
  <c r="B45" i="42"/>
  <c r="Z44" i="42"/>
  <c r="X44" i="42"/>
  <c r="L44" i="42"/>
  <c r="N44" i="42" s="1"/>
  <c r="B44" i="42"/>
  <c r="Z43" i="42"/>
  <c r="X43" i="42"/>
  <c r="N43" i="42"/>
  <c r="L43" i="42"/>
  <c r="B43" i="42"/>
  <c r="T42" i="42"/>
  <c r="P42" i="42"/>
  <c r="H42" i="42"/>
  <c r="D42" i="42"/>
  <c r="L42" i="42" s="1"/>
  <c r="N42" i="42" s="1"/>
  <c r="B42" i="42"/>
  <c r="Z41" i="42"/>
  <c r="X41" i="42"/>
  <c r="N41" i="42"/>
  <c r="L41" i="42"/>
  <c r="J41" i="42"/>
  <c r="B41" i="42"/>
  <c r="Z40" i="42"/>
  <c r="T40" i="42"/>
  <c r="P40" i="42"/>
  <c r="X40" i="42" s="1"/>
  <c r="N40" i="42"/>
  <c r="L40" i="42"/>
  <c r="H40" i="42"/>
  <c r="D40" i="42"/>
  <c r="B40" i="42"/>
  <c r="Z39" i="42"/>
  <c r="X39" i="42"/>
  <c r="V39" i="42"/>
  <c r="N39" i="42"/>
  <c r="L39" i="42"/>
  <c r="B39" i="42"/>
  <c r="Z38" i="42"/>
  <c r="X38" i="42"/>
  <c r="T38" i="42"/>
  <c r="P38" i="42"/>
  <c r="L38" i="42"/>
  <c r="H38" i="42"/>
  <c r="N38" i="42" s="1"/>
  <c r="D38" i="42"/>
  <c r="B38" i="42"/>
  <c r="Z37" i="42"/>
  <c r="X37" i="42"/>
  <c r="V37" i="42"/>
  <c r="N37" i="42"/>
  <c r="L37" i="42"/>
  <c r="B37" i="42"/>
  <c r="X36" i="42"/>
  <c r="T36" i="42"/>
  <c r="Z36" i="42" s="1"/>
  <c r="P36" i="42"/>
  <c r="H36" i="42"/>
  <c r="N36" i="42" s="1"/>
  <c r="D36" i="42"/>
  <c r="L36" i="42" s="1"/>
  <c r="B36" i="42"/>
  <c r="Z35" i="42"/>
  <c r="X35" i="42"/>
  <c r="N35" i="42"/>
  <c r="L35" i="42"/>
  <c r="B35" i="42"/>
  <c r="Z34" i="42"/>
  <c r="X34" i="42"/>
  <c r="N34" i="42"/>
  <c r="L34" i="42"/>
  <c r="B34" i="42"/>
  <c r="X33" i="42"/>
  <c r="Z33" i="42" s="1"/>
  <c r="V33" i="42"/>
  <c r="N33" i="42"/>
  <c r="L33" i="42"/>
  <c r="B33" i="42"/>
  <c r="X32" i="42"/>
  <c r="T32" i="42"/>
  <c r="P32" i="42"/>
  <c r="H32" i="42"/>
  <c r="N32" i="42" s="1"/>
  <c r="D32" i="42"/>
  <c r="B32" i="42"/>
  <c r="Z31" i="42"/>
  <c r="X31" i="42"/>
  <c r="N31" i="42"/>
  <c r="L31" i="42"/>
  <c r="B31" i="42"/>
  <c r="X30" i="42"/>
  <c r="Z30" i="42" s="1"/>
  <c r="N30" i="42"/>
  <c r="L30" i="42"/>
  <c r="B30" i="42"/>
  <c r="X29" i="42"/>
  <c r="Z29" i="42" s="1"/>
  <c r="V29" i="42"/>
  <c r="N29" i="42"/>
  <c r="L29" i="42"/>
  <c r="B29" i="42"/>
  <c r="X28" i="42"/>
  <c r="Z28" i="42" s="1"/>
  <c r="N28" i="42"/>
  <c r="L28" i="42"/>
  <c r="B28" i="42"/>
  <c r="Z27" i="42"/>
  <c r="X27" i="42"/>
  <c r="V27" i="42"/>
  <c r="N27" i="42"/>
  <c r="L27" i="42"/>
  <c r="B27" i="42"/>
  <c r="X26" i="42"/>
  <c r="Z26" i="42" s="1"/>
  <c r="V26" i="42"/>
  <c r="N26" i="42"/>
  <c r="L26" i="42"/>
  <c r="F26" i="42"/>
  <c r="B26" i="42"/>
  <c r="Z25" i="42"/>
  <c r="X25" i="42"/>
  <c r="N25" i="42"/>
  <c r="L25" i="42"/>
  <c r="J25" i="42"/>
  <c r="B25" i="42"/>
  <c r="Z24" i="42"/>
  <c r="X24" i="42"/>
  <c r="N24" i="42"/>
  <c r="L24" i="42"/>
  <c r="B24" i="42"/>
  <c r="T23" i="42"/>
  <c r="Z23" i="42" s="1"/>
  <c r="P23" i="42"/>
  <c r="X23" i="42" s="1"/>
  <c r="N23" i="42"/>
  <c r="L23" i="42"/>
  <c r="H23" i="42"/>
  <c r="D23" i="42"/>
  <c r="B23" i="42"/>
  <c r="V22" i="42"/>
  <c r="T22" i="42" a="1"/>
  <c r="T22" i="42" s="1"/>
  <c r="P22" i="42" a="1"/>
  <c r="P22" i="42"/>
  <c r="X22" i="42" s="1"/>
  <c r="H22" i="42" a="1"/>
  <c r="H22" i="42" s="1"/>
  <c r="D22" i="42" a="1"/>
  <c r="D22" i="42"/>
  <c r="V20" i="42"/>
  <c r="X18" i="42"/>
  <c r="Z18" i="42" s="1"/>
  <c r="L18" i="42"/>
  <c r="N18" i="42" s="1"/>
  <c r="B18" i="42"/>
  <c r="X17" i="42"/>
  <c r="Z17" i="42" s="1"/>
  <c r="V17" i="42"/>
  <c r="N17" i="42"/>
  <c r="L17" i="42"/>
  <c r="B17" i="42"/>
  <c r="X16" i="42"/>
  <c r="T16" i="42"/>
  <c r="Z16" i="42" s="1"/>
  <c r="P16" i="42"/>
  <c r="H16" i="42"/>
  <c r="D16" i="42"/>
  <c r="L16" i="42" s="1"/>
  <c r="Z14" i="42"/>
  <c r="X14" i="42"/>
  <c r="T14" i="42"/>
  <c r="P14" i="42"/>
  <c r="N14" i="42"/>
  <c r="L14" i="42"/>
  <c r="H14" i="42"/>
  <c r="D14" i="42"/>
  <c r="B14" i="42"/>
  <c r="Z13" i="42"/>
  <c r="T13" i="42"/>
  <c r="P13" i="42"/>
  <c r="X13" i="42" s="1"/>
  <c r="N13" i="42"/>
  <c r="H13" i="42"/>
  <c r="D13" i="42"/>
  <c r="D12" i="42" s="1"/>
  <c r="F53" i="42" s="1"/>
  <c r="B13" i="42"/>
  <c r="T12" i="42"/>
  <c r="V74" i="42" s="1"/>
  <c r="P12" i="42"/>
  <c r="R46" i="42" s="1"/>
  <c r="H12" i="42"/>
  <c r="J66" i="42" s="1"/>
  <c r="D6" i="42"/>
  <c r="D4" i="42"/>
  <c r="X31" i="41"/>
  <c r="Z31" i="41" s="1"/>
  <c r="N31" i="41"/>
  <c r="L31" i="41"/>
  <c r="Z27" i="41"/>
  <c r="T27" i="41"/>
  <c r="P27" i="41"/>
  <c r="X27" i="41" s="1"/>
  <c r="L27" i="41"/>
  <c r="H27" i="41"/>
  <c r="N27" i="41" s="1"/>
  <c r="D27" i="41"/>
  <c r="X25" i="41"/>
  <c r="T25" i="41"/>
  <c r="Z25" i="41" s="1"/>
  <c r="P25" i="41"/>
  <c r="H25" i="41"/>
  <c r="N25" i="41" s="1"/>
  <c r="D25" i="41"/>
  <c r="L25" i="41" s="1"/>
  <c r="P23" i="41"/>
  <c r="X21" i="41"/>
  <c r="Z21" i="41" s="1"/>
  <c r="N21" i="41"/>
  <c r="L21" i="41"/>
  <c r="B21" i="41"/>
  <c r="Z20" i="41"/>
  <c r="X20" i="41"/>
  <c r="N20" i="41"/>
  <c r="L20" i="41"/>
  <c r="B20" i="41"/>
  <c r="Z19" i="41"/>
  <c r="X19" i="41"/>
  <c r="N19" i="41"/>
  <c r="L19" i="41"/>
  <c r="B19" i="41"/>
  <c r="X18" i="41"/>
  <c r="Z18" i="41" s="1"/>
  <c r="T18" i="41"/>
  <c r="P18" i="41"/>
  <c r="N18" i="41"/>
  <c r="H18" i="41"/>
  <c r="L18" i="41" s="1"/>
  <c r="D18" i="41"/>
  <c r="T16" i="41"/>
  <c r="P16" i="41"/>
  <c r="L16" i="41"/>
  <c r="N16" i="41" s="1"/>
  <c r="H16" i="41"/>
  <c r="D16" i="41"/>
  <c r="B16" i="41"/>
  <c r="X15" i="41"/>
  <c r="Z15" i="41" s="1"/>
  <c r="T15" i="41"/>
  <c r="P15" i="41"/>
  <c r="N15" i="41"/>
  <c r="L15" i="41"/>
  <c r="H15" i="41"/>
  <c r="D15" i="41"/>
  <c r="B15" i="41"/>
  <c r="Z14" i="41"/>
  <c r="T14" i="41"/>
  <c r="P14" i="41"/>
  <c r="X14" i="41" s="1"/>
  <c r="H14" i="41"/>
  <c r="D14" i="41"/>
  <c r="L14" i="41" s="1"/>
  <c r="N14" i="41" s="1"/>
  <c r="B14" i="41"/>
  <c r="T13" i="41"/>
  <c r="P13" i="41"/>
  <c r="P12" i="41" s="1"/>
  <c r="H13" i="41"/>
  <c r="N13" i="41" s="1"/>
  <c r="D13" i="41"/>
  <c r="B13" i="41"/>
  <c r="H12" i="41"/>
  <c r="D6" i="41"/>
  <c r="D4" i="41"/>
  <c r="R51" i="40"/>
  <c r="Z46" i="40"/>
  <c r="X46" i="40"/>
  <c r="N46" i="40"/>
  <c r="L46" i="40"/>
  <c r="R44" i="40"/>
  <c r="Z42" i="40"/>
  <c r="T42" i="40"/>
  <c r="X42" i="40" s="1"/>
  <c r="P42" i="40"/>
  <c r="H42" i="40"/>
  <c r="N42" i="40" s="1"/>
  <c r="D42" i="40"/>
  <c r="L42" i="40" s="1"/>
  <c r="Z40" i="40"/>
  <c r="X40" i="40"/>
  <c r="N40" i="40"/>
  <c r="L40" i="40"/>
  <c r="B40" i="40"/>
  <c r="T39" i="40"/>
  <c r="P39" i="40"/>
  <c r="H39" i="40"/>
  <c r="D39" i="40"/>
  <c r="L39" i="40" s="1"/>
  <c r="N39" i="40" s="1"/>
  <c r="B39" i="40"/>
  <c r="X38" i="40"/>
  <c r="Z38" i="40" s="1"/>
  <c r="N38" i="40"/>
  <c r="L38" i="40"/>
  <c r="B38" i="40"/>
  <c r="T37" i="40"/>
  <c r="P37" i="40"/>
  <c r="X37" i="40" s="1"/>
  <c r="Z37" i="40" s="1"/>
  <c r="L37" i="40"/>
  <c r="H37" i="40"/>
  <c r="N37" i="40" s="1"/>
  <c r="D37" i="40"/>
  <c r="B37" i="40"/>
  <c r="Z36" i="40"/>
  <c r="X36" i="40"/>
  <c r="R36" i="40"/>
  <c r="N36" i="40"/>
  <c r="L36" i="40"/>
  <c r="B36" i="40"/>
  <c r="X35" i="40"/>
  <c r="T35" i="40"/>
  <c r="Z35" i="40" s="1"/>
  <c r="P35" i="40"/>
  <c r="L35" i="40"/>
  <c r="H35" i="40"/>
  <c r="N35" i="40" s="1"/>
  <c r="F35" i="40"/>
  <c r="D35" i="40"/>
  <c r="B35" i="40"/>
  <c r="X34" i="40"/>
  <c r="Z34" i="40" s="1"/>
  <c r="V34" i="40"/>
  <c r="N34" i="40"/>
  <c r="L34" i="40"/>
  <c r="B34" i="40"/>
  <c r="X33" i="40"/>
  <c r="Z33" i="40" s="1"/>
  <c r="R33" i="40"/>
  <c r="N33" i="40"/>
  <c r="L33" i="40"/>
  <c r="B33" i="40"/>
  <c r="Z32" i="40"/>
  <c r="T32" i="40"/>
  <c r="X32" i="40" s="1"/>
  <c r="P32" i="40"/>
  <c r="J32" i="40"/>
  <c r="H32" i="40"/>
  <c r="N32" i="40" s="1"/>
  <c r="F32" i="40"/>
  <c r="D32" i="40"/>
  <c r="L32" i="40" s="1"/>
  <c r="B32" i="40"/>
  <c r="X31" i="40"/>
  <c r="Z31" i="40" s="1"/>
  <c r="R31" i="40"/>
  <c r="L31" i="40"/>
  <c r="N31" i="40" s="1"/>
  <c r="B31" i="40"/>
  <c r="V30" i="40"/>
  <c r="T30" i="40"/>
  <c r="R30" i="40"/>
  <c r="P30" i="40"/>
  <c r="X30" i="40" s="1"/>
  <c r="H30" i="40"/>
  <c r="N30" i="40" s="1"/>
  <c r="F30" i="40"/>
  <c r="D30" i="40"/>
  <c r="L30" i="40" s="1"/>
  <c r="B30" i="40"/>
  <c r="Z29" i="40"/>
  <c r="X29" i="40"/>
  <c r="L29" i="40"/>
  <c r="N29" i="40" s="1"/>
  <c r="F29" i="40"/>
  <c r="B29" i="40"/>
  <c r="T28" i="40"/>
  <c r="R28" i="40"/>
  <c r="P28" i="40"/>
  <c r="X28" i="40" s="1"/>
  <c r="L28" i="40"/>
  <c r="N28" i="40" s="1"/>
  <c r="H28" i="40"/>
  <c r="D28" i="40"/>
  <c r="B28" i="40"/>
  <c r="X27" i="40"/>
  <c r="Z27" i="40" s="1"/>
  <c r="V27" i="40"/>
  <c r="N27" i="40"/>
  <c r="L27" i="40"/>
  <c r="F27" i="40"/>
  <c r="B27" i="40"/>
  <c r="X26" i="40"/>
  <c r="Z26" i="40" s="1"/>
  <c r="T26" i="40"/>
  <c r="P26" i="40"/>
  <c r="N26" i="40"/>
  <c r="H26" i="40"/>
  <c r="L26" i="40" s="1"/>
  <c r="D26" i="40"/>
  <c r="B26" i="40"/>
  <c r="X25" i="40"/>
  <c r="Z25" i="40" s="1"/>
  <c r="R25" i="40"/>
  <c r="N25" i="40"/>
  <c r="L25" i="40"/>
  <c r="B25" i="40"/>
  <c r="Z24" i="40"/>
  <c r="X24" i="40"/>
  <c r="V24" i="40"/>
  <c r="R24" i="40"/>
  <c r="N24" i="40"/>
  <c r="L24" i="40"/>
  <c r="B24" i="40"/>
  <c r="X23" i="40"/>
  <c r="Z23" i="40" s="1"/>
  <c r="V23" i="40"/>
  <c r="R23" i="40"/>
  <c r="N23" i="40"/>
  <c r="L23" i="40"/>
  <c r="F23" i="40"/>
  <c r="B23" i="40"/>
  <c r="X22" i="40"/>
  <c r="Z22" i="40" s="1"/>
  <c r="N22" i="40"/>
  <c r="L22" i="40"/>
  <c r="J22" i="40"/>
  <c r="B22" i="40"/>
  <c r="Z21" i="40"/>
  <c r="X21" i="40"/>
  <c r="N21" i="40"/>
  <c r="L21" i="40"/>
  <c r="F21" i="40"/>
  <c r="B21" i="40"/>
  <c r="T20" i="40"/>
  <c r="Z20" i="40" s="1"/>
  <c r="R20" i="40"/>
  <c r="P20" i="40"/>
  <c r="X20" i="40" s="1"/>
  <c r="N20" i="40"/>
  <c r="L20" i="40"/>
  <c r="H20" i="40"/>
  <c r="D20" i="40"/>
  <c r="B20" i="40"/>
  <c r="V19" i="40"/>
  <c r="T19" i="40" a="1"/>
  <c r="T19" i="40" s="1"/>
  <c r="P19" i="40" a="1"/>
  <c r="P19" i="40"/>
  <c r="H19" i="40" a="1"/>
  <c r="H19" i="40" s="1"/>
  <c r="D19" i="40" a="1"/>
  <c r="D19" i="40"/>
  <c r="V17" i="40"/>
  <c r="F17" i="40"/>
  <c r="D17" i="40"/>
  <c r="X15" i="40"/>
  <c r="Z15" i="40" s="1"/>
  <c r="V15" i="40"/>
  <c r="R15" i="40"/>
  <c r="L15" i="40"/>
  <c r="N15" i="40" s="1"/>
  <c r="F15" i="40"/>
  <c r="B15" i="40"/>
  <c r="V14" i="40"/>
  <c r="T14" i="40"/>
  <c r="R14" i="40"/>
  <c r="P14" i="40"/>
  <c r="X14" i="40" s="1"/>
  <c r="H14" i="40"/>
  <c r="N14" i="40" s="1"/>
  <c r="F14" i="40"/>
  <c r="D14" i="40"/>
  <c r="L14" i="40" s="1"/>
  <c r="Z12" i="40"/>
  <c r="X12" i="40"/>
  <c r="T12" i="40"/>
  <c r="V35" i="40" s="1"/>
  <c r="P12" i="40"/>
  <c r="R48" i="40" s="1"/>
  <c r="H12" i="40"/>
  <c r="J42" i="40" s="1"/>
  <c r="D12" i="40"/>
  <c r="F46" i="40" s="1"/>
  <c r="D6" i="40"/>
  <c r="D4" i="40"/>
  <c r="Z79" i="39"/>
  <c r="X79" i="39"/>
  <c r="N79" i="39"/>
  <c r="L79" i="39"/>
  <c r="Z75" i="39"/>
  <c r="T75" i="39"/>
  <c r="X75" i="39" s="1"/>
  <c r="P75" i="39"/>
  <c r="J75" i="39"/>
  <c r="H75" i="39"/>
  <c r="N75" i="39" s="1"/>
  <c r="D75" i="39"/>
  <c r="L75" i="39" s="1"/>
  <c r="Z73" i="39"/>
  <c r="X73" i="39"/>
  <c r="N73" i="39"/>
  <c r="L73" i="39"/>
  <c r="B73" i="39"/>
  <c r="T72" i="39"/>
  <c r="P72" i="39"/>
  <c r="H72" i="39"/>
  <c r="D72" i="39"/>
  <c r="L72" i="39" s="1"/>
  <c r="N72" i="39" s="1"/>
  <c r="B72" i="39"/>
  <c r="Z71" i="39"/>
  <c r="X71" i="39"/>
  <c r="N71" i="39"/>
  <c r="L71" i="39"/>
  <c r="B71" i="39"/>
  <c r="Z70" i="39"/>
  <c r="T70" i="39"/>
  <c r="P70" i="39"/>
  <c r="X70" i="39" s="1"/>
  <c r="L70" i="39"/>
  <c r="H70" i="39"/>
  <c r="N70" i="39" s="1"/>
  <c r="D70" i="39"/>
  <c r="B70" i="39"/>
  <c r="Z69" i="39"/>
  <c r="X69" i="39"/>
  <c r="N69" i="39"/>
  <c r="L69" i="39"/>
  <c r="B69" i="39"/>
  <c r="X68" i="39"/>
  <c r="T68" i="39"/>
  <c r="P68" i="39"/>
  <c r="L68" i="39"/>
  <c r="H68" i="39"/>
  <c r="D68" i="39"/>
  <c r="B68" i="39"/>
  <c r="X67" i="39"/>
  <c r="Z67" i="39" s="1"/>
  <c r="N67" i="39"/>
  <c r="L67" i="39"/>
  <c r="B67" i="39"/>
  <c r="Z66" i="39"/>
  <c r="X66" i="39"/>
  <c r="N66" i="39"/>
  <c r="L66" i="39"/>
  <c r="B66" i="39"/>
  <c r="Z65" i="39"/>
  <c r="X65" i="39"/>
  <c r="N65" i="39"/>
  <c r="L65" i="39"/>
  <c r="B65" i="39"/>
  <c r="X64" i="39"/>
  <c r="Z64" i="39" s="1"/>
  <c r="N64" i="39"/>
  <c r="L64" i="39"/>
  <c r="B64" i="39"/>
  <c r="Z63" i="39"/>
  <c r="X63" i="39"/>
  <c r="N63" i="39"/>
  <c r="L63" i="39"/>
  <c r="B63" i="39"/>
  <c r="T62" i="39"/>
  <c r="P62" i="39"/>
  <c r="X62" i="39" s="1"/>
  <c r="Z62" i="39" s="1"/>
  <c r="L62" i="39"/>
  <c r="H62" i="39"/>
  <c r="N62" i="39" s="1"/>
  <c r="D62" i="39"/>
  <c r="B62" i="39"/>
  <c r="Z61" i="39"/>
  <c r="X61" i="39"/>
  <c r="N61" i="39"/>
  <c r="L61" i="39"/>
  <c r="B61" i="39"/>
  <c r="X60" i="39"/>
  <c r="Z60" i="39" s="1"/>
  <c r="N60" i="39"/>
  <c r="L60" i="39"/>
  <c r="B60" i="39"/>
  <c r="X59" i="39"/>
  <c r="Z59" i="39" s="1"/>
  <c r="N59" i="39"/>
  <c r="L59" i="39"/>
  <c r="B59" i="39"/>
  <c r="T58" i="39"/>
  <c r="P58" i="39"/>
  <c r="X58" i="39" s="1"/>
  <c r="Z58" i="39" s="1"/>
  <c r="H58" i="39"/>
  <c r="N58" i="39" s="1"/>
  <c r="D58" i="39"/>
  <c r="B58" i="39"/>
  <c r="X57" i="39"/>
  <c r="Z57" i="39" s="1"/>
  <c r="N57" i="39"/>
  <c r="L57" i="39"/>
  <c r="B57" i="39"/>
  <c r="X56" i="39"/>
  <c r="Z56" i="39" s="1"/>
  <c r="T56" i="39"/>
  <c r="P56" i="39"/>
  <c r="N56" i="39"/>
  <c r="H56" i="39"/>
  <c r="D56" i="39"/>
  <c r="L56" i="39" s="1"/>
  <c r="B56" i="39"/>
  <c r="X55" i="39"/>
  <c r="Z55" i="39" s="1"/>
  <c r="N55" i="39"/>
  <c r="L55" i="39"/>
  <c r="B55" i="39"/>
  <c r="X54" i="39"/>
  <c r="Z54" i="39" s="1"/>
  <c r="L54" i="39"/>
  <c r="N54" i="39" s="1"/>
  <c r="B54" i="39"/>
  <c r="T53" i="39"/>
  <c r="X53" i="39" s="1"/>
  <c r="Z53" i="39" s="1"/>
  <c r="P53" i="39"/>
  <c r="H53" i="39"/>
  <c r="D53" i="39"/>
  <c r="B53" i="39"/>
  <c r="X52" i="39"/>
  <c r="Z52" i="39" s="1"/>
  <c r="N52" i="39"/>
  <c r="L52" i="39"/>
  <c r="B52" i="39"/>
  <c r="T51" i="39"/>
  <c r="P51" i="39"/>
  <c r="X51" i="39" s="1"/>
  <c r="H51" i="39"/>
  <c r="N51" i="39" s="1"/>
  <c r="D51" i="39"/>
  <c r="L51" i="39" s="1"/>
  <c r="B51" i="39"/>
  <c r="X50" i="39"/>
  <c r="Z50" i="39" s="1"/>
  <c r="N50" i="39"/>
  <c r="L50" i="39"/>
  <c r="B50" i="39"/>
  <c r="T49" i="39"/>
  <c r="P49" i="39"/>
  <c r="X49" i="39" s="1"/>
  <c r="L49" i="39"/>
  <c r="N49" i="39" s="1"/>
  <c r="H49" i="39"/>
  <c r="D49" i="39"/>
  <c r="B49" i="39"/>
  <c r="X48" i="39"/>
  <c r="Z48" i="39" s="1"/>
  <c r="L48" i="39"/>
  <c r="N48" i="39" s="1"/>
  <c r="B48" i="39"/>
  <c r="X47" i="39"/>
  <c r="Z47" i="39" s="1"/>
  <c r="T47" i="39"/>
  <c r="P47" i="39"/>
  <c r="H47" i="39"/>
  <c r="D47" i="39"/>
  <c r="B47" i="39"/>
  <c r="X46" i="39"/>
  <c r="Z46" i="39" s="1"/>
  <c r="N46" i="39"/>
  <c r="L46" i="39"/>
  <c r="B46" i="39"/>
  <c r="T45" i="39"/>
  <c r="P45" i="39"/>
  <c r="N45" i="39"/>
  <c r="H45" i="39"/>
  <c r="D45" i="39"/>
  <c r="L45" i="39" s="1"/>
  <c r="B45" i="39"/>
  <c r="Z44" i="39"/>
  <c r="X44" i="39"/>
  <c r="N44" i="39"/>
  <c r="L44" i="39"/>
  <c r="J44" i="39"/>
  <c r="B44" i="39"/>
  <c r="Z43" i="39"/>
  <c r="T43" i="39"/>
  <c r="P43" i="39"/>
  <c r="X43" i="39" s="1"/>
  <c r="N43" i="39"/>
  <c r="H43" i="39"/>
  <c r="D43" i="39"/>
  <c r="L43" i="39" s="1"/>
  <c r="B43" i="39"/>
  <c r="Z42" i="39"/>
  <c r="X42" i="39"/>
  <c r="N42" i="39"/>
  <c r="L42" i="39"/>
  <c r="B42" i="39"/>
  <c r="Z41" i="39"/>
  <c r="X41" i="39"/>
  <c r="N41" i="39"/>
  <c r="L41" i="39"/>
  <c r="B41" i="39"/>
  <c r="Z40" i="39"/>
  <c r="X40" i="39"/>
  <c r="N40" i="39"/>
  <c r="L40" i="39"/>
  <c r="B40" i="39"/>
  <c r="X39" i="39"/>
  <c r="Z39" i="39" s="1"/>
  <c r="N39" i="39"/>
  <c r="L39" i="39"/>
  <c r="J39" i="39"/>
  <c r="B39" i="39"/>
  <c r="Z38" i="39"/>
  <c r="X38" i="39"/>
  <c r="N38" i="39"/>
  <c r="L38" i="39"/>
  <c r="B38" i="39"/>
  <c r="Z37" i="39"/>
  <c r="X37" i="39"/>
  <c r="N37" i="39"/>
  <c r="L37" i="39"/>
  <c r="B37" i="39"/>
  <c r="T36" i="39"/>
  <c r="P36" i="39"/>
  <c r="N36" i="39"/>
  <c r="H36" i="39"/>
  <c r="D36" i="39"/>
  <c r="L36" i="39" s="1"/>
  <c r="B36" i="39"/>
  <c r="X35" i="39"/>
  <c r="Z35" i="39" s="1"/>
  <c r="N35" i="39"/>
  <c r="L35" i="39"/>
  <c r="J35" i="39"/>
  <c r="B35" i="39"/>
  <c r="X34" i="39"/>
  <c r="Z34" i="39" s="1"/>
  <c r="N34" i="39"/>
  <c r="L34" i="39"/>
  <c r="B34" i="39"/>
  <c r="Z33" i="39"/>
  <c r="X33" i="39"/>
  <c r="N33" i="39"/>
  <c r="L33" i="39"/>
  <c r="B33" i="39"/>
  <c r="Z32" i="39"/>
  <c r="X32" i="39"/>
  <c r="N32" i="39"/>
  <c r="L32" i="39"/>
  <c r="B32" i="39"/>
  <c r="X31" i="39"/>
  <c r="Z31" i="39" s="1"/>
  <c r="N31" i="39"/>
  <c r="L31" i="39"/>
  <c r="B31" i="39"/>
  <c r="X30" i="39"/>
  <c r="Z30" i="39" s="1"/>
  <c r="N30" i="39"/>
  <c r="L30" i="39"/>
  <c r="B30" i="39"/>
  <c r="Z29" i="39"/>
  <c r="X29" i="39"/>
  <c r="N29" i="39"/>
  <c r="L29" i="39"/>
  <c r="F29" i="39"/>
  <c r="B29" i="39"/>
  <c r="X28" i="39"/>
  <c r="Z28" i="39" s="1"/>
  <c r="N28" i="39"/>
  <c r="L28" i="39"/>
  <c r="B28" i="39"/>
  <c r="X27" i="39"/>
  <c r="Z27" i="39" s="1"/>
  <c r="N27" i="39"/>
  <c r="L27" i="39"/>
  <c r="B27" i="39"/>
  <c r="T26" i="39"/>
  <c r="P26" i="39"/>
  <c r="X26" i="39" s="1"/>
  <c r="Z26" i="39" s="1"/>
  <c r="H26" i="39"/>
  <c r="N26" i="39" s="1"/>
  <c r="D26" i="39"/>
  <c r="L26" i="39" s="1"/>
  <c r="B26" i="39"/>
  <c r="T25" i="39" a="1"/>
  <c r="T25" i="39" s="1"/>
  <c r="P25" i="39" a="1"/>
  <c r="P25" i="39"/>
  <c r="X25" i="39" s="1"/>
  <c r="Z25" i="39" s="1"/>
  <c r="H25" i="39" a="1"/>
  <c r="H25" i="39" s="1"/>
  <c r="D25" i="39" a="1"/>
  <c r="D25" i="39" s="1"/>
  <c r="L25" i="39" s="1"/>
  <c r="J23" i="39"/>
  <c r="Z21" i="39"/>
  <c r="X21" i="39"/>
  <c r="N21" i="39"/>
  <c r="L21" i="39"/>
  <c r="B21" i="39"/>
  <c r="X20" i="39"/>
  <c r="Z20" i="39" s="1"/>
  <c r="L20" i="39"/>
  <c r="N20" i="39" s="1"/>
  <c r="B20" i="39"/>
  <c r="Z19" i="39"/>
  <c r="X19" i="39"/>
  <c r="N19" i="39"/>
  <c r="L19" i="39"/>
  <c r="B19" i="39"/>
  <c r="Z18" i="39"/>
  <c r="X18" i="39"/>
  <c r="T18" i="39"/>
  <c r="P18" i="39"/>
  <c r="J18" i="39"/>
  <c r="H18" i="39"/>
  <c r="D18" i="39"/>
  <c r="T16" i="39"/>
  <c r="P16" i="39"/>
  <c r="X16" i="39" s="1"/>
  <c r="Z16" i="39" s="1"/>
  <c r="N16" i="39"/>
  <c r="L16" i="39"/>
  <c r="H16" i="39"/>
  <c r="D16" i="39"/>
  <c r="B16" i="39"/>
  <c r="T15" i="39"/>
  <c r="Z15" i="39" s="1"/>
  <c r="P15" i="39"/>
  <c r="N15" i="39"/>
  <c r="H15" i="39"/>
  <c r="D15" i="39"/>
  <c r="L15" i="39" s="1"/>
  <c r="B15" i="39"/>
  <c r="T14" i="39"/>
  <c r="P14" i="39"/>
  <c r="H14" i="39"/>
  <c r="N14" i="39" s="1"/>
  <c r="D14" i="39"/>
  <c r="L14" i="39" s="1"/>
  <c r="B14" i="39"/>
  <c r="T13" i="39"/>
  <c r="P13" i="39"/>
  <c r="L13" i="39"/>
  <c r="H13" i="39"/>
  <c r="H12" i="39" s="1"/>
  <c r="J27" i="39" s="1"/>
  <c r="D13" i="39"/>
  <c r="B13" i="39"/>
  <c r="D12" i="39"/>
  <c r="D6" i="39"/>
  <c r="D4" i="39"/>
  <c r="X107" i="37"/>
  <c r="Z107" i="37" s="1"/>
  <c r="L107" i="37"/>
  <c r="N107" i="37" s="1"/>
  <c r="T103" i="37"/>
  <c r="Z103" i="37" s="1"/>
  <c r="P103" i="37"/>
  <c r="X103" i="37" s="1"/>
  <c r="N103" i="37"/>
  <c r="L103" i="37"/>
  <c r="H103" i="37"/>
  <c r="D103" i="37"/>
  <c r="B103" i="37"/>
  <c r="Z102" i="37"/>
  <c r="X102" i="37"/>
  <c r="T102" i="37"/>
  <c r="P102" i="37"/>
  <c r="H102" i="37"/>
  <c r="D102" i="37"/>
  <c r="B102" i="37"/>
  <c r="T101" i="37"/>
  <c r="P101" i="37"/>
  <c r="H101" i="37"/>
  <c r="D101" i="37"/>
  <c r="B101" i="37"/>
  <c r="Z98" i="37"/>
  <c r="X98" i="37"/>
  <c r="N98" i="37"/>
  <c r="L98" i="37"/>
  <c r="B98" i="37"/>
  <c r="T97" i="37"/>
  <c r="P97" i="37"/>
  <c r="H97" i="37"/>
  <c r="N97" i="37" s="1"/>
  <c r="D97" i="37"/>
  <c r="B97" i="37"/>
  <c r="X96" i="37"/>
  <c r="Z96" i="37" s="1"/>
  <c r="L96" i="37"/>
  <c r="N96" i="37" s="1"/>
  <c r="B96" i="37"/>
  <c r="T95" i="37"/>
  <c r="P95" i="37"/>
  <c r="H95" i="37"/>
  <c r="D95" i="37"/>
  <c r="L95" i="37" s="1"/>
  <c r="B95" i="37"/>
  <c r="Z94" i="37"/>
  <c r="X94" i="37"/>
  <c r="N94" i="37"/>
  <c r="L94" i="37"/>
  <c r="B94" i="37"/>
  <c r="X93" i="37"/>
  <c r="Z93" i="37" s="1"/>
  <c r="L93" i="37"/>
  <c r="N93" i="37" s="1"/>
  <c r="B93" i="37"/>
  <c r="X92" i="37"/>
  <c r="Z92" i="37" s="1"/>
  <c r="N92" i="37"/>
  <c r="L92" i="37"/>
  <c r="B92" i="37"/>
  <c r="Z91" i="37"/>
  <c r="X91" i="37"/>
  <c r="N91" i="37"/>
  <c r="L91" i="37"/>
  <c r="B91" i="37"/>
  <c r="T90" i="37"/>
  <c r="P90" i="37"/>
  <c r="X90" i="37" s="1"/>
  <c r="H90" i="37"/>
  <c r="D90" i="37"/>
  <c r="L90" i="37" s="1"/>
  <c r="N90" i="37" s="1"/>
  <c r="B90" i="37"/>
  <c r="X89" i="37"/>
  <c r="Z89" i="37" s="1"/>
  <c r="N89" i="37"/>
  <c r="L89" i="37"/>
  <c r="B89" i="37"/>
  <c r="T88" i="37"/>
  <c r="P88" i="37"/>
  <c r="X88" i="37" s="1"/>
  <c r="Z88" i="37" s="1"/>
  <c r="N88" i="37"/>
  <c r="H88" i="37"/>
  <c r="L88" i="37" s="1"/>
  <c r="D88" i="37"/>
  <c r="B88" i="37"/>
  <c r="Z87" i="37"/>
  <c r="X87" i="37"/>
  <c r="N87" i="37"/>
  <c r="L87" i="37"/>
  <c r="B87" i="37"/>
  <c r="Z86" i="37"/>
  <c r="X86" i="37"/>
  <c r="N86" i="37"/>
  <c r="L86" i="37"/>
  <c r="B86" i="37"/>
  <c r="T85" i="37"/>
  <c r="P85" i="37"/>
  <c r="X85" i="37" s="1"/>
  <c r="N85" i="37"/>
  <c r="L85" i="37"/>
  <c r="H85" i="37"/>
  <c r="D85" i="37"/>
  <c r="B85" i="37"/>
  <c r="Z84" i="37"/>
  <c r="X84" i="37"/>
  <c r="L84" i="37"/>
  <c r="N84" i="37" s="1"/>
  <c r="B84" i="37"/>
  <c r="Z83" i="37"/>
  <c r="X83" i="37"/>
  <c r="T83" i="37"/>
  <c r="P83" i="37"/>
  <c r="L83" i="37"/>
  <c r="H83" i="37"/>
  <c r="D83" i="37"/>
  <c r="B83" i="37"/>
  <c r="Z82" i="37"/>
  <c r="X82" i="37"/>
  <c r="N82" i="37"/>
  <c r="L82" i="37"/>
  <c r="B82" i="37"/>
  <c r="T81" i="37"/>
  <c r="P81" i="37"/>
  <c r="H81" i="37"/>
  <c r="N81" i="37" s="1"/>
  <c r="D81" i="37"/>
  <c r="B81" i="37"/>
  <c r="X80" i="37"/>
  <c r="Z80" i="37" s="1"/>
  <c r="N80" i="37"/>
  <c r="L80" i="37"/>
  <c r="B80" i="37"/>
  <c r="Z79" i="37"/>
  <c r="X79" i="37"/>
  <c r="N79" i="37"/>
  <c r="L79" i="37"/>
  <c r="B79" i="37"/>
  <c r="T78" i="37"/>
  <c r="P78" i="37"/>
  <c r="N78" i="37"/>
  <c r="H78" i="37"/>
  <c r="D78" i="37"/>
  <c r="L78" i="37" s="1"/>
  <c r="B78" i="37"/>
  <c r="Z77" i="37"/>
  <c r="X77" i="37"/>
  <c r="N77" i="37"/>
  <c r="L77" i="37"/>
  <c r="B77" i="37"/>
  <c r="Z76" i="37"/>
  <c r="T76" i="37"/>
  <c r="P76" i="37"/>
  <c r="X76" i="37" s="1"/>
  <c r="N76" i="37"/>
  <c r="H76" i="37"/>
  <c r="L76" i="37" s="1"/>
  <c r="D76" i="37"/>
  <c r="B76" i="37"/>
  <c r="Z75" i="37"/>
  <c r="X75" i="37"/>
  <c r="N75" i="37"/>
  <c r="L75" i="37"/>
  <c r="B75" i="37"/>
  <c r="T74" i="37"/>
  <c r="X74" i="37" s="1"/>
  <c r="Z74" i="37" s="1"/>
  <c r="P74" i="37"/>
  <c r="L74" i="37"/>
  <c r="N74" i="37" s="1"/>
  <c r="H74" i="37"/>
  <c r="D74" i="37"/>
  <c r="B74" i="37"/>
  <c r="X73" i="37"/>
  <c r="Z73" i="37" s="1"/>
  <c r="N73" i="37"/>
  <c r="L73" i="37"/>
  <c r="B73" i="37"/>
  <c r="Z72" i="37"/>
  <c r="X72" i="37"/>
  <c r="T72" i="37"/>
  <c r="P72" i="37"/>
  <c r="H72" i="37"/>
  <c r="N72" i="37" s="1"/>
  <c r="D72" i="37"/>
  <c r="B72" i="37"/>
  <c r="Z71" i="37"/>
  <c r="X71" i="37"/>
  <c r="N71" i="37"/>
  <c r="L71" i="37"/>
  <c r="B71" i="37"/>
  <c r="Z70" i="37"/>
  <c r="X70" i="37"/>
  <c r="N70" i="37"/>
  <c r="L70" i="37"/>
  <c r="B70" i="37"/>
  <c r="Z69" i="37"/>
  <c r="X69" i="37"/>
  <c r="N69" i="37"/>
  <c r="L69" i="37"/>
  <c r="B69" i="37"/>
  <c r="Z68" i="37"/>
  <c r="X68" i="37"/>
  <c r="L68" i="37"/>
  <c r="N68" i="37" s="1"/>
  <c r="B68" i="37"/>
  <c r="Z67" i="37"/>
  <c r="X67" i="37"/>
  <c r="N67" i="37"/>
  <c r="L67" i="37"/>
  <c r="B67" i="37"/>
  <c r="T66" i="37"/>
  <c r="P66" i="37"/>
  <c r="X66" i="37" s="1"/>
  <c r="Z66" i="37" s="1"/>
  <c r="L66" i="37"/>
  <c r="N66" i="37" s="1"/>
  <c r="H66" i="37"/>
  <c r="D66" i="37"/>
  <c r="B66" i="37"/>
  <c r="X65" i="37"/>
  <c r="Z65" i="37" s="1"/>
  <c r="L65" i="37"/>
  <c r="N65" i="37" s="1"/>
  <c r="B65" i="37"/>
  <c r="Z64" i="37"/>
  <c r="X64" i="37"/>
  <c r="L64" i="37"/>
  <c r="N64" i="37" s="1"/>
  <c r="B64" i="37"/>
  <c r="X63" i="37"/>
  <c r="Z63" i="37" s="1"/>
  <c r="N63" i="37"/>
  <c r="L63" i="37"/>
  <c r="B63" i="37"/>
  <c r="Z62" i="37"/>
  <c r="X62" i="37"/>
  <c r="N62" i="37"/>
  <c r="L62" i="37"/>
  <c r="B62" i="37"/>
  <c r="X61" i="37"/>
  <c r="Z61" i="37" s="1"/>
  <c r="L61" i="37"/>
  <c r="N61" i="37" s="1"/>
  <c r="B61" i="37"/>
  <c r="X60" i="37"/>
  <c r="Z60" i="37" s="1"/>
  <c r="N60" i="37"/>
  <c r="L60" i="37"/>
  <c r="B60" i="37"/>
  <c r="Z59" i="37"/>
  <c r="X59" i="37"/>
  <c r="N59" i="37"/>
  <c r="L59" i="37"/>
  <c r="B59" i="37"/>
  <c r="Z58" i="37"/>
  <c r="X58" i="37"/>
  <c r="N58" i="37"/>
  <c r="L58" i="37"/>
  <c r="B58" i="37"/>
  <c r="X57" i="37"/>
  <c r="Z57" i="37" s="1"/>
  <c r="L57" i="37"/>
  <c r="N57" i="37" s="1"/>
  <c r="B57" i="37"/>
  <c r="Z56" i="37"/>
  <c r="X56" i="37"/>
  <c r="T56" i="37"/>
  <c r="P56" i="37"/>
  <c r="H56" i="37"/>
  <c r="D56" i="37"/>
  <c r="L56" i="37" s="1"/>
  <c r="B56" i="37"/>
  <c r="T55" i="37" a="1"/>
  <c r="T55" i="37" s="1"/>
  <c r="P55" i="37" a="1"/>
  <c r="P55" i="37"/>
  <c r="H55" i="37" a="1"/>
  <c r="H55" i="37"/>
  <c r="D55" i="37" a="1"/>
  <c r="D55" i="37"/>
  <c r="Z51" i="37"/>
  <c r="X51" i="37"/>
  <c r="N51" i="37"/>
  <c r="L51" i="37"/>
  <c r="B51" i="37"/>
  <c r="Z50" i="37"/>
  <c r="X50" i="37"/>
  <c r="N50" i="37"/>
  <c r="L50" i="37"/>
  <c r="B50" i="37"/>
  <c r="X49" i="37"/>
  <c r="Z49" i="37" s="1"/>
  <c r="N49" i="37"/>
  <c r="L49" i="37"/>
  <c r="B49" i="37"/>
  <c r="X48" i="37"/>
  <c r="Z48" i="37" s="1"/>
  <c r="N48" i="37"/>
  <c r="L48" i="37"/>
  <c r="B48" i="37"/>
  <c r="Z47" i="37"/>
  <c r="X47" i="37"/>
  <c r="N47" i="37"/>
  <c r="L47" i="37"/>
  <c r="B47" i="37"/>
  <c r="Z46" i="37"/>
  <c r="X46" i="37"/>
  <c r="N46" i="37"/>
  <c r="L46" i="37"/>
  <c r="B46" i="37"/>
  <c r="X45" i="37"/>
  <c r="Z45" i="37" s="1"/>
  <c r="L45" i="37"/>
  <c r="N45" i="37" s="1"/>
  <c r="B45" i="37"/>
  <c r="Z44" i="37"/>
  <c r="X44" i="37"/>
  <c r="L44" i="37"/>
  <c r="N44" i="37" s="1"/>
  <c r="B44" i="37"/>
  <c r="X43" i="37"/>
  <c r="Z43" i="37" s="1"/>
  <c r="N43" i="37"/>
  <c r="L43" i="37"/>
  <c r="B43" i="37"/>
  <c r="Z42" i="37"/>
  <c r="X42" i="37"/>
  <c r="N42" i="37"/>
  <c r="L42" i="37"/>
  <c r="B42" i="37"/>
  <c r="X41" i="37"/>
  <c r="Z41" i="37" s="1"/>
  <c r="L41" i="37"/>
  <c r="N41" i="37" s="1"/>
  <c r="B41" i="37"/>
  <c r="X40" i="37"/>
  <c r="Z40" i="37" s="1"/>
  <c r="N40" i="37"/>
  <c r="L40" i="37"/>
  <c r="B40" i="37"/>
  <c r="Z39" i="37"/>
  <c r="X39" i="37"/>
  <c r="L39" i="37"/>
  <c r="N39" i="37" s="1"/>
  <c r="B39" i="37"/>
  <c r="Z38" i="37"/>
  <c r="X38" i="37"/>
  <c r="N38" i="37"/>
  <c r="L38" i="37"/>
  <c r="B38" i="37"/>
  <c r="Z37" i="37"/>
  <c r="X37" i="37"/>
  <c r="N37" i="37"/>
  <c r="L37" i="37"/>
  <c r="B37" i="37"/>
  <c r="Z36" i="37"/>
  <c r="X36" i="37"/>
  <c r="T36" i="37"/>
  <c r="P36" i="37"/>
  <c r="H36" i="37"/>
  <c r="D36" i="37"/>
  <c r="X34" i="37"/>
  <c r="T34" i="37"/>
  <c r="Z34" i="37" s="1"/>
  <c r="P34" i="37"/>
  <c r="H34" i="37"/>
  <c r="D34" i="37"/>
  <c r="B34" i="37"/>
  <c r="T33" i="37"/>
  <c r="P33" i="37"/>
  <c r="X33" i="37" s="1"/>
  <c r="Z33" i="37" s="1"/>
  <c r="N33" i="37"/>
  <c r="L33" i="37"/>
  <c r="H33" i="37"/>
  <c r="D33" i="37"/>
  <c r="B33" i="37"/>
  <c r="T32" i="37"/>
  <c r="P32" i="37"/>
  <c r="H32" i="37"/>
  <c r="D32" i="37"/>
  <c r="L32" i="37" s="1"/>
  <c r="N32" i="37" s="1"/>
  <c r="B32" i="37"/>
  <c r="X31" i="37"/>
  <c r="T31" i="37"/>
  <c r="Z31" i="37" s="1"/>
  <c r="P31" i="37"/>
  <c r="H31" i="37"/>
  <c r="N31" i="37" s="1"/>
  <c r="D31" i="37"/>
  <c r="L31" i="37" s="1"/>
  <c r="B31" i="37"/>
  <c r="T30" i="37"/>
  <c r="P30" i="37"/>
  <c r="L30" i="37"/>
  <c r="H30" i="37"/>
  <c r="N30" i="37" s="1"/>
  <c r="D30" i="37"/>
  <c r="B30" i="37"/>
  <c r="Z29" i="37"/>
  <c r="X29" i="37"/>
  <c r="T29" i="37"/>
  <c r="P29" i="37"/>
  <c r="N29" i="37"/>
  <c r="H29" i="37"/>
  <c r="D29" i="37"/>
  <c r="L29" i="37" s="1"/>
  <c r="B29" i="37"/>
  <c r="T28" i="37"/>
  <c r="P28" i="37"/>
  <c r="X28" i="37" s="1"/>
  <c r="Z28" i="37" s="1"/>
  <c r="H28" i="37"/>
  <c r="D28" i="37"/>
  <c r="L28" i="37" s="1"/>
  <c r="B28" i="37"/>
  <c r="T27" i="37"/>
  <c r="P27" i="37"/>
  <c r="X27" i="37" s="1"/>
  <c r="H27" i="37"/>
  <c r="D27" i="37"/>
  <c r="L27" i="37" s="1"/>
  <c r="B27" i="37"/>
  <c r="X26" i="37"/>
  <c r="T26" i="37"/>
  <c r="Z26" i="37" s="1"/>
  <c r="P26" i="37"/>
  <c r="L26" i="37"/>
  <c r="H26" i="37"/>
  <c r="N26" i="37" s="1"/>
  <c r="D26" i="37"/>
  <c r="B26" i="37"/>
  <c r="Z25" i="37"/>
  <c r="T25" i="37"/>
  <c r="P25" i="37"/>
  <c r="X25" i="37" s="1"/>
  <c r="N25" i="37"/>
  <c r="L25" i="37"/>
  <c r="H25" i="37"/>
  <c r="D25" i="37"/>
  <c r="B25" i="37"/>
  <c r="T24" i="37"/>
  <c r="P24" i="37"/>
  <c r="H24" i="37"/>
  <c r="D24" i="37"/>
  <c r="L24" i="37" s="1"/>
  <c r="N24" i="37" s="1"/>
  <c r="B24" i="37"/>
  <c r="X23" i="37"/>
  <c r="T23" i="37"/>
  <c r="P23" i="37"/>
  <c r="H23" i="37"/>
  <c r="D23" i="37"/>
  <c r="L23" i="37" s="1"/>
  <c r="B23" i="37"/>
  <c r="T22" i="37"/>
  <c r="P22" i="37"/>
  <c r="L22" i="37"/>
  <c r="H22" i="37"/>
  <c r="N22" i="37" s="1"/>
  <c r="D22" i="37"/>
  <c r="B22" i="37"/>
  <c r="Z21" i="37"/>
  <c r="X21" i="37"/>
  <c r="T21" i="37"/>
  <c r="P21" i="37"/>
  <c r="H21" i="37"/>
  <c r="D21" i="37"/>
  <c r="L21" i="37" s="1"/>
  <c r="N21" i="37" s="1"/>
  <c r="B21" i="37"/>
  <c r="T20" i="37"/>
  <c r="P20" i="37"/>
  <c r="X20" i="37" s="1"/>
  <c r="Z20" i="37" s="1"/>
  <c r="H20" i="37"/>
  <c r="D20" i="37"/>
  <c r="B20" i="37"/>
  <c r="T19" i="37"/>
  <c r="Z19" i="37" s="1"/>
  <c r="P19" i="37"/>
  <c r="X19" i="37" s="1"/>
  <c r="H19" i="37"/>
  <c r="N19" i="37" s="1"/>
  <c r="D19" i="37"/>
  <c r="L19" i="37" s="1"/>
  <c r="B19" i="37"/>
  <c r="X18" i="37"/>
  <c r="T18" i="37"/>
  <c r="Z18" i="37" s="1"/>
  <c r="P18" i="37"/>
  <c r="H18" i="37"/>
  <c r="D18" i="37"/>
  <c r="B18" i="37"/>
  <c r="T17" i="37"/>
  <c r="P17" i="37"/>
  <c r="X17" i="37" s="1"/>
  <c r="Z17" i="37" s="1"/>
  <c r="N17" i="37"/>
  <c r="L17" i="37"/>
  <c r="H17" i="37"/>
  <c r="D17" i="37"/>
  <c r="B17" i="37"/>
  <c r="T16" i="37"/>
  <c r="P16" i="37"/>
  <c r="N16" i="37"/>
  <c r="H16" i="37"/>
  <c r="D16" i="37"/>
  <c r="L16" i="37" s="1"/>
  <c r="B16" i="37"/>
  <c r="T15" i="37"/>
  <c r="P15" i="37"/>
  <c r="H15" i="37"/>
  <c r="D15" i="37"/>
  <c r="L15" i="37" s="1"/>
  <c r="B15" i="37"/>
  <c r="T14" i="37"/>
  <c r="P14" i="37"/>
  <c r="L14" i="37"/>
  <c r="H14" i="37"/>
  <c r="N14" i="37" s="1"/>
  <c r="D14" i="37"/>
  <c r="B14" i="37"/>
  <c r="X13" i="37"/>
  <c r="Z13" i="37" s="1"/>
  <c r="T13" i="37"/>
  <c r="P13" i="37"/>
  <c r="H13" i="37"/>
  <c r="D13" i="37"/>
  <c r="L13" i="37" s="1"/>
  <c r="N13" i="37" s="1"/>
  <c r="B13" i="37"/>
  <c r="D6" i="37"/>
  <c r="D4" i="37"/>
  <c r="X87" i="36"/>
  <c r="Z87" i="36" s="1"/>
  <c r="N87" i="36"/>
  <c r="L87" i="36"/>
  <c r="Z83" i="36"/>
  <c r="X83" i="36"/>
  <c r="T83" i="36"/>
  <c r="P83" i="36"/>
  <c r="H83" i="36"/>
  <c r="D83" i="36"/>
  <c r="L83" i="36" s="1"/>
  <c r="B83" i="36"/>
  <c r="T82" i="36"/>
  <c r="P82" i="36"/>
  <c r="D82" i="36"/>
  <c r="Z80" i="36"/>
  <c r="X80" i="36"/>
  <c r="N80" i="36"/>
  <c r="L80" i="36"/>
  <c r="B80" i="36"/>
  <c r="T79" i="36"/>
  <c r="X79" i="36" s="1"/>
  <c r="Z79" i="36" s="1"/>
  <c r="P79" i="36"/>
  <c r="N79" i="36"/>
  <c r="L79" i="36"/>
  <c r="H79" i="36"/>
  <c r="D79" i="36"/>
  <c r="B79" i="36"/>
  <c r="X78" i="36"/>
  <c r="Z78" i="36" s="1"/>
  <c r="N78" i="36"/>
  <c r="L78" i="36"/>
  <c r="B78" i="36"/>
  <c r="X77" i="36"/>
  <c r="Z77" i="36" s="1"/>
  <c r="T77" i="36"/>
  <c r="P77" i="36"/>
  <c r="H77" i="36"/>
  <c r="D77" i="36"/>
  <c r="B77" i="36"/>
  <c r="Z76" i="36"/>
  <c r="X76" i="36"/>
  <c r="N76" i="36"/>
  <c r="L76" i="36"/>
  <c r="B76" i="36"/>
  <c r="Z75" i="36"/>
  <c r="X75" i="36"/>
  <c r="N75" i="36"/>
  <c r="L75" i="36"/>
  <c r="B75" i="36"/>
  <c r="X74" i="36"/>
  <c r="Z74" i="36" s="1"/>
  <c r="N74" i="36"/>
  <c r="L74" i="36"/>
  <c r="B74" i="36"/>
  <c r="Z73" i="36"/>
  <c r="X73" i="36"/>
  <c r="L73" i="36"/>
  <c r="N73" i="36" s="1"/>
  <c r="B73" i="36"/>
  <c r="X72" i="36"/>
  <c r="Z72" i="36" s="1"/>
  <c r="N72" i="36"/>
  <c r="L72" i="36"/>
  <c r="B72" i="36"/>
  <c r="Z71" i="36"/>
  <c r="X71" i="36"/>
  <c r="N71" i="36"/>
  <c r="L71" i="36"/>
  <c r="F71" i="36"/>
  <c r="B71" i="36"/>
  <c r="T70" i="36"/>
  <c r="P70" i="36"/>
  <c r="X70" i="36" s="1"/>
  <c r="L70" i="36"/>
  <c r="N70" i="36" s="1"/>
  <c r="H70" i="36"/>
  <c r="D70" i="36"/>
  <c r="B70" i="36"/>
  <c r="X69" i="36"/>
  <c r="Z69" i="36" s="1"/>
  <c r="N69" i="36"/>
  <c r="L69" i="36"/>
  <c r="B69" i="36"/>
  <c r="X68" i="36"/>
  <c r="Z68" i="36" s="1"/>
  <c r="T68" i="36"/>
  <c r="P68" i="36"/>
  <c r="H68" i="36"/>
  <c r="D68" i="36"/>
  <c r="B68" i="36"/>
  <c r="Z67" i="36"/>
  <c r="X67" i="36"/>
  <c r="N67" i="36"/>
  <c r="L67" i="36"/>
  <c r="B67" i="36"/>
  <c r="T66" i="36"/>
  <c r="P66" i="36"/>
  <c r="H66" i="36"/>
  <c r="D66" i="36"/>
  <c r="B66" i="36"/>
  <c r="X65" i="36"/>
  <c r="Z65" i="36" s="1"/>
  <c r="N65" i="36"/>
  <c r="L65" i="36"/>
  <c r="B65" i="36"/>
  <c r="Z64" i="36"/>
  <c r="X64" i="36"/>
  <c r="L64" i="36"/>
  <c r="N64" i="36" s="1"/>
  <c r="B64" i="36"/>
  <c r="Z63" i="36"/>
  <c r="X63" i="36"/>
  <c r="N63" i="36"/>
  <c r="L63" i="36"/>
  <c r="B63" i="36"/>
  <c r="X62" i="36"/>
  <c r="T62" i="36"/>
  <c r="P62" i="36"/>
  <c r="H62" i="36"/>
  <c r="D62" i="36"/>
  <c r="L62" i="36" s="1"/>
  <c r="B62" i="36"/>
  <c r="Z61" i="36"/>
  <c r="X61" i="36"/>
  <c r="N61" i="36"/>
  <c r="L61" i="36"/>
  <c r="B61" i="36"/>
  <c r="Z60" i="36"/>
  <c r="X60" i="36"/>
  <c r="T60" i="36"/>
  <c r="P60" i="36"/>
  <c r="H60" i="36"/>
  <c r="N60" i="36" s="1"/>
  <c r="D60" i="36"/>
  <c r="L60" i="36" s="1"/>
  <c r="B60" i="36"/>
  <c r="Z59" i="36"/>
  <c r="X59" i="36"/>
  <c r="N59" i="36"/>
  <c r="L59" i="36"/>
  <c r="B59" i="36"/>
  <c r="T58" i="36"/>
  <c r="Z58" i="36" s="1"/>
  <c r="P58" i="36"/>
  <c r="X58" i="36" s="1"/>
  <c r="N58" i="36"/>
  <c r="L58" i="36"/>
  <c r="H58" i="36"/>
  <c r="D58" i="36"/>
  <c r="B58" i="36"/>
  <c r="X57" i="36"/>
  <c r="Z57" i="36" s="1"/>
  <c r="L57" i="36"/>
  <c r="N57" i="36" s="1"/>
  <c r="B57" i="36"/>
  <c r="X56" i="36"/>
  <c r="Z56" i="36" s="1"/>
  <c r="L56" i="36"/>
  <c r="N56" i="36" s="1"/>
  <c r="B56" i="36"/>
  <c r="T55" i="36"/>
  <c r="P55" i="36"/>
  <c r="H55" i="36"/>
  <c r="D55" i="36"/>
  <c r="L55" i="36" s="1"/>
  <c r="N55" i="36" s="1"/>
  <c r="B55" i="36"/>
  <c r="X54" i="36"/>
  <c r="Z54" i="36" s="1"/>
  <c r="L54" i="36"/>
  <c r="N54" i="36" s="1"/>
  <c r="B54" i="36"/>
  <c r="Z53" i="36"/>
  <c r="X53" i="36"/>
  <c r="T53" i="36"/>
  <c r="P53" i="36"/>
  <c r="H53" i="36"/>
  <c r="D53" i="36"/>
  <c r="B53" i="36"/>
  <c r="Z52" i="36"/>
  <c r="X52" i="36"/>
  <c r="N52" i="36"/>
  <c r="L52" i="36"/>
  <c r="F52" i="36"/>
  <c r="B52" i="36"/>
  <c r="Z51" i="36"/>
  <c r="T51" i="36"/>
  <c r="P51" i="36"/>
  <c r="X51" i="36" s="1"/>
  <c r="N51" i="36"/>
  <c r="L51" i="36"/>
  <c r="H51" i="36"/>
  <c r="D51" i="36"/>
  <c r="B51" i="36"/>
  <c r="X50" i="36"/>
  <c r="Z50" i="36" s="1"/>
  <c r="L50" i="36"/>
  <c r="N50" i="36" s="1"/>
  <c r="B50" i="36"/>
  <c r="X49" i="36"/>
  <c r="Z49" i="36" s="1"/>
  <c r="T49" i="36"/>
  <c r="P49" i="36"/>
  <c r="H49" i="36"/>
  <c r="D49" i="36"/>
  <c r="B49" i="36"/>
  <c r="Z48" i="36"/>
  <c r="X48" i="36"/>
  <c r="N48" i="36"/>
  <c r="L48" i="36"/>
  <c r="F48" i="36"/>
  <c r="B48" i="36"/>
  <c r="Z47" i="36"/>
  <c r="T47" i="36"/>
  <c r="X47" i="36" s="1"/>
  <c r="P47" i="36"/>
  <c r="N47" i="36"/>
  <c r="L47" i="36"/>
  <c r="H47" i="36"/>
  <c r="D47" i="36"/>
  <c r="B47" i="36"/>
  <c r="Z46" i="36"/>
  <c r="X46" i="36"/>
  <c r="N46" i="36"/>
  <c r="L46" i="36"/>
  <c r="B46" i="36"/>
  <c r="Z45" i="36"/>
  <c r="X45" i="36"/>
  <c r="L45" i="36"/>
  <c r="N45" i="36" s="1"/>
  <c r="B45" i="36"/>
  <c r="Z44" i="36"/>
  <c r="X44" i="36"/>
  <c r="N44" i="36"/>
  <c r="L44" i="36"/>
  <c r="B44" i="36"/>
  <c r="Z43" i="36"/>
  <c r="X43" i="36"/>
  <c r="N43" i="36"/>
  <c r="L43" i="36"/>
  <c r="B43" i="36"/>
  <c r="T42" i="36"/>
  <c r="P42" i="36"/>
  <c r="X42" i="36" s="1"/>
  <c r="Z42" i="36" s="1"/>
  <c r="N42" i="36"/>
  <c r="L42" i="36"/>
  <c r="H42" i="36"/>
  <c r="D42" i="36"/>
  <c r="B42" i="36"/>
  <c r="X41" i="36"/>
  <c r="Z41" i="36" s="1"/>
  <c r="R41" i="36"/>
  <c r="N41" i="36"/>
  <c r="L41" i="36"/>
  <c r="B41" i="36"/>
  <c r="X40" i="36"/>
  <c r="Z40" i="36" s="1"/>
  <c r="N40" i="36"/>
  <c r="L40" i="36"/>
  <c r="B40" i="36"/>
  <c r="X39" i="36"/>
  <c r="Z39" i="36" s="1"/>
  <c r="V39" i="36"/>
  <c r="N39" i="36"/>
  <c r="L39" i="36"/>
  <c r="B39" i="36"/>
  <c r="Z38" i="36"/>
  <c r="X38" i="36"/>
  <c r="L38" i="36"/>
  <c r="N38" i="36" s="1"/>
  <c r="B38" i="36"/>
  <c r="Z37" i="36"/>
  <c r="X37" i="36"/>
  <c r="N37" i="36"/>
  <c r="L37" i="36"/>
  <c r="B37" i="36"/>
  <c r="Z36" i="36"/>
  <c r="X36" i="36"/>
  <c r="N36" i="36"/>
  <c r="L36" i="36"/>
  <c r="B36" i="36"/>
  <c r="Z35" i="36"/>
  <c r="X35" i="36"/>
  <c r="V35" i="36"/>
  <c r="N35" i="36"/>
  <c r="L35" i="36"/>
  <c r="B35" i="36"/>
  <c r="X34" i="36"/>
  <c r="Z34" i="36" s="1"/>
  <c r="L34" i="36"/>
  <c r="N34" i="36" s="1"/>
  <c r="B34" i="36"/>
  <c r="T33" i="36"/>
  <c r="P33" i="36"/>
  <c r="X33" i="36" s="1"/>
  <c r="Z33" i="36" s="1"/>
  <c r="L33" i="36"/>
  <c r="N33" i="36" s="1"/>
  <c r="H33" i="36"/>
  <c r="D33" i="36"/>
  <c r="B33" i="36"/>
  <c r="T32" i="36" a="1"/>
  <c r="T32" i="36" s="1"/>
  <c r="P32" i="36" a="1"/>
  <c r="P32" i="36" s="1"/>
  <c r="X32" i="36" s="1"/>
  <c r="H32" i="36" a="1"/>
  <c r="H32" i="36" s="1"/>
  <c r="D32" i="36" a="1"/>
  <c r="D32" i="36" s="1"/>
  <c r="Z28" i="36"/>
  <c r="X28" i="36"/>
  <c r="N28" i="36"/>
  <c r="L28" i="36"/>
  <c r="F28" i="36"/>
  <c r="B28" i="36"/>
  <c r="T27" i="36"/>
  <c r="Z27" i="36" s="1"/>
  <c r="R27" i="36"/>
  <c r="P27" i="36"/>
  <c r="X27" i="36" s="1"/>
  <c r="N27" i="36"/>
  <c r="H27" i="36"/>
  <c r="D27" i="36"/>
  <c r="L27" i="36" s="1"/>
  <c r="Z25" i="36"/>
  <c r="X25" i="36"/>
  <c r="T25" i="36"/>
  <c r="P25" i="36"/>
  <c r="N25" i="36"/>
  <c r="H25" i="36"/>
  <c r="D25" i="36"/>
  <c r="L25" i="36" s="1"/>
  <c r="B25" i="36"/>
  <c r="Z24" i="36"/>
  <c r="X24" i="36"/>
  <c r="T24" i="36"/>
  <c r="P24" i="36"/>
  <c r="H24" i="36"/>
  <c r="N24" i="36" s="1"/>
  <c r="D24" i="36"/>
  <c r="L24" i="36" s="1"/>
  <c r="B24" i="36"/>
  <c r="Z23" i="36"/>
  <c r="X23" i="36"/>
  <c r="T23" i="36"/>
  <c r="P23" i="36"/>
  <c r="H23" i="36"/>
  <c r="N23" i="36" s="1"/>
  <c r="D23" i="36"/>
  <c r="B23" i="36"/>
  <c r="Z22" i="36"/>
  <c r="X22" i="36"/>
  <c r="T22" i="36"/>
  <c r="P22" i="36"/>
  <c r="H22" i="36"/>
  <c r="D22" i="36"/>
  <c r="B22" i="36"/>
  <c r="T21" i="36"/>
  <c r="P21" i="36"/>
  <c r="X21" i="36" s="1"/>
  <c r="Z21" i="36" s="1"/>
  <c r="N21" i="36"/>
  <c r="L21" i="36"/>
  <c r="H21" i="36"/>
  <c r="D21" i="36"/>
  <c r="B21" i="36"/>
  <c r="T20" i="36"/>
  <c r="Z20" i="36" s="1"/>
  <c r="P20" i="36"/>
  <c r="X20" i="36" s="1"/>
  <c r="N20" i="36"/>
  <c r="L20" i="36"/>
  <c r="H20" i="36"/>
  <c r="D20" i="36"/>
  <c r="B20" i="36"/>
  <c r="T19" i="36"/>
  <c r="P19" i="36"/>
  <c r="X19" i="36" s="1"/>
  <c r="N19" i="36"/>
  <c r="L19" i="36"/>
  <c r="H19" i="36"/>
  <c r="D19" i="36"/>
  <c r="B19" i="36"/>
  <c r="X18" i="36"/>
  <c r="T18" i="36"/>
  <c r="Z18" i="36" s="1"/>
  <c r="P18" i="36"/>
  <c r="N18" i="36"/>
  <c r="L18" i="36"/>
  <c r="H18" i="36"/>
  <c r="D18" i="36"/>
  <c r="B18" i="36"/>
  <c r="T17" i="36"/>
  <c r="T12" i="36" s="1"/>
  <c r="V32" i="36" s="1"/>
  <c r="P17" i="36"/>
  <c r="H17" i="36"/>
  <c r="D17" i="36"/>
  <c r="L17" i="36" s="1"/>
  <c r="N17" i="36" s="1"/>
  <c r="B17" i="36"/>
  <c r="X16" i="36"/>
  <c r="Z16" i="36" s="1"/>
  <c r="T16" i="36"/>
  <c r="P16" i="36"/>
  <c r="H16" i="36"/>
  <c r="D16" i="36"/>
  <c r="L16" i="36" s="1"/>
  <c r="B16" i="36"/>
  <c r="Z15" i="36"/>
  <c r="X15" i="36"/>
  <c r="T15" i="36"/>
  <c r="P15" i="36"/>
  <c r="H15" i="36"/>
  <c r="D15" i="36"/>
  <c r="B15" i="36"/>
  <c r="Z14" i="36"/>
  <c r="X14" i="36"/>
  <c r="T14" i="36"/>
  <c r="P14" i="36"/>
  <c r="H14" i="36"/>
  <c r="D14" i="36"/>
  <c r="L14" i="36" s="1"/>
  <c r="B14" i="36"/>
  <c r="T13" i="36"/>
  <c r="P13" i="36"/>
  <c r="X13" i="36" s="1"/>
  <c r="Z13" i="36" s="1"/>
  <c r="L13" i="36"/>
  <c r="N13" i="36" s="1"/>
  <c r="H13" i="36"/>
  <c r="D13" i="36"/>
  <c r="D12" i="36" s="1"/>
  <c r="F70" i="36" s="1"/>
  <c r="B13" i="36"/>
  <c r="P12" i="36"/>
  <c r="D6" i="36"/>
  <c r="D4" i="36"/>
  <c r="X151" i="35"/>
  <c r="Z151" i="35" s="1"/>
  <c r="N151" i="35"/>
  <c r="L151" i="35"/>
  <c r="T147" i="35"/>
  <c r="P147" i="35"/>
  <c r="X147" i="35" s="1"/>
  <c r="Z147" i="35" s="1"/>
  <c r="L147" i="35"/>
  <c r="N147" i="35" s="1"/>
  <c r="H147" i="35"/>
  <c r="D147" i="35"/>
  <c r="B147" i="35"/>
  <c r="X146" i="35"/>
  <c r="Z146" i="35" s="1"/>
  <c r="T146" i="35"/>
  <c r="P146" i="35"/>
  <c r="H146" i="35"/>
  <c r="D146" i="35"/>
  <c r="B146" i="35"/>
  <c r="T145" i="35"/>
  <c r="P145" i="35"/>
  <c r="H145" i="35"/>
  <c r="D145" i="35"/>
  <c r="B145" i="35"/>
  <c r="X142" i="35"/>
  <c r="Z142" i="35" s="1"/>
  <c r="N142" i="35"/>
  <c r="L142" i="35"/>
  <c r="B142" i="35"/>
  <c r="T141" i="35"/>
  <c r="P141" i="35"/>
  <c r="H141" i="35"/>
  <c r="N141" i="35" s="1"/>
  <c r="D141" i="35"/>
  <c r="L141" i="35" s="1"/>
  <c r="B141" i="35"/>
  <c r="Z140" i="35"/>
  <c r="X140" i="35"/>
  <c r="N140" i="35"/>
  <c r="L140" i="35"/>
  <c r="B140" i="35"/>
  <c r="T139" i="35"/>
  <c r="Z139" i="35" s="1"/>
  <c r="P139" i="35"/>
  <c r="N139" i="35"/>
  <c r="H139" i="35"/>
  <c r="D139" i="35"/>
  <c r="L139" i="35" s="1"/>
  <c r="B139" i="35"/>
  <c r="Z138" i="35"/>
  <c r="X138" i="35"/>
  <c r="L138" i="35"/>
  <c r="N138" i="35" s="1"/>
  <c r="B138" i="35"/>
  <c r="T137" i="35"/>
  <c r="P137" i="35"/>
  <c r="X137" i="35" s="1"/>
  <c r="Z137" i="35" s="1"/>
  <c r="L137" i="35"/>
  <c r="N137" i="35" s="1"/>
  <c r="H137" i="35"/>
  <c r="D137" i="35"/>
  <c r="B137" i="35"/>
  <c r="Z136" i="35"/>
  <c r="X136" i="35"/>
  <c r="N136" i="35"/>
  <c r="L136" i="35"/>
  <c r="B136" i="35"/>
  <c r="Z135" i="35"/>
  <c r="X135" i="35"/>
  <c r="N135" i="35"/>
  <c r="L135" i="35"/>
  <c r="B135" i="35"/>
  <c r="Z134" i="35"/>
  <c r="X134" i="35"/>
  <c r="L134" i="35"/>
  <c r="N134" i="35" s="1"/>
  <c r="B134" i="35"/>
  <c r="Z133" i="35"/>
  <c r="X133" i="35"/>
  <c r="N133" i="35"/>
  <c r="L133" i="35"/>
  <c r="B133" i="35"/>
  <c r="Z132" i="35"/>
  <c r="X132" i="35"/>
  <c r="N132" i="35"/>
  <c r="L132" i="35"/>
  <c r="B132" i="35"/>
  <c r="T131" i="35"/>
  <c r="P131" i="35"/>
  <c r="X131" i="35" s="1"/>
  <c r="H131" i="35"/>
  <c r="D131" i="35"/>
  <c r="L131" i="35" s="1"/>
  <c r="N131" i="35" s="1"/>
  <c r="B131" i="35"/>
  <c r="Z130" i="35"/>
  <c r="X130" i="35"/>
  <c r="N130" i="35"/>
  <c r="L130" i="35"/>
  <c r="B130" i="35"/>
  <c r="Z129" i="35"/>
  <c r="X129" i="35"/>
  <c r="N129" i="35"/>
  <c r="L129" i="35"/>
  <c r="B129" i="35"/>
  <c r="T128" i="35"/>
  <c r="P128" i="35"/>
  <c r="X128" i="35" s="1"/>
  <c r="N128" i="35"/>
  <c r="L128" i="35"/>
  <c r="H128" i="35"/>
  <c r="D128" i="35"/>
  <c r="B128" i="35"/>
  <c r="Z127" i="35"/>
  <c r="X127" i="35"/>
  <c r="N127" i="35"/>
  <c r="L127" i="35"/>
  <c r="B127" i="35"/>
  <c r="Z126" i="35"/>
  <c r="X126" i="35"/>
  <c r="N126" i="35"/>
  <c r="L126" i="35"/>
  <c r="B126" i="35"/>
  <c r="T125" i="35"/>
  <c r="P125" i="35"/>
  <c r="X125" i="35" s="1"/>
  <c r="Z125" i="35" s="1"/>
  <c r="N125" i="35"/>
  <c r="L125" i="35"/>
  <c r="H125" i="35"/>
  <c r="D125" i="35"/>
  <c r="B125" i="35"/>
  <c r="Z124" i="35"/>
  <c r="X124" i="35"/>
  <c r="N124" i="35"/>
  <c r="L124" i="35"/>
  <c r="B124" i="35"/>
  <c r="Z123" i="35"/>
  <c r="X123" i="35"/>
  <c r="N123" i="35"/>
  <c r="L123" i="35"/>
  <c r="B123" i="35"/>
  <c r="Z122" i="35"/>
  <c r="T122" i="35"/>
  <c r="P122" i="35"/>
  <c r="X122" i="35" s="1"/>
  <c r="N122" i="35"/>
  <c r="L122" i="35"/>
  <c r="H122" i="35"/>
  <c r="D122" i="35"/>
  <c r="B122" i="35"/>
  <c r="X121" i="35"/>
  <c r="Z121" i="35" s="1"/>
  <c r="N121" i="35"/>
  <c r="L121" i="35"/>
  <c r="B121" i="35"/>
  <c r="Z120" i="35"/>
  <c r="X120" i="35"/>
  <c r="T120" i="35"/>
  <c r="P120" i="35"/>
  <c r="H120" i="35"/>
  <c r="D120" i="35"/>
  <c r="B120" i="35"/>
  <c r="Z119" i="35"/>
  <c r="X119" i="35"/>
  <c r="N119" i="35"/>
  <c r="L119" i="35"/>
  <c r="B119" i="35"/>
  <c r="Z118" i="35"/>
  <c r="X118" i="35"/>
  <c r="N118" i="35"/>
  <c r="L118" i="35"/>
  <c r="B118" i="35"/>
  <c r="T117" i="35"/>
  <c r="Z117" i="35" s="1"/>
  <c r="P117" i="35"/>
  <c r="H117" i="35"/>
  <c r="D117" i="35"/>
  <c r="B117" i="35"/>
  <c r="Z116" i="35"/>
  <c r="X116" i="35"/>
  <c r="N116" i="35"/>
  <c r="L116" i="35"/>
  <c r="B116" i="35"/>
  <c r="T115" i="35"/>
  <c r="Z115" i="35" s="1"/>
  <c r="P115" i="35"/>
  <c r="X115" i="35" s="1"/>
  <c r="N115" i="35"/>
  <c r="H115" i="35"/>
  <c r="D115" i="35"/>
  <c r="L115" i="35" s="1"/>
  <c r="B115" i="35"/>
  <c r="Z114" i="35"/>
  <c r="X114" i="35"/>
  <c r="N114" i="35"/>
  <c r="L114" i="35"/>
  <c r="B114" i="35"/>
  <c r="Z113" i="35"/>
  <c r="X113" i="35"/>
  <c r="L113" i="35"/>
  <c r="N113" i="35" s="1"/>
  <c r="B113" i="35"/>
  <c r="T112" i="35"/>
  <c r="P112" i="35"/>
  <c r="X112" i="35" s="1"/>
  <c r="N112" i="35"/>
  <c r="L112" i="35"/>
  <c r="H112" i="35"/>
  <c r="D112" i="35"/>
  <c r="B112" i="35"/>
  <c r="Z111" i="35"/>
  <c r="X111" i="35"/>
  <c r="N111" i="35"/>
  <c r="L111" i="35"/>
  <c r="B111" i="35"/>
  <c r="Z110" i="35"/>
  <c r="X110" i="35"/>
  <c r="T110" i="35"/>
  <c r="P110" i="35"/>
  <c r="N110" i="35"/>
  <c r="L110" i="35"/>
  <c r="H110" i="35"/>
  <c r="D110" i="35"/>
  <c r="B110" i="35"/>
  <c r="Z109" i="35"/>
  <c r="X109" i="35"/>
  <c r="N109" i="35"/>
  <c r="L109" i="35"/>
  <c r="B109" i="35"/>
  <c r="Z108" i="35"/>
  <c r="X108" i="35"/>
  <c r="T108" i="35"/>
  <c r="P108" i="35"/>
  <c r="H108" i="35"/>
  <c r="N108" i="35" s="1"/>
  <c r="D108" i="35"/>
  <c r="B108" i="35"/>
  <c r="Z107" i="35"/>
  <c r="X107" i="35"/>
  <c r="N107" i="35"/>
  <c r="L107" i="35"/>
  <c r="B107" i="35"/>
  <c r="Z106" i="35"/>
  <c r="X106" i="35"/>
  <c r="N106" i="35"/>
  <c r="L106" i="35"/>
  <c r="B106" i="35"/>
  <c r="T105" i="35"/>
  <c r="Z105" i="35" s="1"/>
  <c r="P105" i="35"/>
  <c r="H105" i="35"/>
  <c r="N105" i="35" s="1"/>
  <c r="D105" i="35"/>
  <c r="B105" i="35"/>
  <c r="Z104" i="35"/>
  <c r="X104" i="35"/>
  <c r="L104" i="35"/>
  <c r="N104" i="35" s="1"/>
  <c r="B104" i="35"/>
  <c r="T103" i="35"/>
  <c r="P103" i="35"/>
  <c r="X103" i="35" s="1"/>
  <c r="H103" i="35"/>
  <c r="D103" i="35"/>
  <c r="L103" i="35" s="1"/>
  <c r="N103" i="35" s="1"/>
  <c r="B103" i="35"/>
  <c r="Z102" i="35"/>
  <c r="X102" i="35"/>
  <c r="L102" i="35"/>
  <c r="N102" i="35" s="1"/>
  <c r="B102" i="35"/>
  <c r="Z101" i="35"/>
  <c r="X101" i="35"/>
  <c r="L101" i="35"/>
  <c r="N101" i="35" s="1"/>
  <c r="B101" i="35"/>
  <c r="Z100" i="35"/>
  <c r="X100" i="35"/>
  <c r="L100" i="35"/>
  <c r="N100" i="35" s="1"/>
  <c r="B100" i="35"/>
  <c r="X99" i="35"/>
  <c r="Z99" i="35" s="1"/>
  <c r="L99" i="35"/>
  <c r="N99" i="35" s="1"/>
  <c r="B99" i="35"/>
  <c r="X98" i="35"/>
  <c r="Z98" i="35" s="1"/>
  <c r="N98" i="35"/>
  <c r="L98" i="35"/>
  <c r="B98" i="35"/>
  <c r="X97" i="35"/>
  <c r="Z97" i="35" s="1"/>
  <c r="N97" i="35"/>
  <c r="L97" i="35"/>
  <c r="B97" i="35"/>
  <c r="Z96" i="35"/>
  <c r="X96" i="35"/>
  <c r="T96" i="35"/>
  <c r="P96" i="35"/>
  <c r="H96" i="35"/>
  <c r="D96" i="35"/>
  <c r="L96" i="35" s="1"/>
  <c r="B96" i="35"/>
  <c r="X95" i="35"/>
  <c r="Z95" i="35" s="1"/>
  <c r="L95" i="35"/>
  <c r="N95" i="35" s="1"/>
  <c r="B95" i="35"/>
  <c r="X94" i="35"/>
  <c r="Z94" i="35" s="1"/>
  <c r="N94" i="35"/>
  <c r="L94" i="35"/>
  <c r="B94" i="35"/>
  <c r="X93" i="35"/>
  <c r="Z93" i="35" s="1"/>
  <c r="N93" i="35"/>
  <c r="L93" i="35"/>
  <c r="B93" i="35"/>
  <c r="X92" i="35"/>
  <c r="Z92" i="35" s="1"/>
  <c r="N92" i="35"/>
  <c r="L92" i="35"/>
  <c r="B92" i="35"/>
  <c r="X91" i="35"/>
  <c r="Z91" i="35" s="1"/>
  <c r="L91" i="35"/>
  <c r="N91" i="35" s="1"/>
  <c r="B91" i="35"/>
  <c r="Z90" i="35"/>
  <c r="X90" i="35"/>
  <c r="L90" i="35"/>
  <c r="N90" i="35" s="1"/>
  <c r="B90" i="35"/>
  <c r="Z89" i="35"/>
  <c r="X89" i="35"/>
  <c r="L89" i="35"/>
  <c r="N89" i="35" s="1"/>
  <c r="B89" i="35"/>
  <c r="Z88" i="35"/>
  <c r="X88" i="35"/>
  <c r="L88" i="35"/>
  <c r="N88" i="35" s="1"/>
  <c r="B88" i="35"/>
  <c r="T87" i="35"/>
  <c r="P87" i="35"/>
  <c r="H87" i="35"/>
  <c r="D87" i="35"/>
  <c r="L87" i="35" s="1"/>
  <c r="N87" i="35" s="1"/>
  <c r="B87" i="35"/>
  <c r="T86" i="35" a="1"/>
  <c r="T86" i="35" s="1"/>
  <c r="P86" i="35" a="1"/>
  <c r="P86" i="35" s="1"/>
  <c r="X86" i="35" s="1"/>
  <c r="Z86" i="35" s="1"/>
  <c r="H86" i="35" a="1"/>
  <c r="H86" i="35" s="1"/>
  <c r="D86" i="35" a="1"/>
  <c r="D86" i="35"/>
  <c r="L86" i="35" s="1"/>
  <c r="N86" i="35" s="1"/>
  <c r="X82" i="35"/>
  <c r="Z82" i="35" s="1"/>
  <c r="N82" i="35"/>
  <c r="L82" i="35"/>
  <c r="B82" i="35"/>
  <c r="X81" i="35"/>
  <c r="Z81" i="35" s="1"/>
  <c r="N81" i="35"/>
  <c r="L81" i="35"/>
  <c r="B81" i="35"/>
  <c r="Z80" i="35"/>
  <c r="X80" i="35"/>
  <c r="N80" i="35"/>
  <c r="L80" i="35"/>
  <c r="B80" i="35"/>
  <c r="X79" i="35"/>
  <c r="Z79" i="35" s="1"/>
  <c r="N79" i="35"/>
  <c r="L79" i="35"/>
  <c r="B79" i="35"/>
  <c r="Z78" i="35"/>
  <c r="X78" i="35"/>
  <c r="L78" i="35"/>
  <c r="N78" i="35" s="1"/>
  <c r="B78" i="35"/>
  <c r="Z77" i="35"/>
  <c r="X77" i="35"/>
  <c r="L77" i="35"/>
  <c r="N77" i="35" s="1"/>
  <c r="B77" i="35"/>
  <c r="X76" i="35"/>
  <c r="Z76" i="35" s="1"/>
  <c r="L76" i="35"/>
  <c r="N76" i="35" s="1"/>
  <c r="B76" i="35"/>
  <c r="Z75" i="35"/>
  <c r="X75" i="35"/>
  <c r="N75" i="35"/>
  <c r="L75" i="35"/>
  <c r="B75" i="35"/>
  <c r="Z74" i="35"/>
  <c r="X74" i="35"/>
  <c r="N74" i="35"/>
  <c r="L74" i="35"/>
  <c r="B74" i="35"/>
  <c r="X73" i="35"/>
  <c r="Z73" i="35" s="1"/>
  <c r="N73" i="35"/>
  <c r="L73" i="35"/>
  <c r="B73" i="35"/>
  <c r="Z72" i="35"/>
  <c r="X72" i="35"/>
  <c r="L72" i="35"/>
  <c r="N72" i="35" s="1"/>
  <c r="B72" i="35"/>
  <c r="X71" i="35"/>
  <c r="Z71" i="35" s="1"/>
  <c r="N71" i="35"/>
  <c r="L71" i="35"/>
  <c r="B71" i="35"/>
  <c r="Z70" i="35"/>
  <c r="X70" i="35"/>
  <c r="L70" i="35"/>
  <c r="N70" i="35" s="1"/>
  <c r="B70" i="35"/>
  <c r="Z69" i="35"/>
  <c r="X69" i="35"/>
  <c r="L69" i="35"/>
  <c r="N69" i="35" s="1"/>
  <c r="B69" i="35"/>
  <c r="X68" i="35"/>
  <c r="Z68" i="35" s="1"/>
  <c r="N68" i="35"/>
  <c r="L68" i="35"/>
  <c r="B68" i="35"/>
  <c r="Z67" i="35"/>
  <c r="X67" i="35"/>
  <c r="N67" i="35"/>
  <c r="L67" i="35"/>
  <c r="B67" i="35"/>
  <c r="X66" i="35"/>
  <c r="Z66" i="35" s="1"/>
  <c r="N66" i="35"/>
  <c r="L66" i="35"/>
  <c r="B66" i="35"/>
  <c r="X65" i="35"/>
  <c r="Z65" i="35" s="1"/>
  <c r="N65" i="35"/>
  <c r="L65" i="35"/>
  <c r="B65" i="35"/>
  <c r="X64" i="35"/>
  <c r="Z64" i="35" s="1"/>
  <c r="L64" i="35"/>
  <c r="N64" i="35" s="1"/>
  <c r="B64" i="35"/>
  <c r="X63" i="35"/>
  <c r="Z63" i="35" s="1"/>
  <c r="N63" i="35"/>
  <c r="L63" i="35"/>
  <c r="B63" i="35"/>
  <c r="Z62" i="35"/>
  <c r="X62" i="35"/>
  <c r="L62" i="35"/>
  <c r="N62" i="35" s="1"/>
  <c r="B62" i="35"/>
  <c r="Z61" i="35"/>
  <c r="X61" i="35"/>
  <c r="L61" i="35"/>
  <c r="N61" i="35" s="1"/>
  <c r="B61" i="35"/>
  <c r="X60" i="35"/>
  <c r="Z60" i="35" s="1"/>
  <c r="N60" i="35"/>
  <c r="L60" i="35"/>
  <c r="B60" i="35"/>
  <c r="Z59" i="35"/>
  <c r="X59" i="35"/>
  <c r="N59" i="35"/>
  <c r="L59" i="35"/>
  <c r="B59" i="35"/>
  <c r="Z58" i="35"/>
  <c r="X58" i="35"/>
  <c r="N58" i="35"/>
  <c r="L58" i="35"/>
  <c r="B58" i="35"/>
  <c r="X57" i="35"/>
  <c r="T57" i="35"/>
  <c r="P57" i="35"/>
  <c r="H57" i="35"/>
  <c r="D57" i="35"/>
  <c r="L57" i="35" s="1"/>
  <c r="Z55" i="35"/>
  <c r="T55" i="35"/>
  <c r="X55" i="35" s="1"/>
  <c r="P55" i="35"/>
  <c r="H55" i="35"/>
  <c r="N55" i="35" s="1"/>
  <c r="D55" i="35"/>
  <c r="L55" i="35" s="1"/>
  <c r="B55" i="35"/>
  <c r="X54" i="35"/>
  <c r="Z54" i="35" s="1"/>
  <c r="T54" i="35"/>
  <c r="P54" i="35"/>
  <c r="H54" i="35"/>
  <c r="D54" i="35"/>
  <c r="B54" i="35"/>
  <c r="T53" i="35"/>
  <c r="P53" i="35"/>
  <c r="X53" i="35" s="1"/>
  <c r="Z53" i="35" s="1"/>
  <c r="N53" i="35"/>
  <c r="L53" i="35"/>
  <c r="H53" i="35"/>
  <c r="D53" i="35"/>
  <c r="B53" i="35"/>
  <c r="T52" i="35"/>
  <c r="P52" i="35"/>
  <c r="N52" i="35"/>
  <c r="L52" i="35"/>
  <c r="H52" i="35"/>
  <c r="D52" i="35"/>
  <c r="B52" i="35"/>
  <c r="T51" i="35"/>
  <c r="P51" i="35"/>
  <c r="X51" i="35" s="1"/>
  <c r="N51" i="35"/>
  <c r="H51" i="35"/>
  <c r="L51" i="35" s="1"/>
  <c r="D51" i="35"/>
  <c r="B51" i="35"/>
  <c r="Z50" i="35"/>
  <c r="T50" i="35"/>
  <c r="X50" i="35" s="1"/>
  <c r="P50" i="35"/>
  <c r="N50" i="35"/>
  <c r="L50" i="35"/>
  <c r="H50" i="35"/>
  <c r="D50" i="35"/>
  <c r="B50" i="35"/>
  <c r="X49" i="35"/>
  <c r="Z49" i="35" s="1"/>
  <c r="T49" i="35"/>
  <c r="P49" i="35"/>
  <c r="H49" i="35"/>
  <c r="D49" i="35"/>
  <c r="L49" i="35" s="1"/>
  <c r="N49" i="35" s="1"/>
  <c r="B49" i="35"/>
  <c r="Z48" i="35"/>
  <c r="X48" i="35"/>
  <c r="T48" i="35"/>
  <c r="P48" i="35"/>
  <c r="H48" i="35"/>
  <c r="D48" i="35"/>
  <c r="L48" i="35" s="1"/>
  <c r="B48" i="35"/>
  <c r="T47" i="35"/>
  <c r="X47" i="35" s="1"/>
  <c r="Z47" i="35" s="1"/>
  <c r="P47" i="35"/>
  <c r="H47" i="35"/>
  <c r="D47" i="35"/>
  <c r="L47" i="35" s="1"/>
  <c r="B47" i="35"/>
  <c r="X46" i="35"/>
  <c r="Z46" i="35" s="1"/>
  <c r="T46" i="35"/>
  <c r="P46" i="35"/>
  <c r="H46" i="35"/>
  <c r="L46" i="35" s="1"/>
  <c r="N46" i="35" s="1"/>
  <c r="D46" i="35"/>
  <c r="B46" i="35"/>
  <c r="T45" i="35"/>
  <c r="P45" i="35"/>
  <c r="X45" i="35" s="1"/>
  <c r="Z45" i="35" s="1"/>
  <c r="L45" i="35"/>
  <c r="N45" i="35" s="1"/>
  <c r="H45" i="35"/>
  <c r="D45" i="35"/>
  <c r="B45" i="35"/>
  <c r="T44" i="35"/>
  <c r="P44" i="35"/>
  <c r="X44" i="35" s="1"/>
  <c r="N44" i="35"/>
  <c r="L44" i="35"/>
  <c r="H44" i="35"/>
  <c r="D44" i="35"/>
  <c r="B44" i="35"/>
  <c r="T43" i="35"/>
  <c r="P43" i="35"/>
  <c r="X43" i="35" s="1"/>
  <c r="H43" i="35"/>
  <c r="L43" i="35" s="1"/>
  <c r="N43" i="35" s="1"/>
  <c r="D43" i="35"/>
  <c r="B43" i="35"/>
  <c r="X42" i="35"/>
  <c r="T42" i="35"/>
  <c r="Z42" i="35" s="1"/>
  <c r="P42" i="35"/>
  <c r="L42" i="35"/>
  <c r="N42" i="35" s="1"/>
  <c r="H42" i="35"/>
  <c r="D42" i="35"/>
  <c r="B42" i="35"/>
  <c r="X41" i="35"/>
  <c r="Z41" i="35" s="1"/>
  <c r="T41" i="35"/>
  <c r="P41" i="35"/>
  <c r="N41" i="35"/>
  <c r="H41" i="35"/>
  <c r="D41" i="35"/>
  <c r="L41" i="35" s="1"/>
  <c r="B41" i="35"/>
  <c r="Z40" i="35"/>
  <c r="X40" i="35"/>
  <c r="T40" i="35"/>
  <c r="P40" i="35"/>
  <c r="H40" i="35"/>
  <c r="N40" i="35" s="1"/>
  <c r="D40" i="35"/>
  <c r="B40" i="35"/>
  <c r="T39" i="35"/>
  <c r="X39" i="35" s="1"/>
  <c r="Z39" i="35" s="1"/>
  <c r="P39" i="35"/>
  <c r="H39" i="35"/>
  <c r="D39" i="35"/>
  <c r="L39" i="35" s="1"/>
  <c r="B39" i="35"/>
  <c r="X38" i="35"/>
  <c r="Z38" i="35" s="1"/>
  <c r="T38" i="35"/>
  <c r="P38" i="35"/>
  <c r="H38" i="35"/>
  <c r="D38" i="35"/>
  <c r="L38" i="35" s="1"/>
  <c r="B38" i="35"/>
  <c r="T37" i="35"/>
  <c r="P37" i="35"/>
  <c r="X37" i="35" s="1"/>
  <c r="Z37" i="35" s="1"/>
  <c r="H37" i="35"/>
  <c r="L37" i="35" s="1"/>
  <c r="N37" i="35" s="1"/>
  <c r="D37" i="35"/>
  <c r="B37" i="35"/>
  <c r="T36" i="35"/>
  <c r="P36" i="35"/>
  <c r="L36" i="35"/>
  <c r="N36" i="35" s="1"/>
  <c r="H36" i="35"/>
  <c r="D36" i="35"/>
  <c r="B36" i="35"/>
  <c r="T35" i="35"/>
  <c r="P35" i="35"/>
  <c r="H35" i="35"/>
  <c r="D35" i="35"/>
  <c r="B35" i="35"/>
  <c r="T34" i="35"/>
  <c r="P34" i="35"/>
  <c r="L34" i="35"/>
  <c r="N34" i="35" s="1"/>
  <c r="H34" i="35"/>
  <c r="D34" i="35"/>
  <c r="B34" i="35"/>
  <c r="T33" i="35"/>
  <c r="P33" i="35"/>
  <c r="N33" i="35"/>
  <c r="H33" i="35"/>
  <c r="D33" i="35"/>
  <c r="L33" i="35" s="1"/>
  <c r="B33" i="35"/>
  <c r="T32" i="35"/>
  <c r="P32" i="35"/>
  <c r="H32" i="35"/>
  <c r="N32" i="35" s="1"/>
  <c r="D32" i="35"/>
  <c r="L32" i="35" s="1"/>
  <c r="B32" i="35"/>
  <c r="T31" i="35"/>
  <c r="P31" i="35"/>
  <c r="H31" i="35"/>
  <c r="N31" i="35" s="1"/>
  <c r="D31" i="35"/>
  <c r="L31" i="35" s="1"/>
  <c r="B31" i="35"/>
  <c r="T30" i="35"/>
  <c r="P30" i="35"/>
  <c r="X30" i="35" s="1"/>
  <c r="Z30" i="35" s="1"/>
  <c r="H30" i="35"/>
  <c r="D30" i="35"/>
  <c r="B30" i="35"/>
  <c r="T29" i="35"/>
  <c r="Z29" i="35" s="1"/>
  <c r="P29" i="35"/>
  <c r="X29" i="35" s="1"/>
  <c r="H29" i="35"/>
  <c r="D29" i="35"/>
  <c r="B29" i="35"/>
  <c r="T28" i="35"/>
  <c r="P28" i="35"/>
  <c r="X28" i="35" s="1"/>
  <c r="H28" i="35"/>
  <c r="D28" i="35"/>
  <c r="B28" i="35"/>
  <c r="T27" i="35"/>
  <c r="P27" i="35"/>
  <c r="L27" i="35"/>
  <c r="N27" i="35" s="1"/>
  <c r="H27" i="35"/>
  <c r="D27" i="35"/>
  <c r="B27" i="35"/>
  <c r="X26" i="35"/>
  <c r="Z26" i="35" s="1"/>
  <c r="T26" i="35"/>
  <c r="P26" i="35"/>
  <c r="N26" i="35"/>
  <c r="H26" i="35"/>
  <c r="D26" i="35"/>
  <c r="L26" i="35" s="1"/>
  <c r="B26" i="35"/>
  <c r="Z25" i="35"/>
  <c r="T25" i="35"/>
  <c r="P25" i="35"/>
  <c r="X25" i="35" s="1"/>
  <c r="H25" i="35"/>
  <c r="N25" i="35" s="1"/>
  <c r="D25" i="35"/>
  <c r="B25" i="35"/>
  <c r="Z24" i="35"/>
  <c r="T24" i="35"/>
  <c r="P24" i="35"/>
  <c r="X24" i="35" s="1"/>
  <c r="H24" i="35"/>
  <c r="N24" i="35" s="1"/>
  <c r="D24" i="35"/>
  <c r="L24" i="35" s="1"/>
  <c r="B24" i="35"/>
  <c r="T23" i="35"/>
  <c r="P23" i="35"/>
  <c r="H23" i="35"/>
  <c r="N23" i="35" s="1"/>
  <c r="D23" i="35"/>
  <c r="L23" i="35" s="1"/>
  <c r="B23" i="35"/>
  <c r="X22" i="35"/>
  <c r="Z22" i="35" s="1"/>
  <c r="T22" i="35"/>
  <c r="P22" i="35"/>
  <c r="H22" i="35"/>
  <c r="D22" i="35"/>
  <c r="B22" i="35"/>
  <c r="T21" i="35"/>
  <c r="P21" i="35"/>
  <c r="X21" i="35" s="1"/>
  <c r="Z21" i="35" s="1"/>
  <c r="L21" i="35"/>
  <c r="N21" i="35" s="1"/>
  <c r="H21" i="35"/>
  <c r="D21" i="35"/>
  <c r="B21" i="35"/>
  <c r="T20" i="35"/>
  <c r="Z20" i="35" s="1"/>
  <c r="P20" i="35"/>
  <c r="X20" i="35" s="1"/>
  <c r="N20" i="35"/>
  <c r="H20" i="35"/>
  <c r="D20" i="35"/>
  <c r="L20" i="35" s="1"/>
  <c r="B20" i="35"/>
  <c r="T19" i="35"/>
  <c r="Z19" i="35" s="1"/>
  <c r="P19" i="35"/>
  <c r="X19" i="35" s="1"/>
  <c r="H19" i="35"/>
  <c r="D19" i="35"/>
  <c r="B19" i="35"/>
  <c r="T18" i="35"/>
  <c r="P18" i="35"/>
  <c r="N18" i="35"/>
  <c r="L18" i="35"/>
  <c r="H18" i="35"/>
  <c r="D18" i="35"/>
  <c r="B18" i="35"/>
  <c r="X17" i="35"/>
  <c r="Z17" i="35" s="1"/>
  <c r="T17" i="35"/>
  <c r="P17" i="35"/>
  <c r="N17" i="35"/>
  <c r="H17" i="35"/>
  <c r="D17" i="35"/>
  <c r="L17" i="35" s="1"/>
  <c r="B17" i="35"/>
  <c r="T16" i="35"/>
  <c r="P16" i="35"/>
  <c r="H16" i="35"/>
  <c r="D16" i="35"/>
  <c r="L16" i="35" s="1"/>
  <c r="B16" i="35"/>
  <c r="T15" i="35"/>
  <c r="P15" i="35"/>
  <c r="H15" i="35"/>
  <c r="D15" i="35"/>
  <c r="L15" i="35" s="1"/>
  <c r="B15" i="35"/>
  <c r="X14" i="35"/>
  <c r="Z14" i="35" s="1"/>
  <c r="T14" i="35"/>
  <c r="P14" i="35"/>
  <c r="H14" i="35"/>
  <c r="D14" i="35"/>
  <c r="B14" i="35"/>
  <c r="Z13" i="35"/>
  <c r="T13" i="35"/>
  <c r="P13" i="35"/>
  <c r="X13" i="35" s="1"/>
  <c r="L13" i="35"/>
  <c r="N13" i="35" s="1"/>
  <c r="H13" i="35"/>
  <c r="D13" i="35"/>
  <c r="B13" i="35"/>
  <c r="D12" i="35"/>
  <c r="D6" i="35"/>
  <c r="D4" i="35"/>
  <c r="V54" i="33"/>
  <c r="Z52" i="33"/>
  <c r="X52" i="33"/>
  <c r="N52" i="33"/>
  <c r="L52" i="33"/>
  <c r="V48" i="33"/>
  <c r="T48" i="33"/>
  <c r="Z48" i="33" s="1"/>
  <c r="P48" i="33"/>
  <c r="X48" i="33" s="1"/>
  <c r="H48" i="33"/>
  <c r="N48" i="33" s="1"/>
  <c r="D48" i="33"/>
  <c r="X46" i="33"/>
  <c r="Z46" i="33" s="1"/>
  <c r="L46" i="33"/>
  <c r="N46" i="33" s="1"/>
  <c r="B46" i="33"/>
  <c r="Z45" i="33"/>
  <c r="T45" i="33"/>
  <c r="P45" i="33"/>
  <c r="X45" i="33" s="1"/>
  <c r="L45" i="33"/>
  <c r="N45" i="33" s="1"/>
  <c r="H45" i="33"/>
  <c r="D45" i="33"/>
  <c r="B45" i="33"/>
  <c r="Z44" i="33"/>
  <c r="X44" i="33"/>
  <c r="N44" i="33"/>
  <c r="L44" i="33"/>
  <c r="B44" i="33"/>
  <c r="Z43" i="33"/>
  <c r="X43" i="33"/>
  <c r="V43" i="33"/>
  <c r="T43" i="33"/>
  <c r="P43" i="33"/>
  <c r="N43" i="33"/>
  <c r="L43" i="33"/>
  <c r="H43" i="33"/>
  <c r="D43" i="33"/>
  <c r="B43" i="33"/>
  <c r="X42" i="33"/>
  <c r="Z42" i="33" s="1"/>
  <c r="L42" i="33"/>
  <c r="N42" i="33" s="1"/>
  <c r="B42" i="33"/>
  <c r="X41" i="33"/>
  <c r="Z41" i="33" s="1"/>
  <c r="T41" i="33"/>
  <c r="P41" i="33"/>
  <c r="H41" i="33"/>
  <c r="D41" i="33"/>
  <c r="B41" i="33"/>
  <c r="X40" i="33"/>
  <c r="Z40" i="33" s="1"/>
  <c r="N40" i="33"/>
  <c r="L40" i="33"/>
  <c r="B40" i="33"/>
  <c r="T39" i="33"/>
  <c r="P39" i="33"/>
  <c r="N39" i="33"/>
  <c r="H39" i="33"/>
  <c r="D39" i="33"/>
  <c r="L39" i="33" s="1"/>
  <c r="B39" i="33"/>
  <c r="X38" i="33"/>
  <c r="Z38" i="33" s="1"/>
  <c r="N38" i="33"/>
  <c r="L38" i="33"/>
  <c r="B38" i="33"/>
  <c r="T37" i="33"/>
  <c r="P37" i="33"/>
  <c r="X37" i="33" s="1"/>
  <c r="Z37" i="33" s="1"/>
  <c r="L37" i="33"/>
  <c r="H37" i="33"/>
  <c r="N37" i="33" s="1"/>
  <c r="D37" i="33"/>
  <c r="B37" i="33"/>
  <c r="Z36" i="33"/>
  <c r="X36" i="33"/>
  <c r="N36" i="33"/>
  <c r="L36" i="33"/>
  <c r="B36" i="33"/>
  <c r="X35" i="33"/>
  <c r="V35" i="33"/>
  <c r="T35" i="33"/>
  <c r="Z35" i="33" s="1"/>
  <c r="P35" i="33"/>
  <c r="N35" i="33"/>
  <c r="L35" i="33"/>
  <c r="H35" i="33"/>
  <c r="D35" i="33"/>
  <c r="B35" i="33"/>
  <c r="X34" i="33"/>
  <c r="Z34" i="33" s="1"/>
  <c r="N34" i="33"/>
  <c r="L34" i="33"/>
  <c r="B34" i="33"/>
  <c r="X33" i="33"/>
  <c r="Z33" i="33" s="1"/>
  <c r="T33" i="33"/>
  <c r="P33" i="33"/>
  <c r="H33" i="33"/>
  <c r="N33" i="33" s="1"/>
  <c r="D33" i="33"/>
  <c r="L33" i="33" s="1"/>
  <c r="B33" i="33"/>
  <c r="X32" i="33"/>
  <c r="Z32" i="33" s="1"/>
  <c r="N32" i="33"/>
  <c r="L32" i="33"/>
  <c r="B32" i="33"/>
  <c r="Z31" i="33"/>
  <c r="X31" i="33"/>
  <c r="N31" i="33"/>
  <c r="L31" i="33"/>
  <c r="B31" i="33"/>
  <c r="X30" i="33"/>
  <c r="Z30" i="33" s="1"/>
  <c r="N30" i="33"/>
  <c r="L30" i="33"/>
  <c r="B30" i="33"/>
  <c r="X29" i="33"/>
  <c r="Z29" i="33" s="1"/>
  <c r="N29" i="33"/>
  <c r="L29" i="33"/>
  <c r="B29" i="33"/>
  <c r="Z28" i="33"/>
  <c r="X28" i="33"/>
  <c r="N28" i="33"/>
  <c r="L28" i="33"/>
  <c r="B28" i="33"/>
  <c r="X27" i="33"/>
  <c r="Z27" i="33" s="1"/>
  <c r="V27" i="33"/>
  <c r="N27" i="33"/>
  <c r="L27" i="33"/>
  <c r="B27" i="33"/>
  <c r="X26" i="33"/>
  <c r="Z26" i="33" s="1"/>
  <c r="N26" i="33"/>
  <c r="L26" i="33"/>
  <c r="B26" i="33"/>
  <c r="Z25" i="33"/>
  <c r="X25" i="33"/>
  <c r="N25" i="33"/>
  <c r="L25" i="33"/>
  <c r="B25" i="33"/>
  <c r="T24" i="33"/>
  <c r="Z24" i="33" s="1"/>
  <c r="P24" i="33"/>
  <c r="X24" i="33" s="1"/>
  <c r="N24" i="33"/>
  <c r="L24" i="33"/>
  <c r="H24" i="33"/>
  <c r="D24" i="33"/>
  <c r="B24" i="33"/>
  <c r="V23" i="33"/>
  <c r="T23" i="33" a="1"/>
  <c r="T23" i="33" s="1"/>
  <c r="P23" i="33" a="1"/>
  <c r="P23" i="33"/>
  <c r="X23" i="33" s="1"/>
  <c r="H23" i="33" a="1"/>
  <c r="H23" i="33" s="1"/>
  <c r="D23" i="33" a="1"/>
  <c r="D23" i="33"/>
  <c r="V21" i="33"/>
  <c r="Z19" i="33"/>
  <c r="X19" i="33"/>
  <c r="L19" i="33"/>
  <c r="N19" i="33" s="1"/>
  <c r="B19" i="33"/>
  <c r="V18" i="33"/>
  <c r="T18" i="33"/>
  <c r="P18" i="33"/>
  <c r="X18" i="33" s="1"/>
  <c r="H18" i="33"/>
  <c r="D18" i="33"/>
  <c r="X16" i="33"/>
  <c r="T16" i="33"/>
  <c r="Z16" i="33" s="1"/>
  <c r="P16" i="33"/>
  <c r="H16" i="33"/>
  <c r="D16" i="33"/>
  <c r="B16" i="33"/>
  <c r="Z15" i="33"/>
  <c r="X15" i="33"/>
  <c r="T15" i="33"/>
  <c r="P15" i="33"/>
  <c r="N15" i="33"/>
  <c r="L15" i="33"/>
  <c r="H15" i="33"/>
  <c r="D15" i="33"/>
  <c r="B15" i="33"/>
  <c r="Z14" i="33"/>
  <c r="T14" i="33"/>
  <c r="P14" i="33"/>
  <c r="X14" i="33" s="1"/>
  <c r="N14" i="33"/>
  <c r="H14" i="33"/>
  <c r="D14" i="33"/>
  <c r="L14" i="33" s="1"/>
  <c r="B14" i="33"/>
  <c r="T13" i="33"/>
  <c r="Z13" i="33" s="1"/>
  <c r="P13" i="33"/>
  <c r="H13" i="33"/>
  <c r="D13" i="33"/>
  <c r="B13" i="33"/>
  <c r="T12" i="33"/>
  <c r="D6" i="33"/>
  <c r="D4" i="33"/>
  <c r="Z121" i="32"/>
  <c r="X121" i="32"/>
  <c r="N121" i="32"/>
  <c r="L121" i="32"/>
  <c r="T117" i="32"/>
  <c r="Z117" i="32" s="1"/>
  <c r="P117" i="32"/>
  <c r="X117" i="32" s="1"/>
  <c r="L117" i="32"/>
  <c r="H117" i="32"/>
  <c r="D117" i="32"/>
  <c r="B117" i="32"/>
  <c r="T116" i="32"/>
  <c r="T114" i="32" s="1"/>
  <c r="P116" i="32"/>
  <c r="N116" i="32"/>
  <c r="L116" i="32"/>
  <c r="H116" i="32"/>
  <c r="D116" i="32"/>
  <c r="D114" i="32" s="1"/>
  <c r="B116" i="32"/>
  <c r="T115" i="32"/>
  <c r="Z115" i="32" s="1"/>
  <c r="P115" i="32"/>
  <c r="X115" i="32" s="1"/>
  <c r="H115" i="32"/>
  <c r="D115" i="32"/>
  <c r="B115" i="32"/>
  <c r="P114" i="32"/>
  <c r="X114" i="32" s="1"/>
  <c r="Z114" i="32" s="1"/>
  <c r="X112" i="32"/>
  <c r="Z112" i="32" s="1"/>
  <c r="N112" i="32"/>
  <c r="L112" i="32"/>
  <c r="B112" i="32"/>
  <c r="Z111" i="32"/>
  <c r="T111" i="32"/>
  <c r="P111" i="32"/>
  <c r="X111" i="32" s="1"/>
  <c r="H111" i="32"/>
  <c r="N111" i="32" s="1"/>
  <c r="D111" i="32"/>
  <c r="L111" i="32" s="1"/>
  <c r="B111" i="32"/>
  <c r="Z110" i="32"/>
  <c r="X110" i="32"/>
  <c r="N110" i="32"/>
  <c r="L110" i="32"/>
  <c r="B110" i="32"/>
  <c r="T109" i="32"/>
  <c r="Z109" i="32" s="1"/>
  <c r="P109" i="32"/>
  <c r="X109" i="32" s="1"/>
  <c r="H109" i="32"/>
  <c r="N109" i="32" s="1"/>
  <c r="D109" i="32"/>
  <c r="B109" i="32"/>
  <c r="Z108" i="32"/>
  <c r="X108" i="32"/>
  <c r="L108" i="32"/>
  <c r="N108" i="32" s="1"/>
  <c r="B108" i="32"/>
  <c r="Z107" i="32"/>
  <c r="X107" i="32"/>
  <c r="N107" i="32"/>
  <c r="L107" i="32"/>
  <c r="B107" i="32"/>
  <c r="T106" i="32"/>
  <c r="P106" i="32"/>
  <c r="X106" i="32" s="1"/>
  <c r="H106" i="32"/>
  <c r="D106" i="32"/>
  <c r="L106" i="32" s="1"/>
  <c r="N106" i="32" s="1"/>
  <c r="B106" i="32"/>
  <c r="X105" i="32"/>
  <c r="Z105" i="32" s="1"/>
  <c r="N105" i="32"/>
  <c r="L105" i="32"/>
  <c r="B105" i="32"/>
  <c r="Z104" i="32"/>
  <c r="X104" i="32"/>
  <c r="L104" i="32"/>
  <c r="N104" i="32" s="1"/>
  <c r="B104" i="32"/>
  <c r="T103" i="32"/>
  <c r="P103" i="32"/>
  <c r="X103" i="32" s="1"/>
  <c r="L103" i="32"/>
  <c r="N103" i="32" s="1"/>
  <c r="H103" i="32"/>
  <c r="D103" i="32"/>
  <c r="B103" i="32"/>
  <c r="Z102" i="32"/>
  <c r="X102" i="32"/>
  <c r="N102" i="32"/>
  <c r="L102" i="32"/>
  <c r="B102" i="32"/>
  <c r="X101" i="32"/>
  <c r="Z101" i="32" s="1"/>
  <c r="L101" i="32"/>
  <c r="N101" i="32" s="1"/>
  <c r="B101" i="32"/>
  <c r="Z100" i="32"/>
  <c r="T100" i="32"/>
  <c r="P100" i="32"/>
  <c r="X100" i="32" s="1"/>
  <c r="H100" i="32"/>
  <c r="D100" i="32"/>
  <c r="B100" i="32"/>
  <c r="Z99" i="32"/>
  <c r="X99" i="32"/>
  <c r="N99" i="32"/>
  <c r="L99" i="32"/>
  <c r="B99" i="32"/>
  <c r="Z98" i="32"/>
  <c r="X98" i="32"/>
  <c r="L98" i="32"/>
  <c r="N98" i="32" s="1"/>
  <c r="B98" i="32"/>
  <c r="Z97" i="32"/>
  <c r="X97" i="32"/>
  <c r="N97" i="32"/>
  <c r="L97" i="32"/>
  <c r="B97" i="32"/>
  <c r="T96" i="32"/>
  <c r="P96" i="32"/>
  <c r="X96" i="32" s="1"/>
  <c r="Z96" i="32" s="1"/>
  <c r="H96" i="32"/>
  <c r="D96" i="32"/>
  <c r="B96" i="32"/>
  <c r="Z95" i="32"/>
  <c r="X95" i="32"/>
  <c r="N95" i="32"/>
  <c r="L95" i="32"/>
  <c r="B95" i="32"/>
  <c r="T94" i="32"/>
  <c r="Z94" i="32" s="1"/>
  <c r="P94" i="32"/>
  <c r="L94" i="32"/>
  <c r="N94" i="32" s="1"/>
  <c r="H94" i="32"/>
  <c r="D94" i="32"/>
  <c r="B94" i="32"/>
  <c r="X93" i="32"/>
  <c r="Z93" i="32" s="1"/>
  <c r="L93" i="32"/>
  <c r="N93" i="32" s="1"/>
  <c r="B93" i="32"/>
  <c r="X92" i="32"/>
  <c r="Z92" i="32" s="1"/>
  <c r="T92" i="32"/>
  <c r="P92" i="32"/>
  <c r="H92" i="32"/>
  <c r="D92" i="32"/>
  <c r="B92" i="32"/>
  <c r="Z91" i="32"/>
  <c r="X91" i="32"/>
  <c r="N91" i="32"/>
  <c r="L91" i="32"/>
  <c r="B91" i="32"/>
  <c r="X90" i="32"/>
  <c r="Z90" i="32" s="1"/>
  <c r="N90" i="32"/>
  <c r="L90" i="32"/>
  <c r="B90" i="32"/>
  <c r="T89" i="32"/>
  <c r="Z89" i="32" s="1"/>
  <c r="P89" i="32"/>
  <c r="X89" i="32" s="1"/>
  <c r="H89" i="32"/>
  <c r="N89" i="32" s="1"/>
  <c r="D89" i="32"/>
  <c r="L89" i="32" s="1"/>
  <c r="B89" i="32"/>
  <c r="Z88" i="32"/>
  <c r="X88" i="32"/>
  <c r="L88" i="32"/>
  <c r="N88" i="32" s="1"/>
  <c r="B88" i="32"/>
  <c r="T87" i="32"/>
  <c r="Z87" i="32" s="1"/>
  <c r="P87" i="32"/>
  <c r="X87" i="32" s="1"/>
  <c r="L87" i="32"/>
  <c r="N87" i="32" s="1"/>
  <c r="H87" i="32"/>
  <c r="D87" i="32"/>
  <c r="B87" i="32"/>
  <c r="X86" i="32"/>
  <c r="Z86" i="32" s="1"/>
  <c r="N86" i="32"/>
  <c r="L86" i="32"/>
  <c r="B86" i="32"/>
  <c r="X85" i="32"/>
  <c r="Z85" i="32" s="1"/>
  <c r="T85" i="32"/>
  <c r="P85" i="32"/>
  <c r="N85" i="32"/>
  <c r="H85" i="32"/>
  <c r="L85" i="32" s="1"/>
  <c r="D85" i="32"/>
  <c r="B85" i="32"/>
  <c r="Z84" i="32"/>
  <c r="X84" i="32"/>
  <c r="N84" i="32"/>
  <c r="L84" i="32"/>
  <c r="B84" i="32"/>
  <c r="Z83" i="32"/>
  <c r="X83" i="32"/>
  <c r="N83" i="32"/>
  <c r="L83" i="32"/>
  <c r="B83" i="32"/>
  <c r="T82" i="32"/>
  <c r="Z82" i="32" s="1"/>
  <c r="P82" i="32"/>
  <c r="N82" i="32"/>
  <c r="L82" i="32"/>
  <c r="H82" i="32"/>
  <c r="D82" i="32"/>
  <c r="B82" i="32"/>
  <c r="X81" i="32"/>
  <c r="Z81" i="32" s="1"/>
  <c r="N81" i="32"/>
  <c r="L81" i="32"/>
  <c r="B81" i="32"/>
  <c r="X80" i="32"/>
  <c r="Z80" i="32" s="1"/>
  <c r="T80" i="32"/>
  <c r="P80" i="32"/>
  <c r="H80" i="32"/>
  <c r="D80" i="32"/>
  <c r="B80" i="32"/>
  <c r="Z79" i="32"/>
  <c r="X79" i="32"/>
  <c r="N79" i="32"/>
  <c r="L79" i="32"/>
  <c r="B79" i="32"/>
  <c r="X78" i="32"/>
  <c r="Z78" i="32" s="1"/>
  <c r="L78" i="32"/>
  <c r="N78" i="32" s="1"/>
  <c r="B78" i="32"/>
  <c r="X77" i="32"/>
  <c r="Z77" i="32" s="1"/>
  <c r="N77" i="32"/>
  <c r="L77" i="32"/>
  <c r="B77" i="32"/>
  <c r="X76" i="32"/>
  <c r="Z76" i="32" s="1"/>
  <c r="N76" i="32"/>
  <c r="L76" i="32"/>
  <c r="B76" i="32"/>
  <c r="Z75" i="32"/>
  <c r="X75" i="32"/>
  <c r="N75" i="32"/>
  <c r="L75" i="32"/>
  <c r="B75" i="32"/>
  <c r="X74" i="32"/>
  <c r="Z74" i="32" s="1"/>
  <c r="L74" i="32"/>
  <c r="N74" i="32" s="1"/>
  <c r="B74" i="32"/>
  <c r="X73" i="32"/>
  <c r="Z73" i="32" s="1"/>
  <c r="N73" i="32"/>
  <c r="L73" i="32"/>
  <c r="B73" i="32"/>
  <c r="Z72" i="32"/>
  <c r="T72" i="32"/>
  <c r="P72" i="32"/>
  <c r="X72" i="32" s="1"/>
  <c r="H72" i="32"/>
  <c r="D72" i="32"/>
  <c r="L72" i="32" s="1"/>
  <c r="B72" i="32"/>
  <c r="Z71" i="32"/>
  <c r="X71" i="32"/>
  <c r="N71" i="32"/>
  <c r="L71" i="32"/>
  <c r="B71" i="32"/>
  <c r="X70" i="32"/>
  <c r="Z70" i="32" s="1"/>
  <c r="L70" i="32"/>
  <c r="N70" i="32" s="1"/>
  <c r="B70" i="32"/>
  <c r="X69" i="32"/>
  <c r="Z69" i="32" s="1"/>
  <c r="L69" i="32"/>
  <c r="N69" i="32" s="1"/>
  <c r="B69" i="32"/>
  <c r="Z68" i="32"/>
  <c r="X68" i="32"/>
  <c r="L68" i="32"/>
  <c r="N68" i="32" s="1"/>
  <c r="B68" i="32"/>
  <c r="Z67" i="32"/>
  <c r="X67" i="32"/>
  <c r="N67" i="32"/>
  <c r="L67" i="32"/>
  <c r="B67" i="32"/>
  <c r="X66" i="32"/>
  <c r="Z66" i="32" s="1"/>
  <c r="L66" i="32"/>
  <c r="N66" i="32" s="1"/>
  <c r="B66" i="32"/>
  <c r="X65" i="32"/>
  <c r="Z65" i="32" s="1"/>
  <c r="L65" i="32"/>
  <c r="N65" i="32" s="1"/>
  <c r="B65" i="32"/>
  <c r="X64" i="32"/>
  <c r="Z64" i="32" s="1"/>
  <c r="N64" i="32"/>
  <c r="L64" i="32"/>
  <c r="B64" i="32"/>
  <c r="Z63" i="32"/>
  <c r="X63" i="32"/>
  <c r="N63" i="32"/>
  <c r="L63" i="32"/>
  <c r="B63" i="32"/>
  <c r="T62" i="32"/>
  <c r="P62" i="32"/>
  <c r="X62" i="32" s="1"/>
  <c r="L62" i="32"/>
  <c r="N62" i="32" s="1"/>
  <c r="H62" i="32"/>
  <c r="D62" i="32"/>
  <c r="B62" i="32"/>
  <c r="T61" i="32" a="1"/>
  <c r="T61" i="32" s="1"/>
  <c r="P61" i="32" a="1"/>
  <c r="P61" i="32" s="1"/>
  <c r="X61" i="32" s="1"/>
  <c r="H61" i="32" a="1"/>
  <c r="H61" i="32" s="1"/>
  <c r="D61" i="32" a="1"/>
  <c r="D61" i="32" s="1"/>
  <c r="Z57" i="32"/>
  <c r="X57" i="32"/>
  <c r="N57" i="32"/>
  <c r="L57" i="32"/>
  <c r="B57" i="32"/>
  <c r="Z56" i="32"/>
  <c r="X56" i="32"/>
  <c r="N56" i="32"/>
  <c r="L56" i="32"/>
  <c r="B56" i="32"/>
  <c r="Z55" i="32"/>
  <c r="X55" i="32"/>
  <c r="N55" i="32"/>
  <c r="L55" i="32"/>
  <c r="B55" i="32"/>
  <c r="X54" i="32"/>
  <c r="Z54" i="32" s="1"/>
  <c r="N54" i="32"/>
  <c r="L54" i="32"/>
  <c r="B54" i="32"/>
  <c r="X53" i="32"/>
  <c r="Z53" i="32" s="1"/>
  <c r="L53" i="32"/>
  <c r="N53" i="32" s="1"/>
  <c r="B53" i="32"/>
  <c r="Z52" i="32"/>
  <c r="X52" i="32"/>
  <c r="N52" i="32"/>
  <c r="L52" i="32"/>
  <c r="B52" i="32"/>
  <c r="Z51" i="32"/>
  <c r="X51" i="32"/>
  <c r="N51" i="32"/>
  <c r="L51" i="32"/>
  <c r="B51" i="32"/>
  <c r="Z50" i="32"/>
  <c r="X50" i="32"/>
  <c r="L50" i="32"/>
  <c r="N50" i="32" s="1"/>
  <c r="B50" i="32"/>
  <c r="X49" i="32"/>
  <c r="Z49" i="32" s="1"/>
  <c r="L49" i="32"/>
  <c r="N49" i="32" s="1"/>
  <c r="B49" i="32"/>
  <c r="X48" i="32"/>
  <c r="Z48" i="32" s="1"/>
  <c r="L48" i="32"/>
  <c r="N48" i="32" s="1"/>
  <c r="B48" i="32"/>
  <c r="Z47" i="32"/>
  <c r="X47" i="32"/>
  <c r="N47" i="32"/>
  <c r="L47" i="32"/>
  <c r="B47" i="32"/>
  <c r="X46" i="32"/>
  <c r="Z46" i="32" s="1"/>
  <c r="N46" i="32"/>
  <c r="L46" i="32"/>
  <c r="B46" i="32"/>
  <c r="X45" i="32"/>
  <c r="Z45" i="32" s="1"/>
  <c r="L45" i="32"/>
  <c r="N45" i="32" s="1"/>
  <c r="B45" i="32"/>
  <c r="X44" i="32"/>
  <c r="Z44" i="32" s="1"/>
  <c r="L44" i="32"/>
  <c r="N44" i="32" s="1"/>
  <c r="B44" i="32"/>
  <c r="Z43" i="32"/>
  <c r="X43" i="32"/>
  <c r="N43" i="32"/>
  <c r="L43" i="32"/>
  <c r="B43" i="32"/>
  <c r="Z42" i="32"/>
  <c r="X42" i="32"/>
  <c r="L42" i="32"/>
  <c r="N42" i="32" s="1"/>
  <c r="B42" i="32"/>
  <c r="Z41" i="32"/>
  <c r="X41" i="32"/>
  <c r="N41" i="32"/>
  <c r="L41" i="32"/>
  <c r="B41" i="32"/>
  <c r="T40" i="32"/>
  <c r="P40" i="32"/>
  <c r="X40" i="32" s="1"/>
  <c r="Z40" i="32" s="1"/>
  <c r="H40" i="32"/>
  <c r="D40" i="32"/>
  <c r="X38" i="32"/>
  <c r="T38" i="32"/>
  <c r="Z38" i="32" s="1"/>
  <c r="P38" i="32"/>
  <c r="N38" i="32"/>
  <c r="L38" i="32"/>
  <c r="H38" i="32"/>
  <c r="D38" i="32"/>
  <c r="B38" i="32"/>
  <c r="X37" i="32"/>
  <c r="Z37" i="32" s="1"/>
  <c r="T37" i="32"/>
  <c r="P37" i="32"/>
  <c r="N37" i="32"/>
  <c r="H37" i="32"/>
  <c r="D37" i="32"/>
  <c r="L37" i="32" s="1"/>
  <c r="B37" i="32"/>
  <c r="T36" i="32"/>
  <c r="P36" i="32"/>
  <c r="H36" i="32"/>
  <c r="D36" i="32"/>
  <c r="L36" i="32" s="1"/>
  <c r="B36" i="32"/>
  <c r="X35" i="32"/>
  <c r="T35" i="32"/>
  <c r="P35" i="32"/>
  <c r="H35" i="32"/>
  <c r="D35" i="32"/>
  <c r="B35" i="32"/>
  <c r="Z34" i="32"/>
  <c r="X34" i="32"/>
  <c r="T34" i="32"/>
  <c r="P34" i="32"/>
  <c r="H34" i="32"/>
  <c r="D34" i="32"/>
  <c r="B34" i="32"/>
  <c r="Z33" i="32"/>
  <c r="T33" i="32"/>
  <c r="P33" i="32"/>
  <c r="X33" i="32" s="1"/>
  <c r="H33" i="32"/>
  <c r="D33" i="32"/>
  <c r="L33" i="32" s="1"/>
  <c r="N33" i="32" s="1"/>
  <c r="B33" i="32"/>
  <c r="T32" i="32"/>
  <c r="Z32" i="32" s="1"/>
  <c r="P32" i="32"/>
  <c r="X32" i="32" s="1"/>
  <c r="H32" i="32"/>
  <c r="D32" i="32"/>
  <c r="B32" i="32"/>
  <c r="T31" i="32"/>
  <c r="P31" i="32"/>
  <c r="X31" i="32" s="1"/>
  <c r="H31" i="32"/>
  <c r="N31" i="32" s="1"/>
  <c r="D31" i="32"/>
  <c r="B31" i="32"/>
  <c r="Z30" i="32"/>
  <c r="T30" i="32"/>
  <c r="X30" i="32" s="1"/>
  <c r="P30" i="32"/>
  <c r="L30" i="32"/>
  <c r="N30" i="32" s="1"/>
  <c r="H30" i="32"/>
  <c r="D30" i="32"/>
  <c r="B30" i="32"/>
  <c r="X29" i="32"/>
  <c r="Z29" i="32" s="1"/>
  <c r="T29" i="32"/>
  <c r="P29" i="32"/>
  <c r="N29" i="32"/>
  <c r="H29" i="32"/>
  <c r="D29" i="32"/>
  <c r="L29" i="32" s="1"/>
  <c r="B29" i="32"/>
  <c r="T28" i="32"/>
  <c r="Z28" i="32" s="1"/>
  <c r="P28" i="32"/>
  <c r="X28" i="32" s="1"/>
  <c r="H28" i="32"/>
  <c r="N28" i="32" s="1"/>
  <c r="D28" i="32"/>
  <c r="L28" i="32" s="1"/>
  <c r="B28" i="32"/>
  <c r="T27" i="32"/>
  <c r="P27" i="32"/>
  <c r="X27" i="32" s="1"/>
  <c r="H27" i="32"/>
  <c r="L27" i="32" s="1"/>
  <c r="D27" i="32"/>
  <c r="B27" i="32"/>
  <c r="T26" i="32"/>
  <c r="P26" i="32"/>
  <c r="N26" i="32"/>
  <c r="L26" i="32"/>
  <c r="H26" i="32"/>
  <c r="D26" i="32"/>
  <c r="B26" i="32"/>
  <c r="X25" i="32"/>
  <c r="T25" i="32"/>
  <c r="Z25" i="32" s="1"/>
  <c r="P25" i="32"/>
  <c r="H25" i="32"/>
  <c r="D25" i="32"/>
  <c r="L25" i="32" s="1"/>
  <c r="N25" i="32" s="1"/>
  <c r="B25" i="32"/>
  <c r="T24" i="32"/>
  <c r="P24" i="32"/>
  <c r="X24" i="32" s="1"/>
  <c r="Z24" i="32" s="1"/>
  <c r="L24" i="32"/>
  <c r="H24" i="32"/>
  <c r="N24" i="32" s="1"/>
  <c r="D24" i="32"/>
  <c r="B24" i="32"/>
  <c r="T23" i="32"/>
  <c r="P23" i="32"/>
  <c r="H23" i="32"/>
  <c r="D23" i="32"/>
  <c r="L23" i="32" s="1"/>
  <c r="N23" i="32" s="1"/>
  <c r="B23" i="32"/>
  <c r="X22" i="32"/>
  <c r="Z22" i="32" s="1"/>
  <c r="T22" i="32"/>
  <c r="P22" i="32"/>
  <c r="H22" i="32"/>
  <c r="D22" i="32"/>
  <c r="B22" i="32"/>
  <c r="Z21" i="32"/>
  <c r="T21" i="32"/>
  <c r="P21" i="32"/>
  <c r="X21" i="32" s="1"/>
  <c r="L21" i="32"/>
  <c r="H21" i="32"/>
  <c r="N21" i="32" s="1"/>
  <c r="D21" i="32"/>
  <c r="B21" i="32"/>
  <c r="X20" i="32"/>
  <c r="T20" i="32"/>
  <c r="Z20" i="32" s="1"/>
  <c r="P20" i="32"/>
  <c r="H20" i="32"/>
  <c r="D20" i="32"/>
  <c r="L20" i="32" s="1"/>
  <c r="N20" i="32" s="1"/>
  <c r="B20" i="32"/>
  <c r="T19" i="32"/>
  <c r="P19" i="32"/>
  <c r="X19" i="32" s="1"/>
  <c r="Z19" i="32" s="1"/>
  <c r="H19" i="32"/>
  <c r="D19" i="32"/>
  <c r="B19" i="32"/>
  <c r="T18" i="32"/>
  <c r="P18" i="32"/>
  <c r="X18" i="32" s="1"/>
  <c r="L18" i="32"/>
  <c r="N18" i="32" s="1"/>
  <c r="H18" i="32"/>
  <c r="D18" i="32"/>
  <c r="B18" i="32"/>
  <c r="X17" i="32"/>
  <c r="T17" i="32"/>
  <c r="P17" i="32"/>
  <c r="N17" i="32"/>
  <c r="H17" i="32"/>
  <c r="D17" i="32"/>
  <c r="L17" i="32" s="1"/>
  <c r="B17" i="32"/>
  <c r="Z16" i="32"/>
  <c r="T16" i="32"/>
  <c r="P16" i="32"/>
  <c r="X16" i="32" s="1"/>
  <c r="L16" i="32"/>
  <c r="H16" i="32"/>
  <c r="N16" i="32" s="1"/>
  <c r="D16" i="32"/>
  <c r="B16" i="32"/>
  <c r="T15" i="32"/>
  <c r="P15" i="32"/>
  <c r="H15" i="32"/>
  <c r="D15" i="32"/>
  <c r="B15" i="32"/>
  <c r="X14" i="32"/>
  <c r="Z14" i="32" s="1"/>
  <c r="T14" i="32"/>
  <c r="P14" i="32"/>
  <c r="H14" i="32"/>
  <c r="D14" i="32"/>
  <c r="L14" i="32" s="1"/>
  <c r="B14" i="32"/>
  <c r="T13" i="32"/>
  <c r="P13" i="32"/>
  <c r="X13" i="32" s="1"/>
  <c r="Z13" i="32" s="1"/>
  <c r="L13" i="32"/>
  <c r="H13" i="32"/>
  <c r="N13" i="32" s="1"/>
  <c r="D13" i="32"/>
  <c r="B13" i="32"/>
  <c r="D6" i="32"/>
  <c r="D4" i="32"/>
  <c r="Z62" i="31"/>
  <c r="X62" i="31"/>
  <c r="N62" i="31"/>
  <c r="L62" i="31"/>
  <c r="X58" i="31"/>
  <c r="T58" i="31"/>
  <c r="Z58" i="31" s="1"/>
  <c r="P58" i="31"/>
  <c r="N58" i="31"/>
  <c r="H58" i="31"/>
  <c r="D58" i="31"/>
  <c r="L58" i="31" s="1"/>
  <c r="Z56" i="31"/>
  <c r="X56" i="31"/>
  <c r="N56" i="31"/>
  <c r="L56" i="31"/>
  <c r="B56" i="31"/>
  <c r="X55" i="31"/>
  <c r="T55" i="31"/>
  <c r="Z55" i="31" s="1"/>
  <c r="P55" i="31"/>
  <c r="H55" i="31"/>
  <c r="N55" i="31" s="1"/>
  <c r="D55" i="31"/>
  <c r="L55" i="31" s="1"/>
  <c r="B55" i="31"/>
  <c r="X54" i="31"/>
  <c r="Z54" i="31" s="1"/>
  <c r="N54" i="31"/>
  <c r="L54" i="31"/>
  <c r="B54" i="31"/>
  <c r="T53" i="31"/>
  <c r="P53" i="31"/>
  <c r="X53" i="31" s="1"/>
  <c r="H53" i="31"/>
  <c r="D53" i="31"/>
  <c r="L53" i="31" s="1"/>
  <c r="N53" i="31" s="1"/>
  <c r="B53" i="31"/>
  <c r="Z52" i="31"/>
  <c r="X52" i="31"/>
  <c r="N52" i="31"/>
  <c r="L52" i="31"/>
  <c r="B52" i="31"/>
  <c r="Z51" i="31"/>
  <c r="X51" i="31"/>
  <c r="N51" i="31"/>
  <c r="L51" i="31"/>
  <c r="B51" i="31"/>
  <c r="X50" i="31"/>
  <c r="T50" i="31"/>
  <c r="Z50" i="31" s="1"/>
  <c r="P50" i="31"/>
  <c r="L50" i="31"/>
  <c r="H50" i="31"/>
  <c r="N50" i="31" s="1"/>
  <c r="D50" i="31"/>
  <c r="B50" i="31"/>
  <c r="X49" i="31"/>
  <c r="Z49" i="31" s="1"/>
  <c r="N49" i="31"/>
  <c r="L49" i="31"/>
  <c r="B49" i="31"/>
  <c r="X48" i="31"/>
  <c r="Z48" i="31" s="1"/>
  <c r="N48" i="31"/>
  <c r="L48" i="31"/>
  <c r="B48" i="31"/>
  <c r="T47" i="31"/>
  <c r="P47" i="31"/>
  <c r="X47" i="31" s="1"/>
  <c r="Z47" i="31" s="1"/>
  <c r="L47" i="31"/>
  <c r="N47" i="31" s="1"/>
  <c r="H47" i="31"/>
  <c r="D47" i="31"/>
  <c r="B47" i="31"/>
  <c r="Z46" i="31"/>
  <c r="X46" i="31"/>
  <c r="L46" i="31"/>
  <c r="N46" i="31" s="1"/>
  <c r="B46" i="31"/>
  <c r="X45" i="31"/>
  <c r="Z45" i="31" s="1"/>
  <c r="N45" i="31"/>
  <c r="L45" i="31"/>
  <c r="B45" i="31"/>
  <c r="X44" i="31"/>
  <c r="T44" i="31"/>
  <c r="Z44" i="31" s="1"/>
  <c r="P44" i="31"/>
  <c r="H44" i="31"/>
  <c r="D44" i="31"/>
  <c r="L44" i="31" s="1"/>
  <c r="N44" i="31" s="1"/>
  <c r="B44" i="31"/>
  <c r="X43" i="31"/>
  <c r="Z43" i="31" s="1"/>
  <c r="N43" i="31"/>
  <c r="L43" i="31"/>
  <c r="B43" i="31"/>
  <c r="T42" i="31"/>
  <c r="P42" i="31"/>
  <c r="X42" i="31" s="1"/>
  <c r="Z42" i="31" s="1"/>
  <c r="H42" i="31"/>
  <c r="N42" i="31" s="1"/>
  <c r="D42" i="31"/>
  <c r="L42" i="31" s="1"/>
  <c r="B42" i="31"/>
  <c r="Z41" i="31"/>
  <c r="X41" i="31"/>
  <c r="N41" i="31"/>
  <c r="L41" i="31"/>
  <c r="B41" i="31"/>
  <c r="T40" i="31"/>
  <c r="Z40" i="31" s="1"/>
  <c r="P40" i="31"/>
  <c r="X40" i="31" s="1"/>
  <c r="L40" i="31"/>
  <c r="H40" i="31"/>
  <c r="N40" i="31" s="1"/>
  <c r="D40" i="31"/>
  <c r="B40" i="31"/>
  <c r="Z39" i="31"/>
  <c r="X39" i="31"/>
  <c r="L39" i="31"/>
  <c r="N39" i="31" s="1"/>
  <c r="B39" i="31"/>
  <c r="X38" i="31"/>
  <c r="T38" i="31"/>
  <c r="Z38" i="31" s="1"/>
  <c r="P38" i="31"/>
  <c r="L38" i="31"/>
  <c r="H38" i="31"/>
  <c r="N38" i="31" s="1"/>
  <c r="D38" i="31"/>
  <c r="B38" i="31"/>
  <c r="Z37" i="31"/>
  <c r="X37" i="31"/>
  <c r="N37" i="31"/>
  <c r="L37" i="31"/>
  <c r="B37" i="31"/>
  <c r="X36" i="31"/>
  <c r="T36" i="31"/>
  <c r="Z36" i="31" s="1"/>
  <c r="P36" i="31"/>
  <c r="N36" i="31"/>
  <c r="H36" i="31"/>
  <c r="D36" i="31"/>
  <c r="L36" i="31" s="1"/>
  <c r="B36" i="31"/>
  <c r="Z35" i="31"/>
  <c r="X35" i="31"/>
  <c r="N35" i="31"/>
  <c r="L35" i="31"/>
  <c r="B35" i="31"/>
  <c r="Z34" i="31"/>
  <c r="T34" i="31"/>
  <c r="P34" i="31"/>
  <c r="X34" i="31" s="1"/>
  <c r="J34" i="31"/>
  <c r="H34" i="31"/>
  <c r="N34" i="31" s="1"/>
  <c r="D34" i="31"/>
  <c r="L34" i="31" s="1"/>
  <c r="B34" i="31"/>
  <c r="Z33" i="31"/>
  <c r="X33" i="31"/>
  <c r="N33" i="31"/>
  <c r="L33" i="31"/>
  <c r="B33" i="31"/>
  <c r="T32" i="31"/>
  <c r="Z32" i="31" s="1"/>
  <c r="P32" i="31"/>
  <c r="X32" i="31" s="1"/>
  <c r="L32" i="31"/>
  <c r="H32" i="31"/>
  <c r="N32" i="31" s="1"/>
  <c r="D32" i="31"/>
  <c r="B32" i="31"/>
  <c r="Z31" i="31"/>
  <c r="X31" i="31"/>
  <c r="N31" i="31"/>
  <c r="L31" i="31"/>
  <c r="B31" i="31"/>
  <c r="Z30" i="31"/>
  <c r="X30" i="31"/>
  <c r="N30" i="31"/>
  <c r="L30" i="31"/>
  <c r="B30" i="31"/>
  <c r="T29" i="31"/>
  <c r="Z29" i="31" s="1"/>
  <c r="P29" i="31"/>
  <c r="N29" i="31"/>
  <c r="H29" i="31"/>
  <c r="D29" i="31"/>
  <c r="L29" i="31" s="1"/>
  <c r="B29" i="31"/>
  <c r="Z28" i="31"/>
  <c r="X28" i="31"/>
  <c r="N28" i="31"/>
  <c r="L28" i="31"/>
  <c r="B28" i="31"/>
  <c r="Z27" i="31"/>
  <c r="X27" i="31"/>
  <c r="N27" i="31"/>
  <c r="L27" i="31"/>
  <c r="B27" i="31"/>
  <c r="X26" i="31"/>
  <c r="T26" i="31"/>
  <c r="Z26" i="31" s="1"/>
  <c r="P26" i="31"/>
  <c r="L26" i="31"/>
  <c r="H26" i="31"/>
  <c r="N26" i="31" s="1"/>
  <c r="D26" i="31"/>
  <c r="B26" i="31"/>
  <c r="T25" i="31" a="1"/>
  <c r="T25" i="31"/>
  <c r="P25" i="31" a="1"/>
  <c r="P25" i="31"/>
  <c r="X25" i="31" s="1"/>
  <c r="H25" i="31" a="1"/>
  <c r="H25" i="31"/>
  <c r="D25" i="31" a="1"/>
  <c r="D25" i="31"/>
  <c r="L25" i="31" s="1"/>
  <c r="Z21" i="31"/>
  <c r="X21" i="31"/>
  <c r="N21" i="31"/>
  <c r="L21" i="31"/>
  <c r="B21" i="31"/>
  <c r="Z20" i="31"/>
  <c r="X20" i="31"/>
  <c r="L20" i="31"/>
  <c r="N20" i="31" s="1"/>
  <c r="B20" i="31"/>
  <c r="Z19" i="31"/>
  <c r="X19" i="31"/>
  <c r="N19" i="31"/>
  <c r="L19" i="31"/>
  <c r="B19" i="31"/>
  <c r="T18" i="31"/>
  <c r="P18" i="31"/>
  <c r="X18" i="31" s="1"/>
  <c r="Z18" i="31" s="1"/>
  <c r="H18" i="31"/>
  <c r="D18" i="31"/>
  <c r="L18" i="31" s="1"/>
  <c r="X16" i="31"/>
  <c r="T16" i="31"/>
  <c r="Z16" i="31" s="1"/>
  <c r="P16" i="31"/>
  <c r="N16" i="31"/>
  <c r="H16" i="31"/>
  <c r="D16" i="31"/>
  <c r="L16" i="31" s="1"/>
  <c r="B16" i="31"/>
  <c r="Z15" i="31"/>
  <c r="T15" i="31"/>
  <c r="P15" i="31"/>
  <c r="H15" i="31"/>
  <c r="N15" i="31" s="1"/>
  <c r="D15" i="31"/>
  <c r="B15" i="31"/>
  <c r="T14" i="31"/>
  <c r="P14" i="31"/>
  <c r="X14" i="31" s="1"/>
  <c r="N14" i="31"/>
  <c r="L14" i="31"/>
  <c r="H14" i="31"/>
  <c r="D14" i="31"/>
  <c r="B14" i="31"/>
  <c r="X13" i="31"/>
  <c r="T13" i="31"/>
  <c r="Z13" i="31" s="1"/>
  <c r="P13" i="31"/>
  <c r="N13" i="31"/>
  <c r="H13" i="31"/>
  <c r="H12" i="31" s="1"/>
  <c r="J42" i="31" s="1"/>
  <c r="D13" i="31"/>
  <c r="L13" i="31" s="1"/>
  <c r="B13" i="31"/>
  <c r="D6" i="31"/>
  <c r="D4" i="31"/>
  <c r="X101" i="30"/>
  <c r="Z101" i="30" s="1"/>
  <c r="N101" i="30"/>
  <c r="L101" i="30"/>
  <c r="T97" i="30"/>
  <c r="Z97" i="30" s="1"/>
  <c r="P97" i="30"/>
  <c r="X97" i="30" s="1"/>
  <c r="L97" i="30"/>
  <c r="H97" i="30"/>
  <c r="N97" i="30" s="1"/>
  <c r="D97" i="30"/>
  <c r="X95" i="30"/>
  <c r="Z95" i="30" s="1"/>
  <c r="N95" i="30"/>
  <c r="L95" i="30"/>
  <c r="B95" i="30"/>
  <c r="T94" i="30"/>
  <c r="P94" i="30"/>
  <c r="X94" i="30" s="1"/>
  <c r="Z94" i="30" s="1"/>
  <c r="N94" i="30"/>
  <c r="L94" i="30"/>
  <c r="H94" i="30"/>
  <c r="D94" i="30"/>
  <c r="B94" i="30"/>
  <c r="Z93" i="30"/>
  <c r="X93" i="30"/>
  <c r="L93" i="30"/>
  <c r="N93" i="30" s="1"/>
  <c r="B93" i="30"/>
  <c r="X92" i="30"/>
  <c r="Z92" i="30" s="1"/>
  <c r="T92" i="30"/>
  <c r="P92" i="30"/>
  <c r="L92" i="30"/>
  <c r="H92" i="30"/>
  <c r="D92" i="30"/>
  <c r="B92" i="30"/>
  <c r="Z91" i="30"/>
  <c r="X91" i="30"/>
  <c r="N91" i="30"/>
  <c r="L91" i="30"/>
  <c r="B91" i="30"/>
  <c r="X90" i="30"/>
  <c r="Z90" i="30" s="1"/>
  <c r="N90" i="30"/>
  <c r="L90" i="30"/>
  <c r="B90" i="30"/>
  <c r="Z89" i="30"/>
  <c r="X89" i="30"/>
  <c r="N89" i="30"/>
  <c r="L89" i="30"/>
  <c r="B89" i="30"/>
  <c r="Z88" i="30"/>
  <c r="X88" i="30"/>
  <c r="N88" i="30"/>
  <c r="L88" i="30"/>
  <c r="B88" i="30"/>
  <c r="X87" i="30"/>
  <c r="T87" i="30"/>
  <c r="Z87" i="30" s="1"/>
  <c r="P87" i="30"/>
  <c r="N87" i="30"/>
  <c r="H87" i="30"/>
  <c r="D87" i="30"/>
  <c r="L87" i="30" s="1"/>
  <c r="B87" i="30"/>
  <c r="Z86" i="30"/>
  <c r="X86" i="30"/>
  <c r="N86" i="30"/>
  <c r="L86" i="30"/>
  <c r="B86" i="30"/>
  <c r="Z85" i="30"/>
  <c r="T85" i="30"/>
  <c r="P85" i="30"/>
  <c r="X85" i="30" s="1"/>
  <c r="H85" i="30"/>
  <c r="N85" i="30" s="1"/>
  <c r="D85" i="30"/>
  <c r="L85" i="30" s="1"/>
  <c r="B85" i="30"/>
  <c r="Z84" i="30"/>
  <c r="X84" i="30"/>
  <c r="N84" i="30"/>
  <c r="L84" i="30"/>
  <c r="B84" i="30"/>
  <c r="Z83" i="30"/>
  <c r="X83" i="30"/>
  <c r="N83" i="30"/>
  <c r="L83" i="30"/>
  <c r="B83" i="30"/>
  <c r="X82" i="30"/>
  <c r="T82" i="30"/>
  <c r="P82" i="30"/>
  <c r="H82" i="30"/>
  <c r="N82" i="30" s="1"/>
  <c r="D82" i="30"/>
  <c r="L82" i="30" s="1"/>
  <c r="B82" i="30"/>
  <c r="Z81" i="30"/>
  <c r="X81" i="30"/>
  <c r="N81" i="30"/>
  <c r="L81" i="30"/>
  <c r="B81" i="30"/>
  <c r="Z80" i="30"/>
  <c r="X80" i="30"/>
  <c r="L80" i="30"/>
  <c r="N80" i="30" s="1"/>
  <c r="B80" i="30"/>
  <c r="T79" i="30"/>
  <c r="P79" i="30"/>
  <c r="X79" i="30" s="1"/>
  <c r="L79" i="30"/>
  <c r="N79" i="30" s="1"/>
  <c r="H79" i="30"/>
  <c r="D79" i="30"/>
  <c r="B79" i="30"/>
  <c r="Z78" i="30"/>
  <c r="X78" i="30"/>
  <c r="N78" i="30"/>
  <c r="L78" i="30"/>
  <c r="B78" i="30"/>
  <c r="Z77" i="30"/>
  <c r="X77" i="30"/>
  <c r="T77" i="30"/>
  <c r="P77" i="30"/>
  <c r="H77" i="30"/>
  <c r="L77" i="30" s="1"/>
  <c r="D77" i="30"/>
  <c r="B77" i="30"/>
  <c r="X76" i="30"/>
  <c r="Z76" i="30" s="1"/>
  <c r="N76" i="30"/>
  <c r="L76" i="30"/>
  <c r="B76" i="30"/>
  <c r="T75" i="30"/>
  <c r="X75" i="30" s="1"/>
  <c r="P75" i="30"/>
  <c r="N75" i="30"/>
  <c r="H75" i="30"/>
  <c r="D75" i="30"/>
  <c r="L75" i="30" s="1"/>
  <c r="B75" i="30"/>
  <c r="Z74" i="30"/>
  <c r="X74" i="30"/>
  <c r="N74" i="30"/>
  <c r="L74" i="30"/>
  <c r="B74" i="30"/>
  <c r="Z73" i="30"/>
  <c r="T73" i="30"/>
  <c r="P73" i="30"/>
  <c r="X73" i="30" s="1"/>
  <c r="H73" i="30"/>
  <c r="N73" i="30" s="1"/>
  <c r="D73" i="30"/>
  <c r="L73" i="30" s="1"/>
  <c r="B73" i="30"/>
  <c r="Z72" i="30"/>
  <c r="X72" i="30"/>
  <c r="N72" i="30"/>
  <c r="L72" i="30"/>
  <c r="B72" i="30"/>
  <c r="Z71" i="30"/>
  <c r="X71" i="30"/>
  <c r="N71" i="30"/>
  <c r="L71" i="30"/>
  <c r="B71" i="30"/>
  <c r="X70" i="30"/>
  <c r="T70" i="30"/>
  <c r="Z70" i="30" s="1"/>
  <c r="P70" i="30"/>
  <c r="H70" i="30"/>
  <c r="N70" i="30" s="1"/>
  <c r="D70" i="30"/>
  <c r="L70" i="30" s="1"/>
  <c r="B70" i="30"/>
  <c r="X69" i="30"/>
  <c r="Z69" i="30" s="1"/>
  <c r="N69" i="30"/>
  <c r="L69" i="30"/>
  <c r="B69" i="30"/>
  <c r="T68" i="30"/>
  <c r="P68" i="30"/>
  <c r="N68" i="30"/>
  <c r="H68" i="30"/>
  <c r="D68" i="30"/>
  <c r="L68" i="30" s="1"/>
  <c r="B68" i="30"/>
  <c r="X67" i="30"/>
  <c r="Z67" i="30" s="1"/>
  <c r="N67" i="30"/>
  <c r="L67" i="30"/>
  <c r="B67" i="30"/>
  <c r="T66" i="30"/>
  <c r="P66" i="30"/>
  <c r="X66" i="30" s="1"/>
  <c r="Z66" i="30" s="1"/>
  <c r="N66" i="30"/>
  <c r="L66" i="30"/>
  <c r="H66" i="30"/>
  <c r="D66" i="30"/>
  <c r="B66" i="30"/>
  <c r="Z65" i="30"/>
  <c r="X65" i="30"/>
  <c r="N65" i="30"/>
  <c r="L65" i="30"/>
  <c r="B65" i="30"/>
  <c r="Z64" i="30"/>
  <c r="X64" i="30"/>
  <c r="N64" i="30"/>
  <c r="L64" i="30"/>
  <c r="B64" i="30"/>
  <c r="X63" i="30"/>
  <c r="Z63" i="30" s="1"/>
  <c r="N63" i="30"/>
  <c r="L63" i="30"/>
  <c r="B63" i="30"/>
  <c r="Z62" i="30"/>
  <c r="X62" i="30"/>
  <c r="N62" i="30"/>
  <c r="L62" i="30"/>
  <c r="B62" i="30"/>
  <c r="X61" i="30"/>
  <c r="T61" i="30"/>
  <c r="Z61" i="30" s="1"/>
  <c r="P61" i="30"/>
  <c r="H61" i="30"/>
  <c r="L61" i="30" s="1"/>
  <c r="D61" i="30"/>
  <c r="B61" i="30"/>
  <c r="Z60" i="30"/>
  <c r="X60" i="30"/>
  <c r="N60" i="30"/>
  <c r="L60" i="30"/>
  <c r="F60" i="30"/>
  <c r="B60" i="30"/>
  <c r="Z59" i="30"/>
  <c r="X59" i="30"/>
  <c r="N59" i="30"/>
  <c r="L59" i="30"/>
  <c r="B59" i="30"/>
  <c r="Z58" i="30"/>
  <c r="X58" i="30"/>
  <c r="N58" i="30"/>
  <c r="L58" i="30"/>
  <c r="B58" i="30"/>
  <c r="X57" i="30"/>
  <c r="Z57" i="30" s="1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X54" i="30"/>
  <c r="Z54" i="30" s="1"/>
  <c r="N54" i="30"/>
  <c r="L54" i="30"/>
  <c r="B54" i="30"/>
  <c r="T53" i="30"/>
  <c r="P53" i="30"/>
  <c r="X53" i="30" s="1"/>
  <c r="Z53" i="30" s="1"/>
  <c r="H53" i="30"/>
  <c r="N53" i="30" s="1"/>
  <c r="D53" i="30"/>
  <c r="L53" i="30" s="1"/>
  <c r="B53" i="30"/>
  <c r="T52" i="30" a="1"/>
  <c r="T52" i="30" s="1"/>
  <c r="P52" i="30" a="1"/>
  <c r="P52" i="30" s="1"/>
  <c r="H52" i="30" a="1"/>
  <c r="H52" i="30" s="1"/>
  <c r="D52" i="30" a="1"/>
  <c r="D52" i="30" s="1"/>
  <c r="L52" i="30" s="1"/>
  <c r="Z48" i="30"/>
  <c r="X48" i="30"/>
  <c r="N48" i="30"/>
  <c r="L48" i="30"/>
  <c r="B48" i="30"/>
  <c r="X47" i="30"/>
  <c r="Z47" i="30" s="1"/>
  <c r="N47" i="30"/>
  <c r="L47" i="30"/>
  <c r="B47" i="30"/>
  <c r="Z46" i="30"/>
  <c r="X46" i="30"/>
  <c r="N46" i="30"/>
  <c r="L46" i="30"/>
  <c r="B46" i="30"/>
  <c r="X45" i="30"/>
  <c r="Z45" i="30" s="1"/>
  <c r="N45" i="30"/>
  <c r="L45" i="30"/>
  <c r="B45" i="30"/>
  <c r="Z44" i="30"/>
  <c r="X44" i="30"/>
  <c r="N44" i="30"/>
  <c r="L44" i="30"/>
  <c r="B44" i="30"/>
  <c r="Z43" i="30"/>
  <c r="X43" i="30"/>
  <c r="L43" i="30"/>
  <c r="N43" i="30" s="1"/>
  <c r="B43" i="30"/>
  <c r="X42" i="30"/>
  <c r="Z42" i="30" s="1"/>
  <c r="N42" i="30"/>
  <c r="L42" i="30"/>
  <c r="B42" i="30"/>
  <c r="Z41" i="30"/>
  <c r="X41" i="30"/>
  <c r="L41" i="30"/>
  <c r="N41" i="30" s="1"/>
  <c r="B41" i="30"/>
  <c r="Z40" i="30"/>
  <c r="X40" i="30"/>
  <c r="N40" i="30"/>
  <c r="L40" i="30"/>
  <c r="B40" i="30"/>
  <c r="X39" i="30"/>
  <c r="Z39" i="30" s="1"/>
  <c r="N39" i="30"/>
  <c r="L39" i="30"/>
  <c r="B39" i="30"/>
  <c r="Z38" i="30"/>
  <c r="X38" i="30"/>
  <c r="L38" i="30"/>
  <c r="N38" i="30" s="1"/>
  <c r="B38" i="30"/>
  <c r="X37" i="30"/>
  <c r="Z37" i="30" s="1"/>
  <c r="N37" i="30"/>
  <c r="L37" i="30"/>
  <c r="B37" i="30"/>
  <c r="Z36" i="30"/>
  <c r="X36" i="30"/>
  <c r="N36" i="30"/>
  <c r="L36" i="30"/>
  <c r="B36" i="30"/>
  <c r="Z35" i="30"/>
  <c r="X35" i="30"/>
  <c r="L35" i="30"/>
  <c r="N35" i="30" s="1"/>
  <c r="B35" i="30"/>
  <c r="X34" i="30"/>
  <c r="Z34" i="30" s="1"/>
  <c r="N34" i="30"/>
  <c r="L34" i="30"/>
  <c r="B34" i="30"/>
  <c r="Z33" i="30"/>
  <c r="X33" i="30"/>
  <c r="L33" i="30"/>
  <c r="N33" i="30" s="1"/>
  <c r="B33" i="30"/>
  <c r="Z32" i="30"/>
  <c r="X32" i="30"/>
  <c r="N32" i="30"/>
  <c r="L32" i="30"/>
  <c r="B32" i="30"/>
  <c r="X31" i="30"/>
  <c r="Z31" i="30" s="1"/>
  <c r="N31" i="30"/>
  <c r="L31" i="30"/>
  <c r="B31" i="30"/>
  <c r="Z30" i="30"/>
  <c r="X30" i="30"/>
  <c r="L30" i="30"/>
  <c r="N30" i="30" s="1"/>
  <c r="B30" i="30"/>
  <c r="X29" i="30"/>
  <c r="Z29" i="30" s="1"/>
  <c r="N29" i="30"/>
  <c r="L29" i="30"/>
  <c r="B29" i="30"/>
  <c r="Z28" i="30"/>
  <c r="X28" i="30"/>
  <c r="N28" i="30"/>
  <c r="L28" i="30"/>
  <c r="B28" i="30"/>
  <c r="T27" i="30"/>
  <c r="P27" i="30"/>
  <c r="X27" i="30" s="1"/>
  <c r="H27" i="30"/>
  <c r="N27" i="30" s="1"/>
  <c r="F27" i="30"/>
  <c r="D27" i="30"/>
  <c r="L27" i="30" s="1"/>
  <c r="Z25" i="30"/>
  <c r="X25" i="30"/>
  <c r="T25" i="30"/>
  <c r="P25" i="30"/>
  <c r="H25" i="30"/>
  <c r="N25" i="30" s="1"/>
  <c r="D25" i="30"/>
  <c r="B25" i="30"/>
  <c r="T24" i="30"/>
  <c r="P24" i="30"/>
  <c r="X24" i="30" s="1"/>
  <c r="Z24" i="30" s="1"/>
  <c r="L24" i="30"/>
  <c r="H24" i="30"/>
  <c r="N24" i="30" s="1"/>
  <c r="D24" i="30"/>
  <c r="B24" i="30"/>
  <c r="X23" i="30"/>
  <c r="T23" i="30"/>
  <c r="Z23" i="30" s="1"/>
  <c r="P23" i="30"/>
  <c r="N23" i="30"/>
  <c r="H23" i="30"/>
  <c r="D23" i="30"/>
  <c r="L23" i="30" s="1"/>
  <c r="B23" i="30"/>
  <c r="Z22" i="30"/>
  <c r="T22" i="30"/>
  <c r="P22" i="30"/>
  <c r="X22" i="30" s="1"/>
  <c r="H22" i="30"/>
  <c r="D22" i="30"/>
  <c r="B22" i="30"/>
  <c r="T21" i="30"/>
  <c r="P21" i="30"/>
  <c r="X21" i="30" s="1"/>
  <c r="N21" i="30"/>
  <c r="L21" i="30"/>
  <c r="H21" i="30"/>
  <c r="D21" i="30"/>
  <c r="B21" i="30"/>
  <c r="X20" i="30"/>
  <c r="T20" i="30"/>
  <c r="Z20" i="30" s="1"/>
  <c r="P20" i="30"/>
  <c r="N20" i="30"/>
  <c r="H20" i="30"/>
  <c r="D20" i="30"/>
  <c r="L20" i="30" s="1"/>
  <c r="B20" i="30"/>
  <c r="Z19" i="30"/>
  <c r="T19" i="30"/>
  <c r="P19" i="30"/>
  <c r="X19" i="30" s="1"/>
  <c r="L19" i="30"/>
  <c r="H19" i="30"/>
  <c r="N19" i="30" s="1"/>
  <c r="D19" i="30"/>
  <c r="B19" i="30"/>
  <c r="T18" i="30"/>
  <c r="P18" i="30"/>
  <c r="N18" i="30"/>
  <c r="H18" i="30"/>
  <c r="D18" i="30"/>
  <c r="L18" i="30" s="1"/>
  <c r="B18" i="30"/>
  <c r="X17" i="30"/>
  <c r="Z17" i="30" s="1"/>
  <c r="T17" i="30"/>
  <c r="P17" i="30"/>
  <c r="H17" i="30"/>
  <c r="N17" i="30" s="1"/>
  <c r="D17" i="30"/>
  <c r="L17" i="30" s="1"/>
  <c r="B17" i="30"/>
  <c r="T16" i="30"/>
  <c r="P16" i="30"/>
  <c r="X16" i="30" s="1"/>
  <c r="Z16" i="30" s="1"/>
  <c r="L16" i="30"/>
  <c r="H16" i="30"/>
  <c r="N16" i="30" s="1"/>
  <c r="D16" i="30"/>
  <c r="B16" i="30"/>
  <c r="X15" i="30"/>
  <c r="T15" i="30"/>
  <c r="Z15" i="30" s="1"/>
  <c r="P15" i="30"/>
  <c r="N15" i="30"/>
  <c r="H15" i="30"/>
  <c r="D15" i="30"/>
  <c r="L15" i="30" s="1"/>
  <c r="B15" i="30"/>
  <c r="T14" i="30"/>
  <c r="P14" i="30"/>
  <c r="X14" i="30" s="1"/>
  <c r="Z14" i="30" s="1"/>
  <c r="H14" i="30"/>
  <c r="D14" i="30"/>
  <c r="B14" i="30"/>
  <c r="T13" i="30"/>
  <c r="P13" i="30"/>
  <c r="X13" i="30" s="1"/>
  <c r="N13" i="30"/>
  <c r="L13" i="30"/>
  <c r="H13" i="30"/>
  <c r="D13" i="30"/>
  <c r="D12" i="30" s="1"/>
  <c r="F97" i="30" s="1"/>
  <c r="B13" i="30"/>
  <c r="D6" i="30"/>
  <c r="D4" i="30"/>
  <c r="Z40" i="29"/>
  <c r="X40" i="29"/>
  <c r="N40" i="29"/>
  <c r="L40" i="29"/>
  <c r="V38" i="29"/>
  <c r="Z36" i="29"/>
  <c r="T36" i="29"/>
  <c r="P36" i="29"/>
  <c r="X36" i="29" s="1"/>
  <c r="N36" i="29"/>
  <c r="J36" i="29"/>
  <c r="H36" i="29"/>
  <c r="D36" i="29"/>
  <c r="L36" i="29" s="1"/>
  <c r="Z34" i="29"/>
  <c r="X34" i="29"/>
  <c r="N34" i="29"/>
  <c r="L34" i="29"/>
  <c r="F34" i="29"/>
  <c r="B34" i="29"/>
  <c r="T33" i="29"/>
  <c r="Z33" i="29" s="1"/>
  <c r="P33" i="29"/>
  <c r="J33" i="29"/>
  <c r="H33" i="29"/>
  <c r="D33" i="29"/>
  <c r="B33" i="29"/>
  <c r="Z32" i="29"/>
  <c r="X32" i="29"/>
  <c r="N32" i="29"/>
  <c r="L32" i="29"/>
  <c r="B32" i="29"/>
  <c r="Z31" i="29"/>
  <c r="T31" i="29"/>
  <c r="P31" i="29"/>
  <c r="X31" i="29" s="1"/>
  <c r="J31" i="29"/>
  <c r="H31" i="29"/>
  <c r="N31" i="29" s="1"/>
  <c r="D31" i="29"/>
  <c r="L31" i="29" s="1"/>
  <c r="B31" i="29"/>
  <c r="Z30" i="29"/>
  <c r="X30" i="29"/>
  <c r="N30" i="29"/>
  <c r="L30" i="29"/>
  <c r="J30" i="29"/>
  <c r="B30" i="29"/>
  <c r="T29" i="29"/>
  <c r="Z29" i="29" s="1"/>
  <c r="P29" i="29"/>
  <c r="X29" i="29" s="1"/>
  <c r="N29" i="29"/>
  <c r="L29" i="29"/>
  <c r="H29" i="29"/>
  <c r="D29" i="29"/>
  <c r="B29" i="29"/>
  <c r="Z28" i="29"/>
  <c r="X28" i="29"/>
  <c r="V28" i="29"/>
  <c r="N28" i="29"/>
  <c r="L28" i="29"/>
  <c r="J28" i="29"/>
  <c r="B28" i="29"/>
  <c r="Z27" i="29"/>
  <c r="X27" i="29"/>
  <c r="T27" i="29"/>
  <c r="P27" i="29"/>
  <c r="J27" i="29"/>
  <c r="H27" i="29"/>
  <c r="D27" i="29"/>
  <c r="B27" i="29"/>
  <c r="Z26" i="29"/>
  <c r="X26" i="29"/>
  <c r="N26" i="29"/>
  <c r="L26" i="29"/>
  <c r="B26" i="29"/>
  <c r="X25" i="29"/>
  <c r="Z25" i="29" s="1"/>
  <c r="R25" i="29"/>
  <c r="N25" i="29"/>
  <c r="L25" i="29"/>
  <c r="J25" i="29"/>
  <c r="B25" i="29"/>
  <c r="V24" i="29"/>
  <c r="T24" i="29"/>
  <c r="P24" i="29"/>
  <c r="X24" i="29" s="1"/>
  <c r="Z24" i="29" s="1"/>
  <c r="N24" i="29"/>
  <c r="J24" i="29"/>
  <c r="H24" i="29"/>
  <c r="L24" i="29" s="1"/>
  <c r="F24" i="29"/>
  <c r="D24" i="29"/>
  <c r="B24" i="29"/>
  <c r="Z23" i="29"/>
  <c r="X23" i="29"/>
  <c r="N23" i="29"/>
  <c r="L23" i="29"/>
  <c r="B23" i="29"/>
  <c r="Z22" i="29"/>
  <c r="X22" i="29"/>
  <c r="N22" i="29"/>
  <c r="L22" i="29"/>
  <c r="B22" i="29"/>
  <c r="Z21" i="29"/>
  <c r="X21" i="29"/>
  <c r="R21" i="29"/>
  <c r="N21" i="29"/>
  <c r="L21" i="29"/>
  <c r="J21" i="29"/>
  <c r="B21" i="29"/>
  <c r="Z20" i="29"/>
  <c r="X20" i="29"/>
  <c r="V20" i="29"/>
  <c r="N20" i="29"/>
  <c r="L20" i="29"/>
  <c r="J20" i="29"/>
  <c r="B20" i="29"/>
  <c r="X19" i="29"/>
  <c r="Z19" i="29" s="1"/>
  <c r="T19" i="29"/>
  <c r="P19" i="29"/>
  <c r="J19" i="29"/>
  <c r="H19" i="29"/>
  <c r="D19" i="29"/>
  <c r="B19" i="29"/>
  <c r="T18" i="29" a="1"/>
  <c r="T18" i="29"/>
  <c r="P18" i="29" a="1"/>
  <c r="P18" i="29"/>
  <c r="X18" i="29" s="1"/>
  <c r="J18" i="29"/>
  <c r="H18" i="29" a="1"/>
  <c r="H18" i="29"/>
  <c r="N18" i="29" s="1"/>
  <c r="D18" i="29" a="1"/>
  <c r="D18" i="29"/>
  <c r="L18" i="29" s="1"/>
  <c r="T16" i="29"/>
  <c r="R16" i="29"/>
  <c r="J16" i="29"/>
  <c r="H16" i="29"/>
  <c r="N16" i="29" s="1"/>
  <c r="D16" i="29"/>
  <c r="D38" i="29" s="1"/>
  <c r="D42" i="29" s="1"/>
  <c r="Z14" i="29"/>
  <c r="T14" i="29"/>
  <c r="P14" i="29"/>
  <c r="X14" i="29" s="1"/>
  <c r="N14" i="29"/>
  <c r="L14" i="29"/>
  <c r="J14" i="29"/>
  <c r="H14" i="29"/>
  <c r="D14" i="29"/>
  <c r="T12" i="29"/>
  <c r="V25" i="29" s="1"/>
  <c r="P12" i="29"/>
  <c r="R38" i="29" s="1"/>
  <c r="N12" i="29"/>
  <c r="H12" i="29"/>
  <c r="D12" i="29"/>
  <c r="F25" i="29" s="1"/>
  <c r="D6" i="29"/>
  <c r="D4" i="29"/>
  <c r="F109" i="28"/>
  <c r="R106" i="28"/>
  <c r="F106" i="28"/>
  <c r="Z104" i="28"/>
  <c r="X104" i="28"/>
  <c r="N104" i="28"/>
  <c r="L104" i="28"/>
  <c r="F102" i="28"/>
  <c r="T100" i="28"/>
  <c r="R100" i="28"/>
  <c r="P100" i="28"/>
  <c r="X100" i="28" s="1"/>
  <c r="H100" i="28"/>
  <c r="F100" i="28"/>
  <c r="D100" i="28"/>
  <c r="L100" i="28" s="1"/>
  <c r="N100" i="28" s="1"/>
  <c r="B100" i="28"/>
  <c r="R99" i="28"/>
  <c r="H99" i="28"/>
  <c r="X97" i="28"/>
  <c r="Z97" i="28" s="1"/>
  <c r="R97" i="28"/>
  <c r="L97" i="28"/>
  <c r="N97" i="28" s="1"/>
  <c r="B97" i="28"/>
  <c r="T96" i="28"/>
  <c r="R96" i="28"/>
  <c r="P96" i="28"/>
  <c r="H96" i="28"/>
  <c r="N96" i="28" s="1"/>
  <c r="F96" i="28"/>
  <c r="D96" i="28"/>
  <c r="L96" i="28" s="1"/>
  <c r="B96" i="28"/>
  <c r="X95" i="28"/>
  <c r="Z95" i="28" s="1"/>
  <c r="R95" i="28"/>
  <c r="N95" i="28"/>
  <c r="L95" i="28"/>
  <c r="F95" i="28"/>
  <c r="B95" i="28"/>
  <c r="X94" i="28"/>
  <c r="Z94" i="28" s="1"/>
  <c r="L94" i="28"/>
  <c r="N94" i="28" s="1"/>
  <c r="J94" i="28"/>
  <c r="B94" i="28"/>
  <c r="Z93" i="28"/>
  <c r="X93" i="28"/>
  <c r="R93" i="28"/>
  <c r="N93" i="28"/>
  <c r="L93" i="28"/>
  <c r="B93" i="28"/>
  <c r="T92" i="28"/>
  <c r="R92" i="28"/>
  <c r="P92" i="28"/>
  <c r="H92" i="28"/>
  <c r="N92" i="28" s="1"/>
  <c r="F92" i="28"/>
  <c r="D92" i="28"/>
  <c r="L92" i="28" s="1"/>
  <c r="B92" i="28"/>
  <c r="X91" i="28"/>
  <c r="Z91" i="28" s="1"/>
  <c r="R91" i="28"/>
  <c r="N91" i="28"/>
  <c r="L91" i="28"/>
  <c r="F91" i="28"/>
  <c r="B91" i="28"/>
  <c r="T90" i="28"/>
  <c r="Z90" i="28" s="1"/>
  <c r="R90" i="28"/>
  <c r="P90" i="28"/>
  <c r="X90" i="28" s="1"/>
  <c r="N90" i="28"/>
  <c r="H90" i="28"/>
  <c r="F90" i="28"/>
  <c r="D90" i="28"/>
  <c r="L90" i="28" s="1"/>
  <c r="B90" i="28"/>
  <c r="X89" i="28"/>
  <c r="Z89" i="28" s="1"/>
  <c r="N89" i="28"/>
  <c r="L89" i="28"/>
  <c r="F89" i="28"/>
  <c r="B89" i="28"/>
  <c r="T88" i="28"/>
  <c r="R88" i="28"/>
  <c r="P88" i="28"/>
  <c r="X88" i="28" s="1"/>
  <c r="Z88" i="28" s="1"/>
  <c r="L88" i="28"/>
  <c r="N88" i="28" s="1"/>
  <c r="J88" i="28"/>
  <c r="H88" i="28"/>
  <c r="D88" i="28"/>
  <c r="B88" i="28"/>
  <c r="X87" i="28"/>
  <c r="Z87" i="28" s="1"/>
  <c r="R87" i="28"/>
  <c r="N87" i="28"/>
  <c r="L87" i="28"/>
  <c r="F87" i="28"/>
  <c r="B87" i="28"/>
  <c r="X86" i="28"/>
  <c r="Z86" i="28" s="1"/>
  <c r="N86" i="28"/>
  <c r="L86" i="28"/>
  <c r="B86" i="28"/>
  <c r="X85" i="28"/>
  <c r="Z85" i="28" s="1"/>
  <c r="N85" i="28"/>
  <c r="L85" i="28"/>
  <c r="F85" i="28"/>
  <c r="B85" i="28"/>
  <c r="Z84" i="28"/>
  <c r="X84" i="28"/>
  <c r="R84" i="28"/>
  <c r="N84" i="28"/>
  <c r="L84" i="28"/>
  <c r="F84" i="28"/>
  <c r="B84" i="28"/>
  <c r="Z83" i="28"/>
  <c r="X83" i="28"/>
  <c r="R83" i="28"/>
  <c r="L83" i="28"/>
  <c r="N83" i="28" s="1"/>
  <c r="F83" i="28"/>
  <c r="B83" i="28"/>
  <c r="X82" i="28"/>
  <c r="Z82" i="28" s="1"/>
  <c r="N82" i="28"/>
  <c r="L82" i="28"/>
  <c r="J82" i="28"/>
  <c r="B82" i="28"/>
  <c r="T81" i="28"/>
  <c r="Z81" i="28" s="1"/>
  <c r="R81" i="28"/>
  <c r="P81" i="28"/>
  <c r="X81" i="28" s="1"/>
  <c r="H81" i="28"/>
  <c r="N81" i="28" s="1"/>
  <c r="D81" i="28"/>
  <c r="L81" i="28" s="1"/>
  <c r="B81" i="28"/>
  <c r="Z80" i="28"/>
  <c r="X80" i="28"/>
  <c r="R80" i="28"/>
  <c r="N80" i="28"/>
  <c r="L80" i="28"/>
  <c r="F80" i="28"/>
  <c r="B80" i="28"/>
  <c r="X79" i="28"/>
  <c r="Z79" i="28" s="1"/>
  <c r="R79" i="28"/>
  <c r="L79" i="28"/>
  <c r="N79" i="28" s="1"/>
  <c r="F79" i="28"/>
  <c r="B79" i="28"/>
  <c r="T78" i="28"/>
  <c r="R78" i="28"/>
  <c r="P78" i="28"/>
  <c r="X78" i="28" s="1"/>
  <c r="H78" i="28"/>
  <c r="F78" i="28"/>
  <c r="D78" i="28"/>
  <c r="L78" i="28" s="1"/>
  <c r="N78" i="28" s="1"/>
  <c r="B78" i="28"/>
  <c r="X77" i="28"/>
  <c r="Z77" i="28" s="1"/>
  <c r="N77" i="28"/>
  <c r="L77" i="28"/>
  <c r="F77" i="28"/>
  <c r="B77" i="28"/>
  <c r="Z76" i="28"/>
  <c r="X76" i="28"/>
  <c r="R76" i="28"/>
  <c r="N76" i="28"/>
  <c r="L76" i="28"/>
  <c r="F76" i="28"/>
  <c r="B76" i="28"/>
  <c r="Z75" i="28"/>
  <c r="X75" i="28"/>
  <c r="R75" i="28"/>
  <c r="L75" i="28"/>
  <c r="N75" i="28" s="1"/>
  <c r="F75" i="28"/>
  <c r="B75" i="28"/>
  <c r="T74" i="28"/>
  <c r="Z74" i="28" s="1"/>
  <c r="R74" i="28"/>
  <c r="P74" i="28"/>
  <c r="X74" i="28" s="1"/>
  <c r="N74" i="28"/>
  <c r="H74" i="28"/>
  <c r="F74" i="28"/>
  <c r="D74" i="28"/>
  <c r="L74" i="28" s="1"/>
  <c r="B74" i="28"/>
  <c r="X73" i="28"/>
  <c r="Z73" i="28" s="1"/>
  <c r="N73" i="28"/>
  <c r="L73" i="28"/>
  <c r="F73" i="28"/>
  <c r="B73" i="28"/>
  <c r="Z72" i="28"/>
  <c r="X72" i="28"/>
  <c r="R72" i="28"/>
  <c r="N72" i="28"/>
  <c r="L72" i="28"/>
  <c r="F72" i="28"/>
  <c r="B72" i="28"/>
  <c r="Z71" i="28"/>
  <c r="X71" i="28"/>
  <c r="R71" i="28"/>
  <c r="N71" i="28"/>
  <c r="L71" i="28"/>
  <c r="F71" i="28"/>
  <c r="B71" i="28"/>
  <c r="X70" i="28"/>
  <c r="Z70" i="28" s="1"/>
  <c r="N70" i="28"/>
  <c r="L70" i="28"/>
  <c r="J70" i="28"/>
  <c r="B70" i="28"/>
  <c r="T69" i="28"/>
  <c r="Z69" i="28" s="1"/>
  <c r="R69" i="28"/>
  <c r="P69" i="28"/>
  <c r="X69" i="28" s="1"/>
  <c r="H69" i="28"/>
  <c r="N69" i="28" s="1"/>
  <c r="D69" i="28"/>
  <c r="L69" i="28" s="1"/>
  <c r="B69" i="28"/>
  <c r="Z68" i="28"/>
  <c r="X68" i="28"/>
  <c r="R68" i="28"/>
  <c r="N68" i="28"/>
  <c r="L68" i="28"/>
  <c r="F68" i="28"/>
  <c r="B68" i="28"/>
  <c r="T67" i="28"/>
  <c r="Z67" i="28" s="1"/>
  <c r="P67" i="28"/>
  <c r="X67" i="28" s="1"/>
  <c r="L67" i="28"/>
  <c r="N67" i="28" s="1"/>
  <c r="H67" i="28"/>
  <c r="F67" i="28"/>
  <c r="D67" i="28"/>
  <c r="B67" i="28"/>
  <c r="Z66" i="28"/>
  <c r="X66" i="28"/>
  <c r="N66" i="28"/>
  <c r="L66" i="28"/>
  <c r="B66" i="28"/>
  <c r="Z65" i="28"/>
  <c r="X65" i="28"/>
  <c r="T65" i="28"/>
  <c r="R65" i="28"/>
  <c r="P65" i="28"/>
  <c r="H65" i="28"/>
  <c r="D65" i="28"/>
  <c r="B65" i="28"/>
  <c r="Z64" i="28"/>
  <c r="X64" i="28"/>
  <c r="R64" i="28"/>
  <c r="N64" i="28"/>
  <c r="L64" i="28"/>
  <c r="F64" i="28"/>
  <c r="B64" i="28"/>
  <c r="T63" i="28"/>
  <c r="P63" i="28"/>
  <c r="H63" i="28"/>
  <c r="F63" i="28"/>
  <c r="D63" i="28"/>
  <c r="L63" i="28" s="1"/>
  <c r="B63" i="28"/>
  <c r="X62" i="28"/>
  <c r="Z62" i="28" s="1"/>
  <c r="N62" i="28"/>
  <c r="L62" i="28"/>
  <c r="J62" i="28"/>
  <c r="B62" i="28"/>
  <c r="T61" i="28"/>
  <c r="Z61" i="28" s="1"/>
  <c r="R61" i="28"/>
  <c r="P61" i="28"/>
  <c r="X61" i="28" s="1"/>
  <c r="H61" i="28"/>
  <c r="N61" i="28" s="1"/>
  <c r="D61" i="28"/>
  <c r="L61" i="28" s="1"/>
  <c r="B61" i="28"/>
  <c r="Z60" i="28"/>
  <c r="X60" i="28"/>
  <c r="R60" i="28"/>
  <c r="N60" i="28"/>
  <c r="L60" i="28"/>
  <c r="F60" i="28"/>
  <c r="B60" i="28"/>
  <c r="T59" i="28"/>
  <c r="P59" i="28"/>
  <c r="X59" i="28" s="1"/>
  <c r="L59" i="28"/>
  <c r="N59" i="28" s="1"/>
  <c r="H59" i="28"/>
  <c r="F59" i="28"/>
  <c r="D59" i="28"/>
  <c r="B59" i="28"/>
  <c r="X58" i="28"/>
  <c r="Z58" i="28" s="1"/>
  <c r="L58" i="28"/>
  <c r="N58" i="28" s="1"/>
  <c r="B58" i="28"/>
  <c r="X57" i="28"/>
  <c r="Z57" i="28" s="1"/>
  <c r="T57" i="28"/>
  <c r="R57" i="28"/>
  <c r="P57" i="28"/>
  <c r="H57" i="28"/>
  <c r="D57" i="28"/>
  <c r="B57" i="28"/>
  <c r="Z56" i="28"/>
  <c r="X56" i="28"/>
  <c r="R56" i="28"/>
  <c r="N56" i="28"/>
  <c r="L56" i="28"/>
  <c r="F56" i="28"/>
  <c r="B56" i="28"/>
  <c r="T55" i="28"/>
  <c r="P55" i="28"/>
  <c r="H55" i="28"/>
  <c r="N55" i="28" s="1"/>
  <c r="F55" i="28"/>
  <c r="D55" i="28"/>
  <c r="L55" i="28" s="1"/>
  <c r="B55" i="28"/>
  <c r="X54" i="28"/>
  <c r="Z54" i="28" s="1"/>
  <c r="N54" i="28"/>
  <c r="L54" i="28"/>
  <c r="J54" i="28"/>
  <c r="B54" i="28"/>
  <c r="T53" i="28"/>
  <c r="R53" i="28"/>
  <c r="P53" i="28"/>
  <c r="X53" i="28" s="1"/>
  <c r="H53" i="28"/>
  <c r="N53" i="28" s="1"/>
  <c r="D53" i="28"/>
  <c r="L53" i="28" s="1"/>
  <c r="B53" i="28"/>
  <c r="Z52" i="28"/>
  <c r="X52" i="28"/>
  <c r="R52" i="28"/>
  <c r="N52" i="28"/>
  <c r="L52" i="28"/>
  <c r="F52" i="28"/>
  <c r="B52" i="28"/>
  <c r="Z51" i="28"/>
  <c r="X51" i="28"/>
  <c r="R51" i="28"/>
  <c r="N51" i="28"/>
  <c r="L51" i="28"/>
  <c r="F51" i="28"/>
  <c r="B51" i="28"/>
  <c r="T50" i="28"/>
  <c r="R50" i="28"/>
  <c r="P50" i="28"/>
  <c r="X50" i="28" s="1"/>
  <c r="N50" i="28"/>
  <c r="H50" i="28"/>
  <c r="F50" i="28"/>
  <c r="D50" i="28"/>
  <c r="L50" i="28" s="1"/>
  <c r="B50" i="28"/>
  <c r="X49" i="28"/>
  <c r="Z49" i="28" s="1"/>
  <c r="L49" i="28"/>
  <c r="N49" i="28" s="1"/>
  <c r="F49" i="28"/>
  <c r="B49" i="28"/>
  <c r="Z48" i="28"/>
  <c r="X48" i="28"/>
  <c r="R48" i="28"/>
  <c r="N48" i="28"/>
  <c r="L48" i="28"/>
  <c r="F48" i="28"/>
  <c r="B48" i="28"/>
  <c r="T47" i="28"/>
  <c r="P47" i="28"/>
  <c r="X47" i="28" s="1"/>
  <c r="L47" i="28"/>
  <c r="N47" i="28" s="1"/>
  <c r="H47" i="28"/>
  <c r="F47" i="28"/>
  <c r="D47" i="28"/>
  <c r="B47" i="28"/>
  <c r="X46" i="28"/>
  <c r="Z46" i="28" s="1"/>
  <c r="L46" i="28"/>
  <c r="N46" i="28" s="1"/>
  <c r="B46" i="28"/>
  <c r="X45" i="28"/>
  <c r="Z45" i="28" s="1"/>
  <c r="T45" i="28"/>
  <c r="R45" i="28"/>
  <c r="P45" i="28"/>
  <c r="H45" i="28"/>
  <c r="D45" i="28"/>
  <c r="B45" i="28"/>
  <c r="Z44" i="28"/>
  <c r="X44" i="28"/>
  <c r="R44" i="28"/>
  <c r="N44" i="28"/>
  <c r="L44" i="28"/>
  <c r="F44" i="28"/>
  <c r="B44" i="28"/>
  <c r="X43" i="28"/>
  <c r="Z43" i="28" s="1"/>
  <c r="R43" i="28"/>
  <c r="L43" i="28"/>
  <c r="N43" i="28" s="1"/>
  <c r="F43" i="28"/>
  <c r="B43" i="28"/>
  <c r="X42" i="28"/>
  <c r="Z42" i="28" s="1"/>
  <c r="T42" i="28"/>
  <c r="P42" i="28"/>
  <c r="H42" i="28"/>
  <c r="F42" i="28"/>
  <c r="D42" i="28"/>
  <c r="B42" i="28"/>
  <c r="X41" i="28"/>
  <c r="Z41" i="28" s="1"/>
  <c r="R41" i="28"/>
  <c r="N41" i="28"/>
  <c r="L41" i="28"/>
  <c r="B41" i="28"/>
  <c r="T40" i="28"/>
  <c r="R40" i="28"/>
  <c r="P40" i="28"/>
  <c r="H40" i="28"/>
  <c r="N40" i="28" s="1"/>
  <c r="F40" i="28"/>
  <c r="D40" i="28"/>
  <c r="L40" i="28" s="1"/>
  <c r="B40" i="28"/>
  <c r="X39" i="28"/>
  <c r="Z39" i="28" s="1"/>
  <c r="R39" i="28"/>
  <c r="L39" i="28"/>
  <c r="N39" i="28" s="1"/>
  <c r="F39" i="28"/>
  <c r="B39" i="28"/>
  <c r="X38" i="28"/>
  <c r="Z38" i="28" s="1"/>
  <c r="R38" i="28"/>
  <c r="L38" i="28"/>
  <c r="N38" i="28" s="1"/>
  <c r="J38" i="28"/>
  <c r="B38" i="28"/>
  <c r="X37" i="28"/>
  <c r="Z37" i="28" s="1"/>
  <c r="R37" i="28"/>
  <c r="L37" i="28"/>
  <c r="N37" i="28" s="1"/>
  <c r="B37" i="28"/>
  <c r="Z36" i="28"/>
  <c r="X36" i="28"/>
  <c r="R36" i="28"/>
  <c r="N36" i="28"/>
  <c r="L36" i="28"/>
  <c r="F36" i="28"/>
  <c r="B36" i="28"/>
  <c r="X35" i="28"/>
  <c r="Z35" i="28" s="1"/>
  <c r="R35" i="28"/>
  <c r="L35" i="28"/>
  <c r="N35" i="28" s="1"/>
  <c r="F35" i="28"/>
  <c r="B35" i="28"/>
  <c r="X34" i="28"/>
  <c r="Z34" i="28" s="1"/>
  <c r="L34" i="28"/>
  <c r="N34" i="28" s="1"/>
  <c r="B34" i="28"/>
  <c r="X33" i="28"/>
  <c r="Z33" i="28" s="1"/>
  <c r="N33" i="28"/>
  <c r="L33" i="28"/>
  <c r="F33" i="28"/>
  <c r="B33" i="28"/>
  <c r="T32" i="28"/>
  <c r="R32" i="28"/>
  <c r="P32" i="28"/>
  <c r="X32" i="28" s="1"/>
  <c r="Z32" i="28" s="1"/>
  <c r="L32" i="28"/>
  <c r="N32" i="28" s="1"/>
  <c r="J32" i="28"/>
  <c r="H32" i="28"/>
  <c r="D32" i="28"/>
  <c r="B32" i="28"/>
  <c r="X31" i="28"/>
  <c r="Z31" i="28" s="1"/>
  <c r="R31" i="28"/>
  <c r="L31" i="28"/>
  <c r="N31" i="28" s="1"/>
  <c r="F31" i="28"/>
  <c r="B31" i="28"/>
  <c r="X30" i="28"/>
  <c r="Z30" i="28" s="1"/>
  <c r="L30" i="28"/>
  <c r="N30" i="28" s="1"/>
  <c r="B30" i="28"/>
  <c r="X29" i="28"/>
  <c r="Z29" i="28" s="1"/>
  <c r="N29" i="28"/>
  <c r="L29" i="28"/>
  <c r="F29" i="28"/>
  <c r="B29" i="28"/>
  <c r="Z28" i="28"/>
  <c r="X28" i="28"/>
  <c r="R28" i="28"/>
  <c r="N28" i="28"/>
  <c r="L28" i="28"/>
  <c r="F28" i="28"/>
  <c r="B28" i="28"/>
  <c r="X27" i="28"/>
  <c r="Z27" i="28" s="1"/>
  <c r="R27" i="28"/>
  <c r="N27" i="28"/>
  <c r="L27" i="28"/>
  <c r="J27" i="28"/>
  <c r="F27" i="28"/>
  <c r="B27" i="28"/>
  <c r="X26" i="28"/>
  <c r="Z26" i="28" s="1"/>
  <c r="R26" i="28"/>
  <c r="L26" i="28"/>
  <c r="N26" i="28" s="1"/>
  <c r="J26" i="28"/>
  <c r="B26" i="28"/>
  <c r="Z25" i="28"/>
  <c r="X25" i="28"/>
  <c r="R25" i="28"/>
  <c r="L25" i="28"/>
  <c r="N25" i="28" s="1"/>
  <c r="B25" i="28"/>
  <c r="Z24" i="28"/>
  <c r="X24" i="28"/>
  <c r="R24" i="28"/>
  <c r="N24" i="28"/>
  <c r="L24" i="28"/>
  <c r="F24" i="28"/>
  <c r="B24" i="28"/>
  <c r="X23" i="28"/>
  <c r="Z23" i="28" s="1"/>
  <c r="R23" i="28"/>
  <c r="L23" i="28"/>
  <c r="N23" i="28" s="1"/>
  <c r="F23" i="28"/>
  <c r="B23" i="28"/>
  <c r="X22" i="28"/>
  <c r="Z22" i="28" s="1"/>
  <c r="V22" i="28"/>
  <c r="L22" i="28"/>
  <c r="N22" i="28" s="1"/>
  <c r="B22" i="28"/>
  <c r="X21" i="28"/>
  <c r="Z21" i="28" s="1"/>
  <c r="T21" i="28"/>
  <c r="R21" i="28"/>
  <c r="P21" i="28"/>
  <c r="J21" i="28"/>
  <c r="H21" i="28"/>
  <c r="D21" i="28"/>
  <c r="B21" i="28"/>
  <c r="T20" i="28" a="1"/>
  <c r="T20" i="28"/>
  <c r="P20" i="28" a="1"/>
  <c r="P20" i="28"/>
  <c r="X20" i="28" s="1"/>
  <c r="J20" i="28"/>
  <c r="H20" i="28" a="1"/>
  <c r="H20" i="28"/>
  <c r="D20" i="28" a="1"/>
  <c r="D20" i="28"/>
  <c r="L20" i="28" s="1"/>
  <c r="R18" i="28"/>
  <c r="F18" i="28"/>
  <c r="D18" i="28"/>
  <c r="Z16" i="28"/>
  <c r="X16" i="28"/>
  <c r="R16" i="28"/>
  <c r="N16" i="28"/>
  <c r="L16" i="28"/>
  <c r="J16" i="28"/>
  <c r="F16" i="28"/>
  <c r="B16" i="28"/>
  <c r="Z15" i="28"/>
  <c r="X15" i="28"/>
  <c r="R15" i="28"/>
  <c r="N15" i="28"/>
  <c r="L15" i="28"/>
  <c r="J15" i="28"/>
  <c r="F15" i="28"/>
  <c r="B15" i="28"/>
  <c r="Z14" i="28"/>
  <c r="T14" i="28"/>
  <c r="R14" i="28"/>
  <c r="P14" i="28"/>
  <c r="X14" i="28" s="1"/>
  <c r="N14" i="28"/>
  <c r="H14" i="28"/>
  <c r="F14" i="28"/>
  <c r="D14" i="28"/>
  <c r="L14" i="28" s="1"/>
  <c r="T12" i="28"/>
  <c r="V109" i="28" s="1"/>
  <c r="P12" i="28"/>
  <c r="R94" i="28" s="1"/>
  <c r="L12" i="28"/>
  <c r="H12" i="28"/>
  <c r="J87" i="28" s="1"/>
  <c r="D12" i="28"/>
  <c r="F104" i="28" s="1"/>
  <c r="D6" i="28"/>
  <c r="D4" i="28"/>
  <c r="J53" i="27"/>
  <c r="R50" i="27"/>
  <c r="J50" i="27"/>
  <c r="Z48" i="27"/>
  <c r="X48" i="27"/>
  <c r="N48" i="27"/>
  <c r="L48" i="27"/>
  <c r="J48" i="27"/>
  <c r="F48" i="27"/>
  <c r="J46" i="27"/>
  <c r="T44" i="27"/>
  <c r="Z44" i="27" s="1"/>
  <c r="R44" i="27"/>
  <c r="P44" i="27"/>
  <c r="J44" i="27"/>
  <c r="H44" i="27"/>
  <c r="N44" i="27" s="1"/>
  <c r="D44" i="27"/>
  <c r="L44" i="27" s="1"/>
  <c r="Z42" i="27"/>
  <c r="X42" i="27"/>
  <c r="N42" i="27"/>
  <c r="L42" i="27"/>
  <c r="J42" i="27"/>
  <c r="F42" i="27"/>
  <c r="B42" i="27"/>
  <c r="T41" i="27"/>
  <c r="P41" i="27"/>
  <c r="X41" i="27" s="1"/>
  <c r="L41" i="27"/>
  <c r="N41" i="27" s="1"/>
  <c r="H41" i="27"/>
  <c r="D41" i="27"/>
  <c r="B41" i="27"/>
  <c r="Z40" i="27"/>
  <c r="X40" i="27"/>
  <c r="V40" i="27"/>
  <c r="N40" i="27"/>
  <c r="L40" i="27"/>
  <c r="J40" i="27"/>
  <c r="B40" i="27"/>
  <c r="Z39" i="27"/>
  <c r="X39" i="27"/>
  <c r="T39" i="27"/>
  <c r="P39" i="27"/>
  <c r="J39" i="27"/>
  <c r="H39" i="27"/>
  <c r="D39" i="27"/>
  <c r="B39" i="27"/>
  <c r="Z38" i="27"/>
  <c r="X38" i="27"/>
  <c r="N38" i="27"/>
  <c r="L38" i="27"/>
  <c r="B38" i="27"/>
  <c r="V37" i="27"/>
  <c r="T37" i="27"/>
  <c r="P37" i="27"/>
  <c r="H37" i="27"/>
  <c r="N37" i="27" s="1"/>
  <c r="F37" i="27"/>
  <c r="D37" i="27"/>
  <c r="L37" i="27" s="1"/>
  <c r="B37" i="27"/>
  <c r="X36" i="27"/>
  <c r="Z36" i="27" s="1"/>
  <c r="N36" i="27"/>
  <c r="L36" i="27"/>
  <c r="J36" i="27"/>
  <c r="B36" i="27"/>
  <c r="T35" i="27"/>
  <c r="P35" i="27"/>
  <c r="X35" i="27" s="1"/>
  <c r="J35" i="27"/>
  <c r="H35" i="27"/>
  <c r="N35" i="27" s="1"/>
  <c r="D35" i="27"/>
  <c r="L35" i="27" s="1"/>
  <c r="B35" i="27"/>
  <c r="Z34" i="27"/>
  <c r="X34" i="27"/>
  <c r="N34" i="27"/>
  <c r="L34" i="27"/>
  <c r="J34" i="27"/>
  <c r="F34" i="27"/>
  <c r="B34" i="27"/>
  <c r="T33" i="27"/>
  <c r="Z33" i="27" s="1"/>
  <c r="P33" i="27"/>
  <c r="X33" i="27" s="1"/>
  <c r="L33" i="27"/>
  <c r="N33" i="27" s="1"/>
  <c r="H33" i="27"/>
  <c r="D33" i="27"/>
  <c r="B33" i="27"/>
  <c r="X32" i="27"/>
  <c r="Z32" i="27" s="1"/>
  <c r="V32" i="27"/>
  <c r="L32" i="27"/>
  <c r="N32" i="27" s="1"/>
  <c r="J32" i="27"/>
  <c r="B32" i="27"/>
  <c r="Z31" i="27"/>
  <c r="X31" i="27"/>
  <c r="N31" i="27"/>
  <c r="L31" i="27"/>
  <c r="B31" i="27"/>
  <c r="Z30" i="27"/>
  <c r="X30" i="27"/>
  <c r="N30" i="27"/>
  <c r="L30" i="27"/>
  <c r="J30" i="27"/>
  <c r="F30" i="27"/>
  <c r="B30" i="27"/>
  <c r="X29" i="27"/>
  <c r="Z29" i="27" s="1"/>
  <c r="L29" i="27"/>
  <c r="N29" i="27" s="1"/>
  <c r="J29" i="27"/>
  <c r="F29" i="27"/>
  <c r="B29" i="27"/>
  <c r="T28" i="27"/>
  <c r="Z28" i="27" s="1"/>
  <c r="P28" i="27"/>
  <c r="X28" i="27" s="1"/>
  <c r="N28" i="27"/>
  <c r="H28" i="27"/>
  <c r="D28" i="27"/>
  <c r="L28" i="27" s="1"/>
  <c r="B28" i="27"/>
  <c r="X27" i="27"/>
  <c r="Z27" i="27" s="1"/>
  <c r="L27" i="27"/>
  <c r="N27" i="27" s="1"/>
  <c r="B27" i="27"/>
  <c r="Z26" i="27"/>
  <c r="X26" i="27"/>
  <c r="N26" i="27"/>
  <c r="L26" i="27"/>
  <c r="J26" i="27"/>
  <c r="F26" i="27"/>
  <c r="B26" i="27"/>
  <c r="X25" i="27"/>
  <c r="Z25" i="27" s="1"/>
  <c r="L25" i="27"/>
  <c r="N25" i="27" s="1"/>
  <c r="J25" i="27"/>
  <c r="F25" i="27"/>
  <c r="B25" i="27"/>
  <c r="Z24" i="27"/>
  <c r="X24" i="27"/>
  <c r="L24" i="27"/>
  <c r="N24" i="27" s="1"/>
  <c r="J24" i="27"/>
  <c r="B24" i="27"/>
  <c r="X23" i="27"/>
  <c r="Z23" i="27" s="1"/>
  <c r="L23" i="27"/>
  <c r="N23" i="27" s="1"/>
  <c r="B23" i="27"/>
  <c r="Z22" i="27"/>
  <c r="X22" i="27"/>
  <c r="N22" i="27"/>
  <c r="L22" i="27"/>
  <c r="B22" i="27"/>
  <c r="X21" i="27"/>
  <c r="Z21" i="27" s="1"/>
  <c r="V21" i="27"/>
  <c r="R21" i="27"/>
  <c r="L21" i="27"/>
  <c r="N21" i="27" s="1"/>
  <c r="J21" i="27"/>
  <c r="B21" i="27"/>
  <c r="X20" i="27"/>
  <c r="Z20" i="27" s="1"/>
  <c r="V20" i="27"/>
  <c r="L20" i="27"/>
  <c r="N20" i="27" s="1"/>
  <c r="J20" i="27"/>
  <c r="B20" i="27"/>
  <c r="X19" i="27"/>
  <c r="Z19" i="27" s="1"/>
  <c r="T19" i="27"/>
  <c r="P19" i="27"/>
  <c r="J19" i="27"/>
  <c r="H19" i="27"/>
  <c r="D19" i="27"/>
  <c r="B19" i="27"/>
  <c r="T18" i="27" a="1"/>
  <c r="T18" i="27"/>
  <c r="P18" i="27" a="1"/>
  <c r="P18" i="27"/>
  <c r="X18" i="27" s="1"/>
  <c r="J18" i="27"/>
  <c r="H18" i="27" a="1"/>
  <c r="H18" i="27"/>
  <c r="D18" i="27" a="1"/>
  <c r="D18" i="27"/>
  <c r="T16" i="27"/>
  <c r="T46" i="27" s="1"/>
  <c r="T50" i="27" s="1"/>
  <c r="R16" i="27"/>
  <c r="J16" i="27"/>
  <c r="F16" i="27"/>
  <c r="D16" i="27"/>
  <c r="D46" i="27" s="1"/>
  <c r="Z14" i="27"/>
  <c r="T14" i="27"/>
  <c r="P14" i="27"/>
  <c r="X14" i="27" s="1"/>
  <c r="N14" i="27"/>
  <c r="L14" i="27"/>
  <c r="J14" i="27"/>
  <c r="H14" i="27"/>
  <c r="D14" i="27"/>
  <c r="T12" i="27"/>
  <c r="V41" i="27" s="1"/>
  <c r="P12" i="27"/>
  <c r="R48" i="27" s="1"/>
  <c r="N12" i="27"/>
  <c r="H12" i="27"/>
  <c r="J37" i="27" s="1"/>
  <c r="D12" i="27"/>
  <c r="F41" i="27" s="1"/>
  <c r="D6" i="27"/>
  <c r="D4" i="27"/>
  <c r="V54" i="26"/>
  <c r="J54" i="26"/>
  <c r="F54" i="26"/>
  <c r="V51" i="26"/>
  <c r="F51" i="26"/>
  <c r="Z49" i="26"/>
  <c r="X49" i="26"/>
  <c r="V49" i="26"/>
  <c r="N49" i="26"/>
  <c r="L49" i="26"/>
  <c r="J49" i="26"/>
  <c r="V47" i="26"/>
  <c r="J47" i="26"/>
  <c r="F47" i="26"/>
  <c r="Z45" i="26"/>
  <c r="V45" i="26"/>
  <c r="T45" i="26"/>
  <c r="P45" i="26"/>
  <c r="X45" i="26" s="1"/>
  <c r="N45" i="26"/>
  <c r="H45" i="26"/>
  <c r="F45" i="26"/>
  <c r="D45" i="26"/>
  <c r="L45" i="26" s="1"/>
  <c r="X43" i="26"/>
  <c r="Z43" i="26" s="1"/>
  <c r="V43" i="26"/>
  <c r="L43" i="26"/>
  <c r="N43" i="26" s="1"/>
  <c r="J43" i="26"/>
  <c r="B43" i="26"/>
  <c r="X42" i="26"/>
  <c r="Z42" i="26" s="1"/>
  <c r="T42" i="26"/>
  <c r="P42" i="26"/>
  <c r="J42" i="26"/>
  <c r="H42" i="26"/>
  <c r="D42" i="26"/>
  <c r="B42" i="26"/>
  <c r="Z41" i="26"/>
  <c r="X41" i="26"/>
  <c r="V41" i="26"/>
  <c r="R41" i="26"/>
  <c r="N41" i="26"/>
  <c r="L41" i="26"/>
  <c r="F41" i="26"/>
  <c r="B41" i="26"/>
  <c r="X40" i="26"/>
  <c r="Z40" i="26" s="1"/>
  <c r="V40" i="26"/>
  <c r="R40" i="26"/>
  <c r="N40" i="26"/>
  <c r="L40" i="26"/>
  <c r="J40" i="26"/>
  <c r="F40" i="26"/>
  <c r="B40" i="26"/>
  <c r="Z39" i="26"/>
  <c r="X39" i="26"/>
  <c r="V39" i="26"/>
  <c r="N39" i="26"/>
  <c r="L39" i="26"/>
  <c r="J39" i="26"/>
  <c r="B39" i="26"/>
  <c r="X38" i="26"/>
  <c r="Z38" i="26" s="1"/>
  <c r="T38" i="26"/>
  <c r="P38" i="26"/>
  <c r="J38" i="26"/>
  <c r="H38" i="26"/>
  <c r="D38" i="26"/>
  <c r="B38" i="26"/>
  <c r="Z37" i="26"/>
  <c r="X37" i="26"/>
  <c r="V37" i="26"/>
  <c r="R37" i="26"/>
  <c r="N37" i="26"/>
  <c r="L37" i="26"/>
  <c r="F37" i="26"/>
  <c r="B37" i="26"/>
  <c r="X36" i="26"/>
  <c r="Z36" i="26" s="1"/>
  <c r="V36" i="26"/>
  <c r="R36" i="26"/>
  <c r="L36" i="26"/>
  <c r="N36" i="26" s="1"/>
  <c r="J36" i="26"/>
  <c r="F36" i="26"/>
  <c r="B36" i="26"/>
  <c r="Z35" i="26"/>
  <c r="X35" i="26"/>
  <c r="V35" i="26"/>
  <c r="N35" i="26"/>
  <c r="L35" i="26"/>
  <c r="J35" i="26"/>
  <c r="B35" i="26"/>
  <c r="X34" i="26"/>
  <c r="Z34" i="26" s="1"/>
  <c r="T34" i="26"/>
  <c r="P34" i="26"/>
  <c r="J34" i="26"/>
  <c r="H34" i="26"/>
  <c r="D34" i="26"/>
  <c r="B34" i="26"/>
  <c r="Z33" i="26"/>
  <c r="X33" i="26"/>
  <c r="V33" i="26"/>
  <c r="R33" i="26"/>
  <c r="N33" i="26"/>
  <c r="L33" i="26"/>
  <c r="F33" i="26"/>
  <c r="B33" i="26"/>
  <c r="V32" i="26"/>
  <c r="T32" i="26"/>
  <c r="P32" i="26"/>
  <c r="H32" i="26"/>
  <c r="N32" i="26" s="1"/>
  <c r="F32" i="26"/>
  <c r="D32" i="26"/>
  <c r="L32" i="26" s="1"/>
  <c r="B32" i="26"/>
  <c r="X31" i="26"/>
  <c r="Z31" i="26" s="1"/>
  <c r="V31" i="26"/>
  <c r="N31" i="26"/>
  <c r="L31" i="26"/>
  <c r="J31" i="26"/>
  <c r="B31" i="26"/>
  <c r="T30" i="26"/>
  <c r="Z30" i="26" s="1"/>
  <c r="R30" i="26"/>
  <c r="P30" i="26"/>
  <c r="X30" i="26" s="1"/>
  <c r="J30" i="26"/>
  <c r="H30" i="26"/>
  <c r="N30" i="26" s="1"/>
  <c r="D30" i="26"/>
  <c r="L30" i="26" s="1"/>
  <c r="B30" i="26"/>
  <c r="Z29" i="26"/>
  <c r="X29" i="26"/>
  <c r="N29" i="26"/>
  <c r="L29" i="26"/>
  <c r="J29" i="26"/>
  <c r="F29" i="26"/>
  <c r="B29" i="26"/>
  <c r="V28" i="26"/>
  <c r="T28" i="26"/>
  <c r="P28" i="26"/>
  <c r="X28" i="26" s="1"/>
  <c r="L28" i="26"/>
  <c r="N28" i="26" s="1"/>
  <c r="H28" i="26"/>
  <c r="F28" i="26"/>
  <c r="D28" i="26"/>
  <c r="B28" i="26"/>
  <c r="X27" i="26"/>
  <c r="Z27" i="26" s="1"/>
  <c r="V27" i="26"/>
  <c r="L27" i="26"/>
  <c r="N27" i="26" s="1"/>
  <c r="J27" i="26"/>
  <c r="B27" i="26"/>
  <c r="X26" i="26"/>
  <c r="Z26" i="26" s="1"/>
  <c r="L26" i="26"/>
  <c r="N26" i="26" s="1"/>
  <c r="F26" i="26"/>
  <c r="B26" i="26"/>
  <c r="Z25" i="26"/>
  <c r="X25" i="26"/>
  <c r="N25" i="26"/>
  <c r="L25" i="26"/>
  <c r="J25" i="26"/>
  <c r="F25" i="26"/>
  <c r="B25" i="26"/>
  <c r="X24" i="26"/>
  <c r="Z24" i="26" s="1"/>
  <c r="V24" i="26"/>
  <c r="L24" i="26"/>
  <c r="N24" i="26" s="1"/>
  <c r="J24" i="26"/>
  <c r="F24" i="26"/>
  <c r="B24" i="26"/>
  <c r="X23" i="26"/>
  <c r="Z23" i="26" s="1"/>
  <c r="V23" i="26"/>
  <c r="L23" i="26"/>
  <c r="N23" i="26" s="1"/>
  <c r="J23" i="26"/>
  <c r="B23" i="26"/>
  <c r="X22" i="26"/>
  <c r="Z22" i="26" s="1"/>
  <c r="L22" i="26"/>
  <c r="N22" i="26" s="1"/>
  <c r="B22" i="26"/>
  <c r="Z21" i="26"/>
  <c r="X21" i="26"/>
  <c r="V21" i="26"/>
  <c r="R21" i="26"/>
  <c r="N21" i="26"/>
  <c r="L21" i="26"/>
  <c r="J21" i="26"/>
  <c r="F21" i="26"/>
  <c r="B21" i="26"/>
  <c r="X20" i="26"/>
  <c r="Z20" i="26" s="1"/>
  <c r="V20" i="26"/>
  <c r="R20" i="26"/>
  <c r="L20" i="26"/>
  <c r="N20" i="26" s="1"/>
  <c r="J20" i="26"/>
  <c r="F20" i="26"/>
  <c r="B20" i="26"/>
  <c r="X19" i="26"/>
  <c r="Z19" i="26" s="1"/>
  <c r="V19" i="26"/>
  <c r="T19" i="26"/>
  <c r="P19" i="26"/>
  <c r="J19" i="26"/>
  <c r="H19" i="26"/>
  <c r="F19" i="26"/>
  <c r="D19" i="26"/>
  <c r="B19" i="26"/>
  <c r="T18" i="26" a="1"/>
  <c r="T18" i="26"/>
  <c r="R18" i="26"/>
  <c r="P18" i="26" a="1"/>
  <c r="P18" i="26"/>
  <c r="H18" i="26" a="1"/>
  <c r="H18" i="26"/>
  <c r="F18" i="26"/>
  <c r="D18" i="26" a="1"/>
  <c r="D18" i="26"/>
  <c r="T16" i="26"/>
  <c r="Z16" i="26" s="1"/>
  <c r="R16" i="26"/>
  <c r="P16" i="26"/>
  <c r="J16" i="26"/>
  <c r="D16" i="26"/>
  <c r="D47" i="26" s="1"/>
  <c r="Z14" i="26"/>
  <c r="X14" i="26"/>
  <c r="T14" i="26"/>
  <c r="P14" i="26"/>
  <c r="J14" i="26"/>
  <c r="H14" i="26"/>
  <c r="D14" i="26"/>
  <c r="Z12" i="26"/>
  <c r="T12" i="26"/>
  <c r="V30" i="26" s="1"/>
  <c r="P12" i="26"/>
  <c r="R42" i="26" s="1"/>
  <c r="N12" i="26"/>
  <c r="L12" i="26"/>
  <c r="H12" i="26"/>
  <c r="J32" i="26" s="1"/>
  <c r="D12" i="26"/>
  <c r="F49" i="26" s="1"/>
  <c r="D6" i="26"/>
  <c r="D4" i="26"/>
  <c r="V63" i="25"/>
  <c r="V60" i="25"/>
  <c r="Z58" i="25"/>
  <c r="X58" i="25"/>
  <c r="V58" i="25"/>
  <c r="R58" i="25"/>
  <c r="N58" i="25"/>
  <c r="L58" i="25"/>
  <c r="J58" i="25"/>
  <c r="V56" i="25"/>
  <c r="V54" i="25"/>
  <c r="T54" i="25"/>
  <c r="Z54" i="25" s="1"/>
  <c r="P54" i="25"/>
  <c r="X54" i="25" s="1"/>
  <c r="N54" i="25"/>
  <c r="L54" i="25"/>
  <c r="H54" i="25"/>
  <c r="D54" i="25"/>
  <c r="Z52" i="25"/>
  <c r="X52" i="25"/>
  <c r="V52" i="25"/>
  <c r="R52" i="25"/>
  <c r="N52" i="25"/>
  <c r="L52" i="25"/>
  <c r="J52" i="25"/>
  <c r="B52" i="25"/>
  <c r="Z51" i="25"/>
  <c r="X51" i="25"/>
  <c r="V51" i="25"/>
  <c r="T51" i="25"/>
  <c r="P51" i="25"/>
  <c r="J51" i="25"/>
  <c r="H51" i="25"/>
  <c r="N51" i="25" s="1"/>
  <c r="D51" i="25"/>
  <c r="B51" i="25"/>
  <c r="X50" i="25"/>
  <c r="Z50" i="25" s="1"/>
  <c r="R50" i="25"/>
  <c r="N50" i="25"/>
  <c r="L50" i="25"/>
  <c r="B50" i="25"/>
  <c r="V49" i="25"/>
  <c r="T49" i="25"/>
  <c r="R49" i="25"/>
  <c r="P49" i="25"/>
  <c r="X49" i="25" s="1"/>
  <c r="N49" i="25"/>
  <c r="J49" i="25"/>
  <c r="H49" i="25"/>
  <c r="D49" i="25"/>
  <c r="L49" i="25" s="1"/>
  <c r="B49" i="25"/>
  <c r="X48" i="25"/>
  <c r="Z48" i="25" s="1"/>
  <c r="V48" i="25"/>
  <c r="R48" i="25"/>
  <c r="L48" i="25"/>
  <c r="N48" i="25" s="1"/>
  <c r="J48" i="25"/>
  <c r="B48" i="25"/>
  <c r="X47" i="25"/>
  <c r="Z47" i="25" s="1"/>
  <c r="V47" i="25"/>
  <c r="L47" i="25"/>
  <c r="N47" i="25" s="1"/>
  <c r="J47" i="25"/>
  <c r="B47" i="25"/>
  <c r="T46" i="25"/>
  <c r="Z46" i="25" s="1"/>
  <c r="R46" i="25"/>
  <c r="P46" i="25"/>
  <c r="X46" i="25" s="1"/>
  <c r="J46" i="25"/>
  <c r="H46" i="25"/>
  <c r="D46" i="25"/>
  <c r="L46" i="25" s="1"/>
  <c r="B46" i="25"/>
  <c r="Z45" i="25"/>
  <c r="X45" i="25"/>
  <c r="R45" i="25"/>
  <c r="N45" i="25"/>
  <c r="L45" i="25"/>
  <c r="J45" i="25"/>
  <c r="B45" i="25"/>
  <c r="V44" i="25"/>
  <c r="T44" i="25"/>
  <c r="P44" i="25"/>
  <c r="X44" i="25" s="1"/>
  <c r="L44" i="25"/>
  <c r="N44" i="25" s="1"/>
  <c r="H44" i="25"/>
  <c r="D44" i="25"/>
  <c r="B44" i="25"/>
  <c r="Z43" i="25"/>
  <c r="X43" i="25"/>
  <c r="V43" i="25"/>
  <c r="N43" i="25"/>
  <c r="L43" i="25"/>
  <c r="J43" i="25"/>
  <c r="B43" i="25"/>
  <c r="X42" i="25"/>
  <c r="Z42" i="25" s="1"/>
  <c r="L42" i="25"/>
  <c r="N42" i="25" s="1"/>
  <c r="B42" i="25"/>
  <c r="Z41" i="25"/>
  <c r="X41" i="25"/>
  <c r="R41" i="25"/>
  <c r="N41" i="25"/>
  <c r="L41" i="25"/>
  <c r="J41" i="25"/>
  <c r="B41" i="25"/>
  <c r="X40" i="25"/>
  <c r="Z40" i="25" s="1"/>
  <c r="V40" i="25"/>
  <c r="R40" i="25"/>
  <c r="L40" i="25"/>
  <c r="N40" i="25" s="1"/>
  <c r="J40" i="25"/>
  <c r="B40" i="25"/>
  <c r="V39" i="25"/>
  <c r="T39" i="25"/>
  <c r="R39" i="25"/>
  <c r="P39" i="25"/>
  <c r="X39" i="25" s="1"/>
  <c r="H39" i="25"/>
  <c r="D39" i="25"/>
  <c r="L39" i="25" s="1"/>
  <c r="N39" i="25" s="1"/>
  <c r="B39" i="25"/>
  <c r="X38" i="25"/>
  <c r="Z38" i="25" s="1"/>
  <c r="L38" i="25"/>
  <c r="N38" i="25" s="1"/>
  <c r="B38" i="25"/>
  <c r="Z37" i="25"/>
  <c r="T37" i="25"/>
  <c r="R37" i="25"/>
  <c r="P37" i="25"/>
  <c r="X37" i="25" s="1"/>
  <c r="L37" i="25"/>
  <c r="N37" i="25" s="1"/>
  <c r="J37" i="25"/>
  <c r="H37" i="25"/>
  <c r="D37" i="25"/>
  <c r="B37" i="25"/>
  <c r="X36" i="25"/>
  <c r="Z36" i="25" s="1"/>
  <c r="V36" i="25"/>
  <c r="R36" i="25"/>
  <c r="N36" i="25"/>
  <c r="L36" i="25"/>
  <c r="J36" i="25"/>
  <c r="B36" i="25"/>
  <c r="X35" i="25"/>
  <c r="Z35" i="25" s="1"/>
  <c r="V35" i="25"/>
  <c r="T35" i="25"/>
  <c r="P35" i="25"/>
  <c r="J35" i="25"/>
  <c r="H35" i="25"/>
  <c r="N35" i="25" s="1"/>
  <c r="D35" i="25"/>
  <c r="B35" i="25"/>
  <c r="X34" i="25"/>
  <c r="Z34" i="25" s="1"/>
  <c r="R34" i="25"/>
  <c r="L34" i="25"/>
  <c r="N34" i="25" s="1"/>
  <c r="B34" i="25"/>
  <c r="V33" i="25"/>
  <c r="T33" i="25"/>
  <c r="R33" i="25"/>
  <c r="P33" i="25"/>
  <c r="J33" i="25"/>
  <c r="H33" i="25"/>
  <c r="D33" i="25"/>
  <c r="L33" i="25" s="1"/>
  <c r="B33" i="25"/>
  <c r="Z32" i="25"/>
  <c r="X32" i="25"/>
  <c r="V32" i="25"/>
  <c r="R32" i="25"/>
  <c r="N32" i="25"/>
  <c r="L32" i="25"/>
  <c r="J32" i="25"/>
  <c r="B32" i="25"/>
  <c r="X31" i="25"/>
  <c r="Z31" i="25" s="1"/>
  <c r="V31" i="25"/>
  <c r="N31" i="25"/>
  <c r="L31" i="25"/>
  <c r="J31" i="25"/>
  <c r="B31" i="25"/>
  <c r="X30" i="25"/>
  <c r="Z30" i="25" s="1"/>
  <c r="R30" i="25"/>
  <c r="L30" i="25"/>
  <c r="N30" i="25" s="1"/>
  <c r="B30" i="25"/>
  <c r="V29" i="25"/>
  <c r="T29" i="25"/>
  <c r="R29" i="25"/>
  <c r="P29" i="25"/>
  <c r="J29" i="25"/>
  <c r="H29" i="25"/>
  <c r="N29" i="25" s="1"/>
  <c r="D29" i="25"/>
  <c r="L29" i="25" s="1"/>
  <c r="B29" i="25"/>
  <c r="Z28" i="25"/>
  <c r="X28" i="25"/>
  <c r="V28" i="25"/>
  <c r="R28" i="25"/>
  <c r="L28" i="25"/>
  <c r="N28" i="25" s="1"/>
  <c r="J28" i="25"/>
  <c r="B28" i="25"/>
  <c r="X27" i="25"/>
  <c r="Z27" i="25" s="1"/>
  <c r="V27" i="25"/>
  <c r="N27" i="25"/>
  <c r="L27" i="25"/>
  <c r="J27" i="25"/>
  <c r="B27" i="25"/>
  <c r="X26" i="25"/>
  <c r="Z26" i="25" s="1"/>
  <c r="R26" i="25"/>
  <c r="L26" i="25"/>
  <c r="N26" i="25" s="1"/>
  <c r="B26" i="25"/>
  <c r="Z25" i="25"/>
  <c r="X25" i="25"/>
  <c r="V25" i="25"/>
  <c r="R25" i="25"/>
  <c r="N25" i="25"/>
  <c r="L25" i="25"/>
  <c r="B25" i="25"/>
  <c r="X24" i="25"/>
  <c r="Z24" i="25" s="1"/>
  <c r="V24" i="25"/>
  <c r="R24" i="25"/>
  <c r="N24" i="25"/>
  <c r="L24" i="25"/>
  <c r="J24" i="25"/>
  <c r="B24" i="25"/>
  <c r="Z23" i="25"/>
  <c r="X23" i="25"/>
  <c r="V23" i="25"/>
  <c r="L23" i="25"/>
  <c r="N23" i="25" s="1"/>
  <c r="J23" i="25"/>
  <c r="B23" i="25"/>
  <c r="X22" i="25"/>
  <c r="Z22" i="25" s="1"/>
  <c r="L22" i="25"/>
  <c r="N22" i="25" s="1"/>
  <c r="B22" i="25"/>
  <c r="Z21" i="25"/>
  <c r="X21" i="25"/>
  <c r="R21" i="25"/>
  <c r="N21" i="25"/>
  <c r="L21" i="25"/>
  <c r="J21" i="25"/>
  <c r="B21" i="25"/>
  <c r="Z20" i="25"/>
  <c r="X20" i="25"/>
  <c r="V20" i="25"/>
  <c r="R20" i="25"/>
  <c r="L20" i="25"/>
  <c r="N20" i="25" s="1"/>
  <c r="J20" i="25"/>
  <c r="F20" i="25"/>
  <c r="B20" i="25"/>
  <c r="V19" i="25"/>
  <c r="T19" i="25"/>
  <c r="R19" i="25"/>
  <c r="P19" i="25"/>
  <c r="X19" i="25" s="1"/>
  <c r="H19" i="25"/>
  <c r="D19" i="25"/>
  <c r="L19" i="25" s="1"/>
  <c r="N19" i="25" s="1"/>
  <c r="B19" i="25"/>
  <c r="T18" i="25" a="1"/>
  <c r="T18" i="25"/>
  <c r="R18" i="25"/>
  <c r="P18" i="25" a="1"/>
  <c r="P18" i="25"/>
  <c r="X18" i="25" s="1"/>
  <c r="Z18" i="25" s="1"/>
  <c r="L18" i="25"/>
  <c r="N18" i="25" s="1"/>
  <c r="H18" i="25" a="1"/>
  <c r="H18" i="25"/>
  <c r="D18" i="25" a="1"/>
  <c r="D18" i="25"/>
  <c r="R16" i="25"/>
  <c r="J16" i="25"/>
  <c r="H16" i="25"/>
  <c r="V14" i="25"/>
  <c r="T14" i="25"/>
  <c r="R14" i="25"/>
  <c r="P14" i="25"/>
  <c r="J14" i="25"/>
  <c r="H14" i="25"/>
  <c r="N14" i="25" s="1"/>
  <c r="D14" i="25"/>
  <c r="L14" i="25" s="1"/>
  <c r="Z12" i="25"/>
  <c r="X12" i="25"/>
  <c r="T12" i="25"/>
  <c r="V50" i="25" s="1"/>
  <c r="P12" i="25"/>
  <c r="R60" i="25" s="1"/>
  <c r="N12" i="25"/>
  <c r="H12" i="25"/>
  <c r="J63" i="25" s="1"/>
  <c r="D12" i="25"/>
  <c r="F48" i="25" s="1"/>
  <c r="D6" i="25"/>
  <c r="D4" i="25"/>
  <c r="V76" i="24"/>
  <c r="V73" i="24"/>
  <c r="Z71" i="24"/>
  <c r="X71" i="24"/>
  <c r="V71" i="24"/>
  <c r="N71" i="24"/>
  <c r="L71" i="24"/>
  <c r="V69" i="24"/>
  <c r="V67" i="24"/>
  <c r="T67" i="24"/>
  <c r="Z67" i="24" s="1"/>
  <c r="P67" i="24"/>
  <c r="H67" i="24"/>
  <c r="N67" i="24" s="1"/>
  <c r="D67" i="24"/>
  <c r="L67" i="24" s="1"/>
  <c r="X65" i="24"/>
  <c r="Z65" i="24" s="1"/>
  <c r="V65" i="24"/>
  <c r="N65" i="24"/>
  <c r="L65" i="24"/>
  <c r="B65" i="24"/>
  <c r="V64" i="24"/>
  <c r="T64" i="24"/>
  <c r="Z64" i="24" s="1"/>
  <c r="R64" i="24"/>
  <c r="P64" i="24"/>
  <c r="X64" i="24" s="1"/>
  <c r="N64" i="24"/>
  <c r="H64" i="24"/>
  <c r="D64" i="24"/>
  <c r="L64" i="24" s="1"/>
  <c r="B64" i="24"/>
  <c r="X63" i="24"/>
  <c r="Z63" i="24" s="1"/>
  <c r="N63" i="24"/>
  <c r="L63" i="24"/>
  <c r="B63" i="24"/>
  <c r="T62" i="24"/>
  <c r="P62" i="24"/>
  <c r="X62" i="24" s="1"/>
  <c r="Z62" i="24" s="1"/>
  <c r="N62" i="24"/>
  <c r="L62" i="24"/>
  <c r="H62" i="24"/>
  <c r="D62" i="24"/>
  <c r="B62" i="24"/>
  <c r="X61" i="24"/>
  <c r="Z61" i="24" s="1"/>
  <c r="V61" i="24"/>
  <c r="R61" i="24"/>
  <c r="L61" i="24"/>
  <c r="N61" i="24" s="1"/>
  <c r="B61" i="24"/>
  <c r="Z60" i="24"/>
  <c r="X60" i="24"/>
  <c r="V60" i="24"/>
  <c r="T60" i="24"/>
  <c r="P60" i="24"/>
  <c r="H60" i="24"/>
  <c r="D60" i="24"/>
  <c r="B60" i="24"/>
  <c r="X59" i="24"/>
  <c r="Z59" i="24" s="1"/>
  <c r="R59" i="24"/>
  <c r="L59" i="24"/>
  <c r="N59" i="24" s="1"/>
  <c r="B59" i="24"/>
  <c r="Z58" i="24"/>
  <c r="X58" i="24"/>
  <c r="V58" i="24"/>
  <c r="R58" i="24"/>
  <c r="N58" i="24"/>
  <c r="L58" i="24"/>
  <c r="B58" i="24"/>
  <c r="X57" i="24"/>
  <c r="Z57" i="24" s="1"/>
  <c r="V57" i="24"/>
  <c r="R57" i="24"/>
  <c r="L57" i="24"/>
  <c r="N57" i="24" s="1"/>
  <c r="B57" i="24"/>
  <c r="Z56" i="24"/>
  <c r="X56" i="24"/>
  <c r="V56" i="24"/>
  <c r="N56" i="24"/>
  <c r="L56" i="24"/>
  <c r="B56" i="24"/>
  <c r="X55" i="24"/>
  <c r="Z55" i="24" s="1"/>
  <c r="T55" i="24"/>
  <c r="P55" i="24"/>
  <c r="H55" i="24"/>
  <c r="D55" i="24"/>
  <c r="B55" i="24"/>
  <c r="Z54" i="24"/>
  <c r="X54" i="24"/>
  <c r="V54" i="24"/>
  <c r="R54" i="24"/>
  <c r="N54" i="24"/>
  <c r="L54" i="24"/>
  <c r="B54" i="24"/>
  <c r="X53" i="24"/>
  <c r="Z53" i="24" s="1"/>
  <c r="V53" i="24"/>
  <c r="R53" i="24"/>
  <c r="N53" i="24"/>
  <c r="L53" i="24"/>
  <c r="B53" i="24"/>
  <c r="Z52" i="24"/>
  <c r="X52" i="24"/>
  <c r="V52" i="24"/>
  <c r="T52" i="24"/>
  <c r="P52" i="24"/>
  <c r="H52" i="24"/>
  <c r="N52" i="24" s="1"/>
  <c r="D52" i="24"/>
  <c r="B52" i="24"/>
  <c r="X51" i="24"/>
  <c r="Z51" i="24" s="1"/>
  <c r="R51" i="24"/>
  <c r="N51" i="24"/>
  <c r="L51" i="24"/>
  <c r="B51" i="24"/>
  <c r="Z50" i="24"/>
  <c r="X50" i="24"/>
  <c r="V50" i="24"/>
  <c r="R50" i="24"/>
  <c r="N50" i="24"/>
  <c r="L50" i="24"/>
  <c r="B50" i="24"/>
  <c r="V49" i="24"/>
  <c r="T49" i="24"/>
  <c r="X49" i="24" s="1"/>
  <c r="P49" i="24"/>
  <c r="H49" i="24"/>
  <c r="D49" i="24"/>
  <c r="B49" i="24"/>
  <c r="X48" i="24"/>
  <c r="Z48" i="24" s="1"/>
  <c r="V48" i="24"/>
  <c r="N48" i="24"/>
  <c r="L48" i="24"/>
  <c r="B48" i="24"/>
  <c r="X47" i="24"/>
  <c r="Z47" i="24" s="1"/>
  <c r="R47" i="24"/>
  <c r="N47" i="24"/>
  <c r="L47" i="24"/>
  <c r="B47" i="24"/>
  <c r="V46" i="24"/>
  <c r="T46" i="24"/>
  <c r="R46" i="24"/>
  <c r="P46" i="24"/>
  <c r="H46" i="24"/>
  <c r="N46" i="24" s="1"/>
  <c r="D46" i="24"/>
  <c r="L46" i="24" s="1"/>
  <c r="B46" i="24"/>
  <c r="X45" i="24"/>
  <c r="Z45" i="24" s="1"/>
  <c r="V45" i="24"/>
  <c r="L45" i="24"/>
  <c r="N45" i="24" s="1"/>
  <c r="B45" i="24"/>
  <c r="V44" i="24"/>
  <c r="T44" i="24"/>
  <c r="R44" i="24"/>
  <c r="P44" i="24"/>
  <c r="X44" i="24" s="1"/>
  <c r="N44" i="24"/>
  <c r="H44" i="24"/>
  <c r="D44" i="24"/>
  <c r="L44" i="24" s="1"/>
  <c r="B44" i="24"/>
  <c r="X43" i="24"/>
  <c r="Z43" i="24" s="1"/>
  <c r="L43" i="24"/>
  <c r="N43" i="24" s="1"/>
  <c r="B43" i="24"/>
  <c r="Z42" i="24"/>
  <c r="T42" i="24"/>
  <c r="P42" i="24"/>
  <c r="X42" i="24" s="1"/>
  <c r="N42" i="24"/>
  <c r="L42" i="24"/>
  <c r="H42" i="24"/>
  <c r="D42" i="24"/>
  <c r="B42" i="24"/>
  <c r="X41" i="24"/>
  <c r="Z41" i="24" s="1"/>
  <c r="V41" i="24"/>
  <c r="R41" i="24"/>
  <c r="L41" i="24"/>
  <c r="N41" i="24" s="1"/>
  <c r="B41" i="24"/>
  <c r="Z40" i="24"/>
  <c r="X40" i="24"/>
  <c r="V40" i="24"/>
  <c r="T40" i="24"/>
  <c r="P40" i="24"/>
  <c r="H40" i="24"/>
  <c r="D40" i="24"/>
  <c r="B40" i="24"/>
  <c r="X39" i="24"/>
  <c r="Z39" i="24" s="1"/>
  <c r="R39" i="24"/>
  <c r="N39" i="24"/>
  <c r="L39" i="24"/>
  <c r="B39" i="24"/>
  <c r="V38" i="24"/>
  <c r="T38" i="24"/>
  <c r="R38" i="24"/>
  <c r="P38" i="24"/>
  <c r="H38" i="24"/>
  <c r="N38" i="24" s="1"/>
  <c r="D38" i="24"/>
  <c r="L38" i="24" s="1"/>
  <c r="B38" i="24"/>
  <c r="Z37" i="24"/>
  <c r="X37" i="24"/>
  <c r="V37" i="24"/>
  <c r="N37" i="24"/>
  <c r="L37" i="24"/>
  <c r="B37" i="24"/>
  <c r="V36" i="24"/>
  <c r="T36" i="24"/>
  <c r="Z36" i="24" s="1"/>
  <c r="R36" i="24"/>
  <c r="P36" i="24"/>
  <c r="X36" i="24" s="1"/>
  <c r="N36" i="24"/>
  <c r="H36" i="24"/>
  <c r="D36" i="24"/>
  <c r="L36" i="24" s="1"/>
  <c r="B36" i="24"/>
  <c r="Z35" i="24"/>
  <c r="X35" i="24"/>
  <c r="N35" i="24"/>
  <c r="L35" i="24"/>
  <c r="B35" i="24"/>
  <c r="Z34" i="24"/>
  <c r="X34" i="24"/>
  <c r="N34" i="24"/>
  <c r="L34" i="24"/>
  <c r="B34" i="24"/>
  <c r="Z33" i="24"/>
  <c r="X33" i="24"/>
  <c r="V33" i="24"/>
  <c r="L33" i="24"/>
  <c r="N33" i="24" s="1"/>
  <c r="B33" i="24"/>
  <c r="Z32" i="24"/>
  <c r="X32" i="24"/>
  <c r="V32" i="24"/>
  <c r="N32" i="24"/>
  <c r="L32" i="24"/>
  <c r="B32" i="24"/>
  <c r="Z31" i="24"/>
  <c r="X31" i="24"/>
  <c r="R31" i="24"/>
  <c r="L31" i="24"/>
  <c r="N31" i="24" s="1"/>
  <c r="B31" i="24"/>
  <c r="V30" i="24"/>
  <c r="T30" i="24"/>
  <c r="R30" i="24"/>
  <c r="P30" i="24"/>
  <c r="H30" i="24"/>
  <c r="N30" i="24" s="1"/>
  <c r="D30" i="24"/>
  <c r="L30" i="24" s="1"/>
  <c r="B30" i="24"/>
  <c r="Z29" i="24"/>
  <c r="X29" i="24"/>
  <c r="V29" i="24"/>
  <c r="L29" i="24"/>
  <c r="N29" i="24" s="1"/>
  <c r="B29" i="24"/>
  <c r="X28" i="24"/>
  <c r="Z28" i="24" s="1"/>
  <c r="V28" i="24"/>
  <c r="N28" i="24"/>
  <c r="L28" i="24"/>
  <c r="B28" i="24"/>
  <c r="Z27" i="24"/>
  <c r="X27" i="24"/>
  <c r="V27" i="24"/>
  <c r="R27" i="24"/>
  <c r="L27" i="24"/>
  <c r="N27" i="24" s="1"/>
  <c r="B27" i="24"/>
  <c r="Z26" i="24"/>
  <c r="X26" i="24"/>
  <c r="V26" i="24"/>
  <c r="R26" i="24"/>
  <c r="N26" i="24"/>
  <c r="L26" i="24"/>
  <c r="B26" i="24"/>
  <c r="X25" i="24"/>
  <c r="Z25" i="24" s="1"/>
  <c r="V25" i="24"/>
  <c r="R25" i="24"/>
  <c r="N25" i="24"/>
  <c r="L25" i="24"/>
  <c r="B25" i="24"/>
  <c r="X24" i="24"/>
  <c r="Z24" i="24" s="1"/>
  <c r="V24" i="24"/>
  <c r="L24" i="24"/>
  <c r="N24" i="24" s="1"/>
  <c r="B24" i="24"/>
  <c r="Z23" i="24"/>
  <c r="X23" i="24"/>
  <c r="N23" i="24"/>
  <c r="L23" i="24"/>
  <c r="B23" i="24"/>
  <c r="Z22" i="24"/>
  <c r="X22" i="24"/>
  <c r="N22" i="24"/>
  <c r="L22" i="24"/>
  <c r="B22" i="24"/>
  <c r="Z21" i="24"/>
  <c r="X21" i="24"/>
  <c r="V21" i="24"/>
  <c r="L21" i="24"/>
  <c r="N21" i="24" s="1"/>
  <c r="B21" i="24"/>
  <c r="X20" i="24"/>
  <c r="Z20" i="24" s="1"/>
  <c r="V20" i="24"/>
  <c r="L20" i="24"/>
  <c r="N20" i="24" s="1"/>
  <c r="B20" i="24"/>
  <c r="V19" i="24"/>
  <c r="T19" i="24"/>
  <c r="R19" i="24"/>
  <c r="P19" i="24"/>
  <c r="X19" i="24" s="1"/>
  <c r="H19" i="24"/>
  <c r="D19" i="24"/>
  <c r="L19" i="24" s="1"/>
  <c r="B19" i="24"/>
  <c r="T18" i="24" a="1"/>
  <c r="T18" i="24" s="1"/>
  <c r="Z18" i="24" s="1"/>
  <c r="P18" i="24" a="1"/>
  <c r="P18" i="24"/>
  <c r="X18" i="24" s="1"/>
  <c r="H18" i="24" a="1"/>
  <c r="H18" i="24" s="1"/>
  <c r="D18" i="24" a="1"/>
  <c r="D18" i="24" s="1"/>
  <c r="L18" i="24" s="1"/>
  <c r="N18" i="24" s="1"/>
  <c r="V14" i="24"/>
  <c r="T14" i="24"/>
  <c r="R14" i="24"/>
  <c r="P14" i="24"/>
  <c r="H14" i="24"/>
  <c r="N14" i="24" s="1"/>
  <c r="D14" i="24"/>
  <c r="L14" i="24" s="1"/>
  <c r="Z12" i="24"/>
  <c r="T12" i="24"/>
  <c r="V59" i="24" s="1"/>
  <c r="P12" i="24"/>
  <c r="R55" i="24" s="1"/>
  <c r="H12" i="24"/>
  <c r="J20" i="24" s="1"/>
  <c r="D12" i="24"/>
  <c r="F71" i="24" s="1"/>
  <c r="D6" i="24"/>
  <c r="D4" i="24"/>
  <c r="J68" i="23"/>
  <c r="Z66" i="23"/>
  <c r="X66" i="23"/>
  <c r="N66" i="23"/>
  <c r="L66" i="23"/>
  <c r="J66" i="23"/>
  <c r="Z62" i="23"/>
  <c r="X62" i="23"/>
  <c r="T62" i="23"/>
  <c r="P62" i="23"/>
  <c r="J62" i="23"/>
  <c r="H62" i="23"/>
  <c r="D62" i="23"/>
  <c r="X60" i="23"/>
  <c r="Z60" i="23" s="1"/>
  <c r="N60" i="23"/>
  <c r="L60" i="23"/>
  <c r="J60" i="23"/>
  <c r="B60" i="23"/>
  <c r="T59" i="23"/>
  <c r="P59" i="23"/>
  <c r="X59" i="23" s="1"/>
  <c r="J59" i="23"/>
  <c r="H59" i="23"/>
  <c r="N59" i="23" s="1"/>
  <c r="D59" i="23"/>
  <c r="L59" i="23" s="1"/>
  <c r="B59" i="23"/>
  <c r="Z58" i="23"/>
  <c r="X58" i="23"/>
  <c r="N58" i="23"/>
  <c r="L58" i="23"/>
  <c r="J58" i="23"/>
  <c r="B58" i="23"/>
  <c r="T57" i="23"/>
  <c r="Z57" i="23" s="1"/>
  <c r="P57" i="23"/>
  <c r="X57" i="23" s="1"/>
  <c r="N57" i="23"/>
  <c r="L57" i="23"/>
  <c r="H57" i="23"/>
  <c r="D57" i="23"/>
  <c r="B57" i="23"/>
  <c r="Z56" i="23"/>
  <c r="X56" i="23"/>
  <c r="L56" i="23"/>
  <c r="N56" i="23" s="1"/>
  <c r="J56" i="23"/>
  <c r="B56" i="23"/>
  <c r="Z55" i="23"/>
  <c r="X55" i="23"/>
  <c r="T55" i="23"/>
  <c r="P55" i="23"/>
  <c r="J55" i="23"/>
  <c r="H55" i="23"/>
  <c r="D55" i="23"/>
  <c r="B55" i="23"/>
  <c r="Z54" i="23"/>
  <c r="X54" i="23"/>
  <c r="N54" i="23"/>
  <c r="L54" i="23"/>
  <c r="B54" i="23"/>
  <c r="X53" i="23"/>
  <c r="Z53" i="23" s="1"/>
  <c r="R53" i="23"/>
  <c r="N53" i="23"/>
  <c r="L53" i="23"/>
  <c r="J53" i="23"/>
  <c r="B53" i="23"/>
  <c r="Z52" i="23"/>
  <c r="X52" i="23"/>
  <c r="N52" i="23"/>
  <c r="L52" i="23"/>
  <c r="J52" i="23"/>
  <c r="B52" i="23"/>
  <c r="X51" i="23"/>
  <c r="Z51" i="23" s="1"/>
  <c r="T51" i="23"/>
  <c r="P51" i="23"/>
  <c r="L51" i="23"/>
  <c r="J51" i="23"/>
  <c r="H51" i="23"/>
  <c r="D51" i="23"/>
  <c r="B51" i="23"/>
  <c r="Z50" i="23"/>
  <c r="X50" i="23"/>
  <c r="R50" i="23"/>
  <c r="N50" i="23"/>
  <c r="L50" i="23"/>
  <c r="B50" i="23"/>
  <c r="X49" i="23"/>
  <c r="T49" i="23"/>
  <c r="P49" i="23"/>
  <c r="H49" i="23"/>
  <c r="D49" i="23"/>
  <c r="B49" i="23"/>
  <c r="X48" i="23"/>
  <c r="Z48" i="23" s="1"/>
  <c r="N48" i="23"/>
  <c r="L48" i="23"/>
  <c r="J48" i="23"/>
  <c r="B48" i="23"/>
  <c r="Z47" i="23"/>
  <c r="X47" i="23"/>
  <c r="L47" i="23"/>
  <c r="N47" i="23" s="1"/>
  <c r="B47" i="23"/>
  <c r="Z46" i="23"/>
  <c r="X46" i="23"/>
  <c r="N46" i="23"/>
  <c r="L46" i="23"/>
  <c r="B46" i="23"/>
  <c r="T45" i="23"/>
  <c r="X45" i="23" s="1"/>
  <c r="P45" i="23"/>
  <c r="H45" i="23"/>
  <c r="D45" i="23"/>
  <c r="L45" i="23" s="1"/>
  <c r="B45" i="23"/>
  <c r="X44" i="23"/>
  <c r="Z44" i="23" s="1"/>
  <c r="L44" i="23"/>
  <c r="N44" i="23" s="1"/>
  <c r="J44" i="23"/>
  <c r="B44" i="23"/>
  <c r="T43" i="23"/>
  <c r="P43" i="23"/>
  <c r="J43" i="23"/>
  <c r="H43" i="23"/>
  <c r="D43" i="23"/>
  <c r="L43" i="23" s="1"/>
  <c r="B43" i="23"/>
  <c r="Z42" i="23"/>
  <c r="X42" i="23"/>
  <c r="N42" i="23"/>
  <c r="L42" i="23"/>
  <c r="J42" i="23"/>
  <c r="B42" i="23"/>
  <c r="T41" i="23"/>
  <c r="Z41" i="23" s="1"/>
  <c r="P41" i="23"/>
  <c r="X41" i="23" s="1"/>
  <c r="N41" i="23"/>
  <c r="L41" i="23"/>
  <c r="H41" i="23"/>
  <c r="D41" i="23"/>
  <c r="B41" i="23"/>
  <c r="Z40" i="23"/>
  <c r="X40" i="23"/>
  <c r="L40" i="23"/>
  <c r="N40" i="23" s="1"/>
  <c r="J40" i="23"/>
  <c r="B40" i="23"/>
  <c r="Z39" i="23"/>
  <c r="X39" i="23"/>
  <c r="N39" i="23"/>
  <c r="L39" i="23"/>
  <c r="B39" i="23"/>
  <c r="Z38" i="23"/>
  <c r="T38" i="23"/>
  <c r="P38" i="23"/>
  <c r="X38" i="23" s="1"/>
  <c r="L38" i="23"/>
  <c r="N38" i="23" s="1"/>
  <c r="J38" i="23"/>
  <c r="H38" i="23"/>
  <c r="D38" i="23"/>
  <c r="B38" i="23"/>
  <c r="X37" i="23"/>
  <c r="Z37" i="23" s="1"/>
  <c r="L37" i="23"/>
  <c r="N37" i="23" s="1"/>
  <c r="J37" i="23"/>
  <c r="B37" i="23"/>
  <c r="Z36" i="23"/>
  <c r="X36" i="23"/>
  <c r="T36" i="23"/>
  <c r="P36" i="23"/>
  <c r="J36" i="23"/>
  <c r="H36" i="23"/>
  <c r="D36" i="23"/>
  <c r="B36" i="23"/>
  <c r="Z35" i="23"/>
  <c r="X35" i="23"/>
  <c r="N35" i="23"/>
  <c r="L35" i="23"/>
  <c r="B35" i="23"/>
  <c r="T34" i="23"/>
  <c r="P34" i="23"/>
  <c r="J34" i="23"/>
  <c r="H34" i="23"/>
  <c r="N34" i="23" s="1"/>
  <c r="D34" i="23"/>
  <c r="L34" i="23" s="1"/>
  <c r="B34" i="23"/>
  <c r="X33" i="23"/>
  <c r="Z33" i="23" s="1"/>
  <c r="L33" i="23"/>
  <c r="N33" i="23" s="1"/>
  <c r="J33" i="23"/>
  <c r="B33" i="23"/>
  <c r="T32" i="23"/>
  <c r="P32" i="23"/>
  <c r="X32" i="23" s="1"/>
  <c r="N32" i="23"/>
  <c r="H32" i="23"/>
  <c r="D32" i="23"/>
  <c r="L32" i="23" s="1"/>
  <c r="B32" i="23"/>
  <c r="Z31" i="23"/>
  <c r="X31" i="23"/>
  <c r="N31" i="23"/>
  <c r="L31" i="23"/>
  <c r="B31" i="23"/>
  <c r="Z30" i="23"/>
  <c r="X30" i="23"/>
  <c r="N30" i="23"/>
  <c r="L30" i="23"/>
  <c r="J30" i="23"/>
  <c r="B30" i="23"/>
  <c r="Z29" i="23"/>
  <c r="X29" i="23"/>
  <c r="L29" i="23"/>
  <c r="N29" i="23" s="1"/>
  <c r="J29" i="23"/>
  <c r="B29" i="23"/>
  <c r="T28" i="23"/>
  <c r="Z28" i="23" s="1"/>
  <c r="R28" i="23"/>
  <c r="P28" i="23"/>
  <c r="X28" i="23" s="1"/>
  <c r="H28" i="23"/>
  <c r="D28" i="23"/>
  <c r="L28" i="23" s="1"/>
  <c r="N28" i="23" s="1"/>
  <c r="B28" i="23"/>
  <c r="X27" i="23"/>
  <c r="Z27" i="23" s="1"/>
  <c r="N27" i="23"/>
  <c r="L27" i="23"/>
  <c r="B27" i="23"/>
  <c r="Z26" i="23"/>
  <c r="X26" i="23"/>
  <c r="N26" i="23"/>
  <c r="L26" i="23"/>
  <c r="J26" i="23"/>
  <c r="B26" i="23"/>
  <c r="X25" i="23"/>
  <c r="Z25" i="23" s="1"/>
  <c r="L25" i="23"/>
  <c r="N25" i="23" s="1"/>
  <c r="J25" i="23"/>
  <c r="B25" i="23"/>
  <c r="X24" i="23"/>
  <c r="Z24" i="23" s="1"/>
  <c r="L24" i="23"/>
  <c r="N24" i="23" s="1"/>
  <c r="J24" i="23"/>
  <c r="B24" i="23"/>
  <c r="Z23" i="23"/>
  <c r="X23" i="23"/>
  <c r="R23" i="23"/>
  <c r="N23" i="23"/>
  <c r="L23" i="23"/>
  <c r="B23" i="23"/>
  <c r="Z22" i="23"/>
  <c r="X22" i="23"/>
  <c r="R22" i="23"/>
  <c r="N22" i="23"/>
  <c r="L22" i="23"/>
  <c r="B22" i="23"/>
  <c r="X21" i="23"/>
  <c r="Z21" i="23" s="1"/>
  <c r="R21" i="23"/>
  <c r="N21" i="23"/>
  <c r="L21" i="23"/>
  <c r="J21" i="23"/>
  <c r="B21" i="23"/>
  <c r="Z20" i="23"/>
  <c r="X20" i="23"/>
  <c r="L20" i="23"/>
  <c r="N20" i="23" s="1"/>
  <c r="J20" i="23"/>
  <c r="B20" i="23"/>
  <c r="Z19" i="23"/>
  <c r="X19" i="23"/>
  <c r="T19" i="23"/>
  <c r="R19" i="23"/>
  <c r="P19" i="23"/>
  <c r="L19" i="23"/>
  <c r="J19" i="23"/>
  <c r="H19" i="23"/>
  <c r="D19" i="23"/>
  <c r="B19" i="23"/>
  <c r="V18" i="23"/>
  <c r="T18" i="23" a="1"/>
  <c r="T18" i="23" s="1"/>
  <c r="P18" i="23" a="1"/>
  <c r="P18" i="23"/>
  <c r="J18" i="23"/>
  <c r="H18" i="23" a="1"/>
  <c r="H18" i="23" s="1"/>
  <c r="D18" i="23" a="1"/>
  <c r="D18" i="23"/>
  <c r="R16" i="23"/>
  <c r="J16" i="23"/>
  <c r="Z14" i="23"/>
  <c r="T14" i="23"/>
  <c r="P14" i="23"/>
  <c r="X14" i="23" s="1"/>
  <c r="N14" i="23"/>
  <c r="J14" i="23"/>
  <c r="H14" i="23"/>
  <c r="D14" i="23"/>
  <c r="D16" i="23" s="1"/>
  <c r="T12" i="23"/>
  <c r="V56" i="23" s="1"/>
  <c r="P12" i="23"/>
  <c r="R47" i="23" s="1"/>
  <c r="N12" i="23"/>
  <c r="H12" i="23"/>
  <c r="J49" i="23" s="1"/>
  <c r="D12" i="23"/>
  <c r="F27" i="23" s="1"/>
  <c r="D6" i="23"/>
  <c r="D4" i="23"/>
  <c r="Z71" i="22"/>
  <c r="X71" i="22"/>
  <c r="N71" i="22"/>
  <c r="L71" i="22"/>
  <c r="Z67" i="22"/>
  <c r="X67" i="22"/>
  <c r="T67" i="22"/>
  <c r="P67" i="22"/>
  <c r="N67" i="22"/>
  <c r="H67" i="22"/>
  <c r="D67" i="22"/>
  <c r="Z65" i="22"/>
  <c r="X65" i="22"/>
  <c r="N65" i="22"/>
  <c r="L65" i="22"/>
  <c r="B65" i="22"/>
  <c r="Z64" i="22"/>
  <c r="X64" i="22"/>
  <c r="T64" i="22"/>
  <c r="P64" i="22"/>
  <c r="H64" i="22"/>
  <c r="N64" i="22" s="1"/>
  <c r="D64" i="22"/>
  <c r="B64" i="22"/>
  <c r="Z63" i="22"/>
  <c r="X63" i="22"/>
  <c r="N63" i="22"/>
  <c r="L63" i="22"/>
  <c r="B63" i="22"/>
  <c r="X62" i="22"/>
  <c r="T62" i="22"/>
  <c r="P62" i="22"/>
  <c r="H62" i="22"/>
  <c r="N62" i="22" s="1"/>
  <c r="D62" i="22"/>
  <c r="L62" i="22" s="1"/>
  <c r="B62" i="22"/>
  <c r="X61" i="22"/>
  <c r="Z61" i="22" s="1"/>
  <c r="L61" i="22"/>
  <c r="N61" i="22" s="1"/>
  <c r="B61" i="22"/>
  <c r="Z60" i="22"/>
  <c r="X60" i="22"/>
  <c r="N60" i="22"/>
  <c r="L60" i="22"/>
  <c r="B60" i="22"/>
  <c r="T59" i="22"/>
  <c r="X59" i="22" s="1"/>
  <c r="P59" i="22"/>
  <c r="L59" i="22"/>
  <c r="N59" i="22" s="1"/>
  <c r="H59" i="22"/>
  <c r="D59" i="22"/>
  <c r="B59" i="22"/>
  <c r="X58" i="22"/>
  <c r="Z58" i="22" s="1"/>
  <c r="N58" i="22"/>
  <c r="L58" i="22"/>
  <c r="B58" i="22"/>
  <c r="X57" i="22"/>
  <c r="Z57" i="22" s="1"/>
  <c r="T57" i="22"/>
  <c r="P57" i="22"/>
  <c r="N57" i="22"/>
  <c r="H57" i="22"/>
  <c r="D57" i="22"/>
  <c r="L57" i="22" s="1"/>
  <c r="B57" i="22"/>
  <c r="Z56" i="22"/>
  <c r="X56" i="22"/>
  <c r="N56" i="22"/>
  <c r="L56" i="22"/>
  <c r="B56" i="22"/>
  <c r="Z55" i="22"/>
  <c r="X55" i="22"/>
  <c r="N55" i="22"/>
  <c r="L55" i="22"/>
  <c r="B55" i="22"/>
  <c r="X54" i="22"/>
  <c r="Z54" i="22" s="1"/>
  <c r="N54" i="22"/>
  <c r="L54" i="22"/>
  <c r="B54" i="22"/>
  <c r="T53" i="22"/>
  <c r="P53" i="22"/>
  <c r="X53" i="22" s="1"/>
  <c r="Z53" i="22" s="1"/>
  <c r="H53" i="22"/>
  <c r="D53" i="22"/>
  <c r="L53" i="22" s="1"/>
  <c r="N53" i="22" s="1"/>
  <c r="B53" i="22"/>
  <c r="Z52" i="22"/>
  <c r="X52" i="22"/>
  <c r="N52" i="22"/>
  <c r="L52" i="22"/>
  <c r="B52" i="22"/>
  <c r="Z51" i="22"/>
  <c r="X51" i="22"/>
  <c r="N51" i="22"/>
  <c r="L51" i="22"/>
  <c r="B51" i="22"/>
  <c r="X50" i="22"/>
  <c r="Z50" i="22" s="1"/>
  <c r="N50" i="22"/>
  <c r="L50" i="22"/>
  <c r="B50" i="22"/>
  <c r="T49" i="22"/>
  <c r="P49" i="22"/>
  <c r="X49" i="22" s="1"/>
  <c r="Z49" i="22" s="1"/>
  <c r="N49" i="22"/>
  <c r="H49" i="22"/>
  <c r="D49" i="22"/>
  <c r="L49" i="22" s="1"/>
  <c r="B49" i="22"/>
  <c r="Z48" i="22"/>
  <c r="X48" i="22"/>
  <c r="N48" i="22"/>
  <c r="L48" i="22"/>
  <c r="B48" i="22"/>
  <c r="Z47" i="22"/>
  <c r="T47" i="22"/>
  <c r="P47" i="22"/>
  <c r="X47" i="22" s="1"/>
  <c r="H47" i="22"/>
  <c r="D47" i="22"/>
  <c r="L47" i="22" s="1"/>
  <c r="N47" i="22" s="1"/>
  <c r="B47" i="22"/>
  <c r="Z46" i="22"/>
  <c r="X46" i="22"/>
  <c r="N46" i="22"/>
  <c r="L46" i="22"/>
  <c r="B46" i="22"/>
  <c r="Z45" i="22"/>
  <c r="T45" i="22"/>
  <c r="P45" i="22"/>
  <c r="X45" i="22" s="1"/>
  <c r="N45" i="22"/>
  <c r="H45" i="22"/>
  <c r="L45" i="22" s="1"/>
  <c r="D45" i="22"/>
  <c r="B45" i="22"/>
  <c r="X44" i="22"/>
  <c r="Z44" i="22" s="1"/>
  <c r="N44" i="22"/>
  <c r="L44" i="22"/>
  <c r="B44" i="22"/>
  <c r="Z43" i="22"/>
  <c r="T43" i="22"/>
  <c r="X43" i="22" s="1"/>
  <c r="R43" i="22"/>
  <c r="P43" i="22"/>
  <c r="H43" i="22"/>
  <c r="N43" i="22" s="1"/>
  <c r="D43" i="22"/>
  <c r="L43" i="22" s="1"/>
  <c r="B43" i="22"/>
  <c r="X42" i="22"/>
  <c r="Z42" i="22" s="1"/>
  <c r="L42" i="22"/>
  <c r="N42" i="22" s="1"/>
  <c r="B42" i="22"/>
  <c r="T41" i="22"/>
  <c r="P41" i="22"/>
  <c r="X41" i="22" s="1"/>
  <c r="H41" i="22"/>
  <c r="D41" i="22"/>
  <c r="B41" i="22"/>
  <c r="Z40" i="22"/>
  <c r="X40" i="22"/>
  <c r="N40" i="22"/>
  <c r="L40" i="22"/>
  <c r="B40" i="22"/>
  <c r="T39" i="22"/>
  <c r="Z39" i="22" s="1"/>
  <c r="P39" i="22"/>
  <c r="N39" i="22"/>
  <c r="L39" i="22"/>
  <c r="H39" i="22"/>
  <c r="D39" i="22"/>
  <c r="B39" i="22"/>
  <c r="X38" i="22"/>
  <c r="Z38" i="22" s="1"/>
  <c r="N38" i="22"/>
  <c r="L38" i="22"/>
  <c r="B38" i="22"/>
  <c r="T37" i="22"/>
  <c r="P37" i="22"/>
  <c r="X37" i="22" s="1"/>
  <c r="Z37" i="22" s="1"/>
  <c r="H37" i="22"/>
  <c r="L37" i="22" s="1"/>
  <c r="D37" i="22"/>
  <c r="B37" i="22"/>
  <c r="X36" i="22"/>
  <c r="Z36" i="22" s="1"/>
  <c r="L36" i="22"/>
  <c r="N36" i="22" s="1"/>
  <c r="B36" i="22"/>
  <c r="T35" i="22"/>
  <c r="X35" i="22" s="1"/>
  <c r="R35" i="22"/>
  <c r="P35" i="22"/>
  <c r="J35" i="22"/>
  <c r="H35" i="22"/>
  <c r="D35" i="22"/>
  <c r="L35" i="22" s="1"/>
  <c r="B35" i="22"/>
  <c r="X34" i="22"/>
  <c r="Z34" i="22" s="1"/>
  <c r="N34" i="22"/>
  <c r="L34" i="22"/>
  <c r="B34" i="22"/>
  <c r="T33" i="22"/>
  <c r="R33" i="22"/>
  <c r="P33" i="22"/>
  <c r="X33" i="22" s="1"/>
  <c r="H33" i="22"/>
  <c r="N33" i="22" s="1"/>
  <c r="D33" i="22"/>
  <c r="L33" i="22" s="1"/>
  <c r="B33" i="22"/>
  <c r="X32" i="22"/>
  <c r="Z32" i="22" s="1"/>
  <c r="N32" i="22"/>
  <c r="L32" i="22"/>
  <c r="B32" i="22"/>
  <c r="Z31" i="22"/>
  <c r="X31" i="22"/>
  <c r="N31" i="22"/>
  <c r="L31" i="22"/>
  <c r="B31" i="22"/>
  <c r="Z30" i="22"/>
  <c r="X30" i="22"/>
  <c r="R30" i="22"/>
  <c r="L30" i="22"/>
  <c r="N30" i="22" s="1"/>
  <c r="B30" i="22"/>
  <c r="X29" i="22"/>
  <c r="Z29" i="22" s="1"/>
  <c r="L29" i="22"/>
  <c r="N29" i="22" s="1"/>
  <c r="B29" i="22"/>
  <c r="T28" i="22"/>
  <c r="P28" i="22"/>
  <c r="J28" i="22"/>
  <c r="H28" i="22"/>
  <c r="D28" i="22"/>
  <c r="B28" i="22"/>
  <c r="Z27" i="22"/>
  <c r="X27" i="22"/>
  <c r="N27" i="22"/>
  <c r="L27" i="22"/>
  <c r="B27" i="22"/>
  <c r="Z26" i="22"/>
  <c r="X26" i="22"/>
  <c r="L26" i="22"/>
  <c r="N26" i="22" s="1"/>
  <c r="B26" i="22"/>
  <c r="X25" i="22"/>
  <c r="Z25" i="22" s="1"/>
  <c r="N25" i="22"/>
  <c r="L25" i="22"/>
  <c r="J25" i="22"/>
  <c r="B25" i="22"/>
  <c r="X24" i="22"/>
  <c r="Z24" i="22" s="1"/>
  <c r="R24" i="22"/>
  <c r="N24" i="22"/>
  <c r="L24" i="22"/>
  <c r="B24" i="22"/>
  <c r="Z23" i="22"/>
  <c r="X23" i="22"/>
  <c r="R23" i="22"/>
  <c r="N23" i="22"/>
  <c r="L23" i="22"/>
  <c r="B23" i="22"/>
  <c r="X22" i="22"/>
  <c r="Z22" i="22" s="1"/>
  <c r="N22" i="22"/>
  <c r="L22" i="22"/>
  <c r="B22" i="22"/>
  <c r="Z21" i="22"/>
  <c r="X21" i="22"/>
  <c r="L21" i="22"/>
  <c r="N21" i="22" s="1"/>
  <c r="B21" i="22"/>
  <c r="Z20" i="22"/>
  <c r="X20" i="22"/>
  <c r="N20" i="22"/>
  <c r="L20" i="22"/>
  <c r="B20" i="22"/>
  <c r="T19" i="22"/>
  <c r="R19" i="22"/>
  <c r="P19" i="22"/>
  <c r="N19" i="22"/>
  <c r="L19" i="22"/>
  <c r="H19" i="22"/>
  <c r="D19" i="22"/>
  <c r="B19" i="22"/>
  <c r="T18" i="22" a="1"/>
  <c r="T18" i="22" s="1"/>
  <c r="P18" i="22" a="1"/>
  <c r="P18" i="22" s="1"/>
  <c r="X18" i="22" s="1"/>
  <c r="H18" i="22" a="1"/>
  <c r="H18" i="22" s="1"/>
  <c r="D18" i="22" a="1"/>
  <c r="D18" i="22" s="1"/>
  <c r="L18" i="22" s="1"/>
  <c r="H16" i="22"/>
  <c r="N16" i="22" s="1"/>
  <c r="F16" i="22"/>
  <c r="V14" i="22"/>
  <c r="T14" i="22"/>
  <c r="Z14" i="22" s="1"/>
  <c r="P14" i="22"/>
  <c r="N14" i="22"/>
  <c r="L14" i="22"/>
  <c r="H14" i="22"/>
  <c r="F14" i="22"/>
  <c r="D14" i="22"/>
  <c r="X12" i="22"/>
  <c r="T12" i="22"/>
  <c r="V76" i="22" s="1"/>
  <c r="P12" i="22"/>
  <c r="R67" i="22" s="1"/>
  <c r="H12" i="22"/>
  <c r="J76" i="22" s="1"/>
  <c r="D12" i="22"/>
  <c r="F43" i="22" s="1"/>
  <c r="D6" i="22"/>
  <c r="D4" i="22"/>
  <c r="Z33" i="21"/>
  <c r="X33" i="21"/>
  <c r="N33" i="21"/>
  <c r="L33" i="21"/>
  <c r="J31" i="21"/>
  <c r="T29" i="21"/>
  <c r="Z29" i="21" s="1"/>
  <c r="P29" i="21"/>
  <c r="X29" i="21" s="1"/>
  <c r="H29" i="21"/>
  <c r="N29" i="21" s="1"/>
  <c r="D29" i="21"/>
  <c r="X27" i="21"/>
  <c r="Z27" i="21" s="1"/>
  <c r="N27" i="21"/>
  <c r="L27" i="21"/>
  <c r="B27" i="21"/>
  <c r="T26" i="21"/>
  <c r="P26" i="21"/>
  <c r="X26" i="21" s="1"/>
  <c r="Z26" i="21" s="1"/>
  <c r="L26" i="21"/>
  <c r="J26" i="21"/>
  <c r="H26" i="21"/>
  <c r="N26" i="21" s="1"/>
  <c r="D26" i="21"/>
  <c r="B26" i="21"/>
  <c r="Z25" i="21"/>
  <c r="X25" i="21"/>
  <c r="V25" i="21"/>
  <c r="L25" i="21"/>
  <c r="N25" i="21" s="1"/>
  <c r="B25" i="21"/>
  <c r="X24" i="21"/>
  <c r="V24" i="21"/>
  <c r="T24" i="21"/>
  <c r="Z24" i="21" s="1"/>
  <c r="P24" i="21"/>
  <c r="H24" i="21"/>
  <c r="D24" i="21"/>
  <c r="B24" i="21"/>
  <c r="X23" i="21"/>
  <c r="Z23" i="21" s="1"/>
  <c r="N23" i="21"/>
  <c r="L23" i="21"/>
  <c r="B23" i="21"/>
  <c r="T22" i="21"/>
  <c r="P22" i="21"/>
  <c r="J22" i="21"/>
  <c r="H22" i="21"/>
  <c r="D22" i="21"/>
  <c r="L22" i="21" s="1"/>
  <c r="B22" i="21"/>
  <c r="X21" i="21"/>
  <c r="Z21" i="21" s="1"/>
  <c r="R21" i="21"/>
  <c r="N21" i="21"/>
  <c r="L21" i="21"/>
  <c r="J21" i="21"/>
  <c r="B21" i="21"/>
  <c r="Z20" i="21"/>
  <c r="X20" i="21"/>
  <c r="V20" i="21"/>
  <c r="L20" i="21"/>
  <c r="N20" i="21" s="1"/>
  <c r="J20" i="21"/>
  <c r="B20" i="21"/>
  <c r="X19" i="21"/>
  <c r="Z19" i="21" s="1"/>
  <c r="V19" i="21"/>
  <c r="T19" i="21"/>
  <c r="R19" i="21"/>
  <c r="P19" i="21"/>
  <c r="H19" i="21"/>
  <c r="D19" i="21"/>
  <c r="B19" i="21"/>
  <c r="T18" i="21" a="1"/>
  <c r="T18" i="21"/>
  <c r="Z18" i="21" s="1"/>
  <c r="P18" i="21" a="1"/>
  <c r="P18" i="21"/>
  <c r="X18" i="21" s="1"/>
  <c r="J18" i="21"/>
  <c r="H18" i="21" a="1"/>
  <c r="H18" i="21"/>
  <c r="D18" i="21" a="1"/>
  <c r="D18" i="21"/>
  <c r="L18" i="21" s="1"/>
  <c r="R16" i="21"/>
  <c r="J16" i="21"/>
  <c r="T14" i="21"/>
  <c r="T16" i="21" s="1"/>
  <c r="R14" i="21"/>
  <c r="P14" i="21"/>
  <c r="J14" i="21"/>
  <c r="H14" i="21"/>
  <c r="N14" i="21" s="1"/>
  <c r="D14" i="21"/>
  <c r="L14" i="21" s="1"/>
  <c r="Z12" i="21"/>
  <c r="T12" i="21"/>
  <c r="V21" i="21" s="1"/>
  <c r="P12" i="21"/>
  <c r="R31" i="21" s="1"/>
  <c r="N12" i="21"/>
  <c r="H12" i="21"/>
  <c r="J33" i="21" s="1"/>
  <c r="D12" i="21"/>
  <c r="F24" i="21" s="1"/>
  <c r="D6" i="21"/>
  <c r="D4" i="21"/>
  <c r="F31" i="20"/>
  <c r="X29" i="20"/>
  <c r="T29" i="20"/>
  <c r="Z29" i="20" s="1"/>
  <c r="P29" i="20"/>
  <c r="H29" i="20"/>
  <c r="F29" i="20"/>
  <c r="D29" i="20"/>
  <c r="T28" i="20"/>
  <c r="P28" i="20"/>
  <c r="X28" i="20" s="1"/>
  <c r="H28" i="20"/>
  <c r="F28" i="20"/>
  <c r="D28" i="20"/>
  <c r="L28" i="20" s="1"/>
  <c r="N28" i="20" s="1"/>
  <c r="F26" i="20"/>
  <c r="Z24" i="20"/>
  <c r="X24" i="20"/>
  <c r="N24" i="20"/>
  <c r="L24" i="20"/>
  <c r="F22" i="20"/>
  <c r="X20" i="20"/>
  <c r="T20" i="20"/>
  <c r="Z20" i="20" s="1"/>
  <c r="P20" i="20"/>
  <c r="H20" i="20"/>
  <c r="N20" i="20" s="1"/>
  <c r="F20" i="20"/>
  <c r="D20" i="20"/>
  <c r="T18" i="20"/>
  <c r="Z18" i="20" s="1"/>
  <c r="P18" i="20"/>
  <c r="X18" i="20" s="1"/>
  <c r="N18" i="20"/>
  <c r="H18" i="20"/>
  <c r="F18" i="20"/>
  <c r="D18" i="20"/>
  <c r="L18" i="20" s="1"/>
  <c r="H16" i="20"/>
  <c r="H22" i="20" s="1"/>
  <c r="F16" i="20"/>
  <c r="T14" i="20"/>
  <c r="Z14" i="20" s="1"/>
  <c r="P14" i="20"/>
  <c r="P16" i="20" s="1"/>
  <c r="N14" i="20"/>
  <c r="H14" i="20"/>
  <c r="F14" i="20"/>
  <c r="D14" i="20"/>
  <c r="L14" i="20" s="1"/>
  <c r="X12" i="20"/>
  <c r="T12" i="20"/>
  <c r="V29" i="20" s="1"/>
  <c r="P12" i="20"/>
  <c r="R29" i="20" s="1"/>
  <c r="H12" i="20"/>
  <c r="J24" i="20" s="1"/>
  <c r="D12" i="20"/>
  <c r="F24" i="20" s="1"/>
  <c r="D6" i="20"/>
  <c r="D4" i="20"/>
  <c r="Z107" i="19"/>
  <c r="X107" i="19"/>
  <c r="N107" i="19"/>
  <c r="L107" i="19"/>
  <c r="T103" i="19"/>
  <c r="P103" i="19"/>
  <c r="X103" i="19" s="1"/>
  <c r="H103" i="19"/>
  <c r="N103" i="19" s="1"/>
  <c r="D103" i="19"/>
  <c r="L103" i="19" s="1"/>
  <c r="B103" i="19"/>
  <c r="T102" i="19"/>
  <c r="Z102" i="19" s="1"/>
  <c r="P102" i="19"/>
  <c r="N102" i="19"/>
  <c r="L102" i="19"/>
  <c r="H102" i="19"/>
  <c r="D102" i="19"/>
  <c r="B102" i="19"/>
  <c r="Z101" i="19"/>
  <c r="X101" i="19"/>
  <c r="T101" i="19"/>
  <c r="P101" i="19"/>
  <c r="H101" i="19"/>
  <c r="D101" i="19"/>
  <c r="B101" i="19"/>
  <c r="T100" i="19"/>
  <c r="Z98" i="19"/>
  <c r="X98" i="19"/>
  <c r="N98" i="19"/>
  <c r="L98" i="19"/>
  <c r="B98" i="19"/>
  <c r="T97" i="19"/>
  <c r="P97" i="19"/>
  <c r="X97" i="19" s="1"/>
  <c r="Z97" i="19" s="1"/>
  <c r="N97" i="19"/>
  <c r="L97" i="19"/>
  <c r="H97" i="19"/>
  <c r="D97" i="19"/>
  <c r="B97" i="19"/>
  <c r="X96" i="19"/>
  <c r="Z96" i="19" s="1"/>
  <c r="N96" i="19"/>
  <c r="L96" i="19"/>
  <c r="B96" i="19"/>
  <c r="Z95" i="19"/>
  <c r="X95" i="19"/>
  <c r="T95" i="19"/>
  <c r="P95" i="19"/>
  <c r="H95" i="19"/>
  <c r="D95" i="19"/>
  <c r="B95" i="19"/>
  <c r="X94" i="19"/>
  <c r="Z94" i="19" s="1"/>
  <c r="N94" i="19"/>
  <c r="L94" i="19"/>
  <c r="B94" i="19"/>
  <c r="Z93" i="19"/>
  <c r="X93" i="19"/>
  <c r="N93" i="19"/>
  <c r="L93" i="19"/>
  <c r="B93" i="19"/>
  <c r="X92" i="19"/>
  <c r="Z92" i="19" s="1"/>
  <c r="N92" i="19"/>
  <c r="L92" i="19"/>
  <c r="B92" i="19"/>
  <c r="X91" i="19"/>
  <c r="Z91" i="19" s="1"/>
  <c r="N91" i="19"/>
  <c r="L91" i="19"/>
  <c r="B91" i="19"/>
  <c r="T90" i="19"/>
  <c r="P90" i="19"/>
  <c r="X90" i="19" s="1"/>
  <c r="Z90" i="19" s="1"/>
  <c r="L90" i="19"/>
  <c r="H90" i="19"/>
  <c r="N90" i="19" s="1"/>
  <c r="D90" i="19"/>
  <c r="B90" i="19"/>
  <c r="Z89" i="19"/>
  <c r="X89" i="19"/>
  <c r="N89" i="19"/>
  <c r="L89" i="19"/>
  <c r="B89" i="19"/>
  <c r="X88" i="19"/>
  <c r="T88" i="19"/>
  <c r="Z88" i="19" s="1"/>
  <c r="P88" i="19"/>
  <c r="H88" i="19"/>
  <c r="D88" i="19"/>
  <c r="B88" i="19"/>
  <c r="X87" i="19"/>
  <c r="Z87" i="19" s="1"/>
  <c r="L87" i="19"/>
  <c r="N87" i="19" s="1"/>
  <c r="B87" i="19"/>
  <c r="X86" i="19"/>
  <c r="Z86" i="19" s="1"/>
  <c r="N86" i="19"/>
  <c r="L86" i="19"/>
  <c r="B86" i="19"/>
  <c r="T85" i="19"/>
  <c r="P85" i="19"/>
  <c r="X85" i="19" s="1"/>
  <c r="H85" i="19"/>
  <c r="D85" i="19"/>
  <c r="L85" i="19" s="1"/>
  <c r="N85" i="19" s="1"/>
  <c r="B85" i="19"/>
  <c r="Z84" i="19"/>
  <c r="X84" i="19"/>
  <c r="L84" i="19"/>
  <c r="N84" i="19" s="1"/>
  <c r="B84" i="19"/>
  <c r="Z83" i="19"/>
  <c r="T83" i="19"/>
  <c r="P83" i="19"/>
  <c r="X83" i="19" s="1"/>
  <c r="H83" i="19"/>
  <c r="D83" i="19"/>
  <c r="B83" i="19"/>
  <c r="Z82" i="19"/>
  <c r="X82" i="19"/>
  <c r="N82" i="19"/>
  <c r="L82" i="19"/>
  <c r="B82" i="19"/>
  <c r="T81" i="19"/>
  <c r="P81" i="19"/>
  <c r="X81" i="19" s="1"/>
  <c r="N81" i="19"/>
  <c r="H81" i="19"/>
  <c r="D81" i="19"/>
  <c r="L81" i="19" s="1"/>
  <c r="B81" i="19"/>
  <c r="X80" i="19"/>
  <c r="Z80" i="19" s="1"/>
  <c r="N80" i="19"/>
  <c r="L80" i="19"/>
  <c r="B80" i="19"/>
  <c r="X79" i="19"/>
  <c r="Z79" i="19" s="1"/>
  <c r="N79" i="19"/>
  <c r="L79" i="19"/>
  <c r="B79" i="19"/>
  <c r="Z78" i="19"/>
  <c r="T78" i="19"/>
  <c r="P78" i="19"/>
  <c r="X78" i="19" s="1"/>
  <c r="L78" i="19"/>
  <c r="H78" i="19"/>
  <c r="N78" i="19" s="1"/>
  <c r="D78" i="19"/>
  <c r="B78" i="19"/>
  <c r="Z77" i="19"/>
  <c r="X77" i="19"/>
  <c r="N77" i="19"/>
  <c r="L77" i="19"/>
  <c r="B77" i="19"/>
  <c r="T76" i="19"/>
  <c r="Z76" i="19" s="1"/>
  <c r="P76" i="19"/>
  <c r="X76" i="19" s="1"/>
  <c r="N76" i="19"/>
  <c r="H76" i="19"/>
  <c r="D76" i="19"/>
  <c r="L76" i="19" s="1"/>
  <c r="B76" i="19"/>
  <c r="X75" i="19"/>
  <c r="Z75" i="19" s="1"/>
  <c r="N75" i="19"/>
  <c r="L75" i="19"/>
  <c r="B75" i="19"/>
  <c r="Z74" i="19"/>
  <c r="T74" i="19"/>
  <c r="P74" i="19"/>
  <c r="X74" i="19" s="1"/>
  <c r="L74" i="19"/>
  <c r="N74" i="19" s="1"/>
  <c r="H74" i="19"/>
  <c r="D74" i="19"/>
  <c r="B74" i="19"/>
  <c r="X73" i="19"/>
  <c r="Z73" i="19" s="1"/>
  <c r="N73" i="19"/>
  <c r="L73" i="19"/>
  <c r="B73" i="19"/>
  <c r="X72" i="19"/>
  <c r="Z72" i="19" s="1"/>
  <c r="T72" i="19"/>
  <c r="P72" i="19"/>
  <c r="H72" i="19"/>
  <c r="N72" i="19" s="1"/>
  <c r="D72" i="19"/>
  <c r="B72" i="19"/>
  <c r="Z71" i="19"/>
  <c r="X71" i="19"/>
  <c r="N71" i="19"/>
  <c r="L71" i="19"/>
  <c r="B71" i="19"/>
  <c r="Z70" i="19"/>
  <c r="X70" i="19"/>
  <c r="N70" i="19"/>
  <c r="L70" i="19"/>
  <c r="B70" i="19"/>
  <c r="Z69" i="19"/>
  <c r="X69" i="19"/>
  <c r="N69" i="19"/>
  <c r="L69" i="19"/>
  <c r="B69" i="19"/>
  <c r="X68" i="19"/>
  <c r="Z68" i="19" s="1"/>
  <c r="L68" i="19"/>
  <c r="N68" i="19" s="1"/>
  <c r="B68" i="19"/>
  <c r="X67" i="19"/>
  <c r="Z67" i="19" s="1"/>
  <c r="N67" i="19"/>
  <c r="L67" i="19"/>
  <c r="B67" i="19"/>
  <c r="Z66" i="19"/>
  <c r="T66" i="19"/>
  <c r="P66" i="19"/>
  <c r="X66" i="19" s="1"/>
  <c r="L66" i="19"/>
  <c r="N66" i="19" s="1"/>
  <c r="H66" i="19"/>
  <c r="D66" i="19"/>
  <c r="B66" i="19"/>
  <c r="X65" i="19"/>
  <c r="Z65" i="19" s="1"/>
  <c r="L65" i="19"/>
  <c r="N65" i="19" s="1"/>
  <c r="B65" i="19"/>
  <c r="X64" i="19"/>
  <c r="Z64" i="19" s="1"/>
  <c r="L64" i="19"/>
  <c r="N64" i="19" s="1"/>
  <c r="B64" i="19"/>
  <c r="X63" i="19"/>
  <c r="Z63" i="19" s="1"/>
  <c r="N63" i="19"/>
  <c r="L63" i="19"/>
  <c r="B63" i="19"/>
  <c r="Z62" i="19"/>
  <c r="X62" i="19"/>
  <c r="N62" i="19"/>
  <c r="L62" i="19"/>
  <c r="B62" i="19"/>
  <c r="X61" i="19"/>
  <c r="Z61" i="19" s="1"/>
  <c r="L61" i="19"/>
  <c r="N61" i="19" s="1"/>
  <c r="B61" i="19"/>
  <c r="X60" i="19"/>
  <c r="Z60" i="19" s="1"/>
  <c r="L60" i="19"/>
  <c r="N60" i="19" s="1"/>
  <c r="B60" i="19"/>
  <c r="Z59" i="19"/>
  <c r="X59" i="19"/>
  <c r="L59" i="19"/>
  <c r="N59" i="19" s="1"/>
  <c r="B59" i="19"/>
  <c r="Z58" i="19"/>
  <c r="X58" i="19"/>
  <c r="N58" i="19"/>
  <c r="L58" i="19"/>
  <c r="B58" i="19"/>
  <c r="X57" i="19"/>
  <c r="Z57" i="19" s="1"/>
  <c r="L57" i="19"/>
  <c r="N57" i="19" s="1"/>
  <c r="B57" i="19"/>
  <c r="X56" i="19"/>
  <c r="Z56" i="19" s="1"/>
  <c r="T56" i="19"/>
  <c r="P56" i="19"/>
  <c r="H56" i="19"/>
  <c r="D56" i="19"/>
  <c r="B56" i="19"/>
  <c r="T55" i="19" a="1"/>
  <c r="T55" i="19"/>
  <c r="Z55" i="19" s="1"/>
  <c r="P55" i="19" a="1"/>
  <c r="P55" i="19" s="1"/>
  <c r="X55" i="19" s="1"/>
  <c r="H55" i="19" a="1"/>
  <c r="H55" i="19"/>
  <c r="N55" i="19" s="1"/>
  <c r="D55" i="19" a="1"/>
  <c r="D55" i="19" s="1"/>
  <c r="L55" i="19" s="1"/>
  <c r="X51" i="19"/>
  <c r="Z51" i="19" s="1"/>
  <c r="N51" i="19"/>
  <c r="L51" i="19"/>
  <c r="B51" i="19"/>
  <c r="Z50" i="19"/>
  <c r="X50" i="19"/>
  <c r="N50" i="19"/>
  <c r="L50" i="19"/>
  <c r="B50" i="19"/>
  <c r="Z49" i="19"/>
  <c r="X49" i="19"/>
  <c r="N49" i="19"/>
  <c r="L49" i="19"/>
  <c r="B49" i="19"/>
  <c r="X48" i="19"/>
  <c r="Z48" i="19" s="1"/>
  <c r="N48" i="19"/>
  <c r="L48" i="19"/>
  <c r="B48" i="19"/>
  <c r="Z47" i="19"/>
  <c r="X47" i="19"/>
  <c r="N47" i="19"/>
  <c r="L47" i="19"/>
  <c r="B47" i="19"/>
  <c r="Z46" i="19"/>
  <c r="X46" i="19"/>
  <c r="N46" i="19"/>
  <c r="L46" i="19"/>
  <c r="B46" i="19"/>
  <c r="X45" i="19"/>
  <c r="Z45" i="19" s="1"/>
  <c r="N45" i="19"/>
  <c r="L45" i="19"/>
  <c r="B45" i="19"/>
  <c r="X44" i="19"/>
  <c r="Z44" i="19" s="1"/>
  <c r="L44" i="19"/>
  <c r="N44" i="19" s="1"/>
  <c r="B44" i="19"/>
  <c r="X43" i="19"/>
  <c r="Z43" i="19" s="1"/>
  <c r="N43" i="19"/>
  <c r="L43" i="19"/>
  <c r="B43" i="19"/>
  <c r="Z42" i="19"/>
  <c r="X42" i="19"/>
  <c r="N42" i="19"/>
  <c r="L42" i="19"/>
  <c r="B42" i="19"/>
  <c r="Z41" i="19"/>
  <c r="X41" i="19"/>
  <c r="L41" i="19"/>
  <c r="N41" i="19" s="1"/>
  <c r="B41" i="19"/>
  <c r="X40" i="19"/>
  <c r="Z40" i="19" s="1"/>
  <c r="L40" i="19"/>
  <c r="N40" i="19" s="1"/>
  <c r="B40" i="19"/>
  <c r="Z39" i="19"/>
  <c r="X39" i="19"/>
  <c r="L39" i="19"/>
  <c r="N39" i="19" s="1"/>
  <c r="B39" i="19"/>
  <c r="Z38" i="19"/>
  <c r="X38" i="19"/>
  <c r="N38" i="19"/>
  <c r="L38" i="19"/>
  <c r="B38" i="19"/>
  <c r="Z37" i="19"/>
  <c r="X37" i="19"/>
  <c r="N37" i="19"/>
  <c r="L37" i="19"/>
  <c r="B37" i="19"/>
  <c r="X36" i="19"/>
  <c r="Z36" i="19" s="1"/>
  <c r="T36" i="19"/>
  <c r="P36" i="19"/>
  <c r="H36" i="19"/>
  <c r="N36" i="19" s="1"/>
  <c r="D36" i="19"/>
  <c r="L36" i="19" s="1"/>
  <c r="Z34" i="19"/>
  <c r="X34" i="19"/>
  <c r="T34" i="19"/>
  <c r="P34" i="19"/>
  <c r="H34" i="19"/>
  <c r="D34" i="19"/>
  <c r="B34" i="19"/>
  <c r="T33" i="19"/>
  <c r="P33" i="19"/>
  <c r="X33" i="19" s="1"/>
  <c r="Z33" i="19" s="1"/>
  <c r="N33" i="19"/>
  <c r="L33" i="19"/>
  <c r="H33" i="19"/>
  <c r="D33" i="19"/>
  <c r="B33" i="19"/>
  <c r="T32" i="19"/>
  <c r="P32" i="19"/>
  <c r="X32" i="19" s="1"/>
  <c r="H32" i="19"/>
  <c r="D32" i="19"/>
  <c r="L32" i="19" s="1"/>
  <c r="N32" i="19" s="1"/>
  <c r="B32" i="19"/>
  <c r="T31" i="19"/>
  <c r="Z31" i="19" s="1"/>
  <c r="P31" i="19"/>
  <c r="X31" i="19" s="1"/>
  <c r="H31" i="19"/>
  <c r="N31" i="19" s="1"/>
  <c r="D31" i="19"/>
  <c r="B31" i="19"/>
  <c r="T30" i="19"/>
  <c r="P30" i="19"/>
  <c r="L30" i="19"/>
  <c r="N30" i="19" s="1"/>
  <c r="H30" i="19"/>
  <c r="D30" i="19"/>
  <c r="B30" i="19"/>
  <c r="X29" i="19"/>
  <c r="Z29" i="19" s="1"/>
  <c r="T29" i="19"/>
  <c r="P29" i="19"/>
  <c r="N29" i="19"/>
  <c r="H29" i="19"/>
  <c r="D29" i="19"/>
  <c r="L29" i="19" s="1"/>
  <c r="B29" i="19"/>
  <c r="T28" i="19"/>
  <c r="P28" i="19"/>
  <c r="X28" i="19" s="1"/>
  <c r="Z28" i="19" s="1"/>
  <c r="H28" i="19"/>
  <c r="D28" i="19"/>
  <c r="L28" i="19" s="1"/>
  <c r="B28" i="19"/>
  <c r="T27" i="19"/>
  <c r="P27" i="19"/>
  <c r="H27" i="19"/>
  <c r="D27" i="19"/>
  <c r="L27" i="19" s="1"/>
  <c r="B27" i="19"/>
  <c r="X26" i="19"/>
  <c r="Z26" i="19" s="1"/>
  <c r="T26" i="19"/>
  <c r="P26" i="19"/>
  <c r="H26" i="19"/>
  <c r="D26" i="19"/>
  <c r="B26" i="19"/>
  <c r="Z25" i="19"/>
  <c r="T25" i="19"/>
  <c r="P25" i="19"/>
  <c r="X25" i="19" s="1"/>
  <c r="N25" i="19"/>
  <c r="L25" i="19"/>
  <c r="H25" i="19"/>
  <c r="D25" i="19"/>
  <c r="B25" i="19"/>
  <c r="T24" i="19"/>
  <c r="Z24" i="19" s="1"/>
  <c r="P24" i="19"/>
  <c r="X24" i="19" s="1"/>
  <c r="N24" i="19"/>
  <c r="H24" i="19"/>
  <c r="D24" i="19"/>
  <c r="L24" i="19" s="1"/>
  <c r="B24" i="19"/>
  <c r="T23" i="19"/>
  <c r="Z23" i="19" s="1"/>
  <c r="P23" i="19"/>
  <c r="X23" i="19" s="1"/>
  <c r="H23" i="19"/>
  <c r="D23" i="19"/>
  <c r="B23" i="19"/>
  <c r="T22" i="19"/>
  <c r="P22" i="19"/>
  <c r="L22" i="19"/>
  <c r="N22" i="19" s="1"/>
  <c r="H22" i="19"/>
  <c r="D22" i="19"/>
  <c r="B22" i="19"/>
  <c r="X21" i="19"/>
  <c r="Z21" i="19" s="1"/>
  <c r="T21" i="19"/>
  <c r="P21" i="19"/>
  <c r="H21" i="19"/>
  <c r="D21" i="19"/>
  <c r="L21" i="19" s="1"/>
  <c r="N21" i="19" s="1"/>
  <c r="B21" i="19"/>
  <c r="T20" i="19"/>
  <c r="P20" i="19"/>
  <c r="X20" i="19" s="1"/>
  <c r="Z20" i="19" s="1"/>
  <c r="H20" i="19"/>
  <c r="D20" i="19"/>
  <c r="L20" i="19" s="1"/>
  <c r="B20" i="19"/>
  <c r="T19" i="19"/>
  <c r="Z19" i="19" s="1"/>
  <c r="P19" i="19"/>
  <c r="H19" i="19"/>
  <c r="N19" i="19" s="1"/>
  <c r="D19" i="19"/>
  <c r="B19" i="19"/>
  <c r="X18" i="19"/>
  <c r="Z18" i="19" s="1"/>
  <c r="T18" i="19"/>
  <c r="P18" i="19"/>
  <c r="H18" i="19"/>
  <c r="D18" i="19"/>
  <c r="B18" i="19"/>
  <c r="T17" i="19"/>
  <c r="P17" i="19"/>
  <c r="X17" i="19" s="1"/>
  <c r="Z17" i="19" s="1"/>
  <c r="N17" i="19"/>
  <c r="L17" i="19"/>
  <c r="H17" i="19"/>
  <c r="D17" i="19"/>
  <c r="B17" i="19"/>
  <c r="T16" i="19"/>
  <c r="P16" i="19"/>
  <c r="X16" i="19" s="1"/>
  <c r="H16" i="19"/>
  <c r="D16" i="19"/>
  <c r="L16" i="19" s="1"/>
  <c r="N16" i="19" s="1"/>
  <c r="B16" i="19"/>
  <c r="T15" i="19"/>
  <c r="P15" i="19"/>
  <c r="H15" i="19"/>
  <c r="D15" i="19"/>
  <c r="B15" i="19"/>
  <c r="T14" i="19"/>
  <c r="P14" i="19"/>
  <c r="L14" i="19"/>
  <c r="N14" i="19" s="1"/>
  <c r="H14" i="19"/>
  <c r="D14" i="19"/>
  <c r="B14" i="19"/>
  <c r="X13" i="19"/>
  <c r="Z13" i="19" s="1"/>
  <c r="T13" i="19"/>
  <c r="P13" i="19"/>
  <c r="H13" i="19"/>
  <c r="D13" i="19"/>
  <c r="L13" i="19" s="1"/>
  <c r="N13" i="19" s="1"/>
  <c r="B13" i="19"/>
  <c r="D4" i="19"/>
  <c r="X68" i="18"/>
  <c r="Z68" i="18" s="1"/>
  <c r="L68" i="18"/>
  <c r="N68" i="18" s="1"/>
  <c r="T64" i="18"/>
  <c r="P64" i="18"/>
  <c r="H64" i="18"/>
  <c r="D64" i="18"/>
  <c r="B64" i="18"/>
  <c r="P63" i="18"/>
  <c r="H63" i="18"/>
  <c r="Z61" i="18"/>
  <c r="X61" i="18"/>
  <c r="V61" i="18"/>
  <c r="N61" i="18"/>
  <c r="L61" i="18"/>
  <c r="B61" i="18"/>
  <c r="Z60" i="18"/>
  <c r="X60" i="18"/>
  <c r="T60" i="18"/>
  <c r="P60" i="18"/>
  <c r="H60" i="18"/>
  <c r="D60" i="18"/>
  <c r="B60" i="18"/>
  <c r="X59" i="18"/>
  <c r="Z59" i="18" s="1"/>
  <c r="N59" i="18"/>
  <c r="L59" i="18"/>
  <c r="B59" i="18"/>
  <c r="T58" i="18"/>
  <c r="P58" i="18"/>
  <c r="H58" i="18"/>
  <c r="D58" i="18"/>
  <c r="L58" i="18" s="1"/>
  <c r="N58" i="18" s="1"/>
  <c r="B58" i="18"/>
  <c r="Z57" i="18"/>
  <c r="X57" i="18"/>
  <c r="N57" i="18"/>
  <c r="L57" i="18"/>
  <c r="B57" i="18"/>
  <c r="Z56" i="18"/>
  <c r="X56" i="18"/>
  <c r="L56" i="18"/>
  <c r="N56" i="18" s="1"/>
  <c r="B56" i="18"/>
  <c r="T55" i="18"/>
  <c r="P55" i="18"/>
  <c r="X55" i="18" s="1"/>
  <c r="H55" i="18"/>
  <c r="D55" i="18"/>
  <c r="L55" i="18" s="1"/>
  <c r="N55" i="18" s="1"/>
  <c r="B55" i="18"/>
  <c r="Z54" i="18"/>
  <c r="X54" i="18"/>
  <c r="N54" i="18"/>
  <c r="L54" i="18"/>
  <c r="B54" i="18"/>
  <c r="Z53" i="18"/>
  <c r="T53" i="18"/>
  <c r="P53" i="18"/>
  <c r="X53" i="18" s="1"/>
  <c r="N53" i="18"/>
  <c r="H53" i="18"/>
  <c r="L53" i="18" s="1"/>
  <c r="D53" i="18"/>
  <c r="B53" i="18"/>
  <c r="X52" i="18"/>
  <c r="Z52" i="18" s="1"/>
  <c r="N52" i="18"/>
  <c r="L52" i="18"/>
  <c r="B52" i="18"/>
  <c r="Z51" i="18"/>
  <c r="X51" i="18"/>
  <c r="N51" i="18"/>
  <c r="L51" i="18"/>
  <c r="B51" i="18"/>
  <c r="Z50" i="18"/>
  <c r="X50" i="18"/>
  <c r="N50" i="18"/>
  <c r="L50" i="18"/>
  <c r="B50" i="18"/>
  <c r="X49" i="18"/>
  <c r="Z49" i="18" s="1"/>
  <c r="N49" i="18"/>
  <c r="L49" i="18"/>
  <c r="B49" i="18"/>
  <c r="T48" i="18"/>
  <c r="P48" i="18"/>
  <c r="X48" i="18" s="1"/>
  <c r="Z48" i="18" s="1"/>
  <c r="N48" i="18"/>
  <c r="H48" i="18"/>
  <c r="D48" i="18"/>
  <c r="L48" i="18" s="1"/>
  <c r="B48" i="18"/>
  <c r="Z47" i="18"/>
  <c r="X47" i="18"/>
  <c r="L47" i="18"/>
  <c r="N47" i="18" s="1"/>
  <c r="B47" i="18"/>
  <c r="T46" i="18"/>
  <c r="P46" i="18"/>
  <c r="X46" i="18" s="1"/>
  <c r="Z46" i="18" s="1"/>
  <c r="L46" i="18"/>
  <c r="N46" i="18" s="1"/>
  <c r="H46" i="18"/>
  <c r="D46" i="18"/>
  <c r="B46" i="18"/>
  <c r="X45" i="18"/>
  <c r="Z45" i="18" s="1"/>
  <c r="V45" i="18"/>
  <c r="L45" i="18"/>
  <c r="N45" i="18" s="1"/>
  <c r="B45" i="18"/>
  <c r="X44" i="18"/>
  <c r="Z44" i="18" s="1"/>
  <c r="T44" i="18"/>
  <c r="P44" i="18"/>
  <c r="H44" i="18"/>
  <c r="D44" i="18"/>
  <c r="B44" i="18"/>
  <c r="X43" i="18"/>
  <c r="Z43" i="18" s="1"/>
  <c r="N43" i="18"/>
  <c r="L43" i="18"/>
  <c r="B43" i="18"/>
  <c r="X42" i="18"/>
  <c r="Z42" i="18" s="1"/>
  <c r="V42" i="18"/>
  <c r="N42" i="18"/>
  <c r="L42" i="18"/>
  <c r="B42" i="18"/>
  <c r="X41" i="18"/>
  <c r="Z41" i="18" s="1"/>
  <c r="V41" i="18"/>
  <c r="T41" i="18"/>
  <c r="P41" i="18"/>
  <c r="H41" i="18"/>
  <c r="N41" i="18" s="1"/>
  <c r="D41" i="18"/>
  <c r="L41" i="18" s="1"/>
  <c r="B41" i="18"/>
  <c r="Z40" i="18"/>
  <c r="X40" i="18"/>
  <c r="L40" i="18"/>
  <c r="N40" i="18" s="1"/>
  <c r="B40" i="18"/>
  <c r="T39" i="18"/>
  <c r="P39" i="18"/>
  <c r="X39" i="18" s="1"/>
  <c r="H39" i="18"/>
  <c r="D39" i="18"/>
  <c r="L39" i="18" s="1"/>
  <c r="N39" i="18" s="1"/>
  <c r="B39" i="18"/>
  <c r="Z38" i="18"/>
  <c r="X38" i="18"/>
  <c r="N38" i="18"/>
  <c r="L38" i="18"/>
  <c r="B38" i="18"/>
  <c r="Z37" i="18"/>
  <c r="T37" i="18"/>
  <c r="P37" i="18"/>
  <c r="X37" i="18" s="1"/>
  <c r="N37" i="18"/>
  <c r="H37" i="18"/>
  <c r="D37" i="18"/>
  <c r="L37" i="18" s="1"/>
  <c r="B37" i="18"/>
  <c r="X36" i="18"/>
  <c r="Z36" i="18" s="1"/>
  <c r="N36" i="18"/>
  <c r="L36" i="18"/>
  <c r="B36" i="18"/>
  <c r="Z35" i="18"/>
  <c r="X35" i="18"/>
  <c r="N35" i="18"/>
  <c r="L35" i="18"/>
  <c r="B35" i="18"/>
  <c r="X34" i="18"/>
  <c r="Z34" i="18" s="1"/>
  <c r="L34" i="18"/>
  <c r="N34" i="18" s="1"/>
  <c r="B34" i="18"/>
  <c r="Z33" i="18"/>
  <c r="X33" i="18"/>
  <c r="N33" i="18"/>
  <c r="L33" i="18"/>
  <c r="B33" i="18"/>
  <c r="Z32" i="18"/>
  <c r="X32" i="18"/>
  <c r="L32" i="18"/>
  <c r="N32" i="18" s="1"/>
  <c r="B32" i="18"/>
  <c r="X31" i="18"/>
  <c r="Z31" i="18" s="1"/>
  <c r="N31" i="18"/>
  <c r="L31" i="18"/>
  <c r="B31" i="18"/>
  <c r="T30" i="18"/>
  <c r="P30" i="18"/>
  <c r="H30" i="18"/>
  <c r="D30" i="18"/>
  <c r="L30" i="18" s="1"/>
  <c r="N30" i="18" s="1"/>
  <c r="B30" i="18"/>
  <c r="X29" i="18"/>
  <c r="Z29" i="18" s="1"/>
  <c r="N29" i="18"/>
  <c r="L29" i="18"/>
  <c r="B29" i="18"/>
  <c r="Z28" i="18"/>
  <c r="X28" i="18"/>
  <c r="L28" i="18"/>
  <c r="N28" i="18" s="1"/>
  <c r="B28" i="18"/>
  <c r="X27" i="18"/>
  <c r="Z27" i="18" s="1"/>
  <c r="N27" i="18"/>
  <c r="L27" i="18"/>
  <c r="B27" i="18"/>
  <c r="X26" i="18"/>
  <c r="Z26" i="18" s="1"/>
  <c r="V26" i="18"/>
  <c r="L26" i="18"/>
  <c r="N26" i="18" s="1"/>
  <c r="B26" i="18"/>
  <c r="X25" i="18"/>
  <c r="Z25" i="18" s="1"/>
  <c r="V25" i="18"/>
  <c r="L25" i="18"/>
  <c r="N25" i="18" s="1"/>
  <c r="B25" i="18"/>
  <c r="X24" i="18"/>
  <c r="Z24" i="18" s="1"/>
  <c r="N24" i="18"/>
  <c r="L24" i="18"/>
  <c r="B24" i="18"/>
  <c r="Z23" i="18"/>
  <c r="X23" i="18"/>
  <c r="L23" i="18"/>
  <c r="N23" i="18" s="1"/>
  <c r="B23" i="18"/>
  <c r="X22" i="18"/>
  <c r="Z22" i="18" s="1"/>
  <c r="L22" i="18"/>
  <c r="N22" i="18" s="1"/>
  <c r="B22" i="18"/>
  <c r="X21" i="18"/>
  <c r="Z21" i="18" s="1"/>
  <c r="L21" i="18"/>
  <c r="N21" i="18" s="1"/>
  <c r="B21" i="18"/>
  <c r="T20" i="18"/>
  <c r="P20" i="18"/>
  <c r="X20" i="18" s="1"/>
  <c r="Z20" i="18" s="1"/>
  <c r="H20" i="18"/>
  <c r="D20" i="18"/>
  <c r="L20" i="18" s="1"/>
  <c r="N20" i="18" s="1"/>
  <c r="B20" i="18"/>
  <c r="Z19" i="18"/>
  <c r="T19" i="18" a="1"/>
  <c r="T19" i="18" s="1"/>
  <c r="P19" i="18" a="1"/>
  <c r="P19" i="18"/>
  <c r="X19" i="18" s="1"/>
  <c r="H19" i="18" a="1"/>
  <c r="H19" i="18" s="1"/>
  <c r="D19" i="18" a="1"/>
  <c r="D19" i="18"/>
  <c r="T15" i="18"/>
  <c r="Z15" i="18" s="1"/>
  <c r="P15" i="18"/>
  <c r="X15" i="18" s="1"/>
  <c r="N15" i="18"/>
  <c r="H15" i="18"/>
  <c r="D15" i="18"/>
  <c r="L15" i="18" s="1"/>
  <c r="T13" i="18"/>
  <c r="P13" i="18"/>
  <c r="X13" i="18" s="1"/>
  <c r="Z13" i="18" s="1"/>
  <c r="H13" i="18"/>
  <c r="N13" i="18" s="1"/>
  <c r="D13" i="18"/>
  <c r="L13" i="18" s="1"/>
  <c r="B13" i="18"/>
  <c r="T12" i="18"/>
  <c r="V60" i="18" s="1"/>
  <c r="H12" i="18"/>
  <c r="D4" i="18"/>
  <c r="X97" i="17"/>
  <c r="Z97" i="17" s="1"/>
  <c r="L97" i="17"/>
  <c r="N97" i="17" s="1"/>
  <c r="Z93" i="17"/>
  <c r="X93" i="17"/>
  <c r="T93" i="17"/>
  <c r="P93" i="17"/>
  <c r="H93" i="17"/>
  <c r="N93" i="17" s="1"/>
  <c r="D93" i="17"/>
  <c r="L93" i="17" s="1"/>
  <c r="Z91" i="17"/>
  <c r="X91" i="17"/>
  <c r="N91" i="17"/>
  <c r="L91" i="17"/>
  <c r="B91" i="17"/>
  <c r="Z90" i="17"/>
  <c r="X90" i="17"/>
  <c r="N90" i="17"/>
  <c r="L90" i="17"/>
  <c r="B90" i="17"/>
  <c r="Z89" i="17"/>
  <c r="X89" i="17"/>
  <c r="N89" i="17"/>
  <c r="L89" i="17"/>
  <c r="B89" i="17"/>
  <c r="T88" i="17"/>
  <c r="P88" i="17"/>
  <c r="N88" i="17"/>
  <c r="H88" i="17"/>
  <c r="D88" i="17"/>
  <c r="L88" i="17" s="1"/>
  <c r="B88" i="17"/>
  <c r="X87" i="17"/>
  <c r="Z87" i="17" s="1"/>
  <c r="L87" i="17"/>
  <c r="N87" i="17" s="1"/>
  <c r="B87" i="17"/>
  <c r="T86" i="17"/>
  <c r="P86" i="17"/>
  <c r="X86" i="17" s="1"/>
  <c r="Z86" i="17" s="1"/>
  <c r="H86" i="17"/>
  <c r="N86" i="17" s="1"/>
  <c r="D86" i="17"/>
  <c r="L86" i="17" s="1"/>
  <c r="B86" i="17"/>
  <c r="Z85" i="17"/>
  <c r="X85" i="17"/>
  <c r="N85" i="17"/>
  <c r="L85" i="17"/>
  <c r="B85" i="17"/>
  <c r="T84" i="17"/>
  <c r="P84" i="17"/>
  <c r="X84" i="17" s="1"/>
  <c r="L84" i="17"/>
  <c r="N84" i="17" s="1"/>
  <c r="H84" i="17"/>
  <c r="D84" i="17"/>
  <c r="B84" i="17"/>
  <c r="X83" i="17"/>
  <c r="Z83" i="17" s="1"/>
  <c r="N83" i="17"/>
  <c r="L83" i="17"/>
  <c r="B83" i="17"/>
  <c r="Z82" i="17"/>
  <c r="X82" i="17"/>
  <c r="N82" i="17"/>
  <c r="L82" i="17"/>
  <c r="B82" i="17"/>
  <c r="Z81" i="17"/>
  <c r="X81" i="17"/>
  <c r="N81" i="17"/>
  <c r="L81" i="17"/>
  <c r="B81" i="17"/>
  <c r="X80" i="17"/>
  <c r="Z80" i="17" s="1"/>
  <c r="L80" i="17"/>
  <c r="N80" i="17" s="1"/>
  <c r="B80" i="17"/>
  <c r="X79" i="17"/>
  <c r="Z79" i="17" s="1"/>
  <c r="L79" i="17"/>
  <c r="N79" i="17" s="1"/>
  <c r="B79" i="17"/>
  <c r="Z78" i="17"/>
  <c r="X78" i="17"/>
  <c r="L78" i="17"/>
  <c r="N78" i="17" s="1"/>
  <c r="B78" i="17"/>
  <c r="Z77" i="17"/>
  <c r="X77" i="17"/>
  <c r="N77" i="17"/>
  <c r="L77" i="17"/>
  <c r="B77" i="17"/>
  <c r="Z76" i="17"/>
  <c r="X76" i="17"/>
  <c r="N76" i="17"/>
  <c r="L76" i="17"/>
  <c r="B76" i="17"/>
  <c r="X75" i="17"/>
  <c r="Z75" i="17" s="1"/>
  <c r="T75" i="17"/>
  <c r="P75" i="17"/>
  <c r="H75" i="17"/>
  <c r="D75" i="17"/>
  <c r="B75" i="17"/>
  <c r="Z74" i="17"/>
  <c r="X74" i="17"/>
  <c r="N74" i="17"/>
  <c r="L74" i="17"/>
  <c r="B74" i="17"/>
  <c r="T73" i="17"/>
  <c r="P73" i="17"/>
  <c r="N73" i="17"/>
  <c r="H73" i="17"/>
  <c r="D73" i="17"/>
  <c r="L73" i="17" s="1"/>
  <c r="B73" i="17"/>
  <c r="X72" i="17"/>
  <c r="Z72" i="17" s="1"/>
  <c r="L72" i="17"/>
  <c r="N72" i="17" s="1"/>
  <c r="B72" i="17"/>
  <c r="X71" i="17"/>
  <c r="Z71" i="17" s="1"/>
  <c r="L71" i="17"/>
  <c r="N71" i="17" s="1"/>
  <c r="B71" i="17"/>
  <c r="Z70" i="17"/>
  <c r="X70" i="17"/>
  <c r="N70" i="17"/>
  <c r="L70" i="17"/>
  <c r="B70" i="17"/>
  <c r="Z69" i="17"/>
  <c r="X69" i="17"/>
  <c r="N69" i="17"/>
  <c r="L69" i="17"/>
  <c r="B69" i="17"/>
  <c r="T68" i="17"/>
  <c r="P68" i="17"/>
  <c r="H68" i="17"/>
  <c r="D68" i="17"/>
  <c r="L68" i="17" s="1"/>
  <c r="N68" i="17" s="1"/>
  <c r="B68" i="17"/>
  <c r="X67" i="17"/>
  <c r="Z67" i="17" s="1"/>
  <c r="L67" i="17"/>
  <c r="N67" i="17" s="1"/>
  <c r="B67" i="17"/>
  <c r="Z66" i="17"/>
  <c r="X66" i="17"/>
  <c r="N66" i="17"/>
  <c r="L66" i="17"/>
  <c r="B66" i="17"/>
  <c r="Z65" i="17"/>
  <c r="X65" i="17"/>
  <c r="N65" i="17"/>
  <c r="L65" i="17"/>
  <c r="B65" i="17"/>
  <c r="T64" i="17"/>
  <c r="P64" i="17"/>
  <c r="H64" i="17"/>
  <c r="D64" i="17"/>
  <c r="L64" i="17" s="1"/>
  <c r="N64" i="17" s="1"/>
  <c r="B64" i="17"/>
  <c r="X63" i="17"/>
  <c r="Z63" i="17" s="1"/>
  <c r="L63" i="17"/>
  <c r="N63" i="17" s="1"/>
  <c r="B63" i="17"/>
  <c r="T62" i="17"/>
  <c r="P62" i="17"/>
  <c r="X62" i="17" s="1"/>
  <c r="Z62" i="17" s="1"/>
  <c r="H62" i="17"/>
  <c r="D62" i="17"/>
  <c r="L62" i="17" s="1"/>
  <c r="N62" i="17" s="1"/>
  <c r="B62" i="17"/>
  <c r="Z61" i="17"/>
  <c r="X61" i="17"/>
  <c r="N61" i="17"/>
  <c r="L61" i="17"/>
  <c r="B61" i="17"/>
  <c r="T60" i="17"/>
  <c r="P60" i="17"/>
  <c r="X60" i="17" s="1"/>
  <c r="Z60" i="17" s="1"/>
  <c r="N60" i="17"/>
  <c r="L60" i="17"/>
  <c r="H60" i="17"/>
  <c r="D60" i="17"/>
  <c r="B60" i="17"/>
  <c r="X59" i="17"/>
  <c r="Z59" i="17" s="1"/>
  <c r="L59" i="17"/>
  <c r="N59" i="17" s="1"/>
  <c r="B59" i="17"/>
  <c r="X58" i="17"/>
  <c r="Z58" i="17" s="1"/>
  <c r="T58" i="17"/>
  <c r="P58" i="17"/>
  <c r="H58" i="17"/>
  <c r="D58" i="17"/>
  <c r="B58" i="17"/>
  <c r="Z57" i="17"/>
  <c r="X57" i="17"/>
  <c r="N57" i="17"/>
  <c r="L57" i="17"/>
  <c r="B57" i="17"/>
  <c r="T56" i="17"/>
  <c r="P56" i="17"/>
  <c r="H56" i="17"/>
  <c r="D56" i="17"/>
  <c r="L56" i="17" s="1"/>
  <c r="N56" i="17" s="1"/>
  <c r="B56" i="17"/>
  <c r="X55" i="17"/>
  <c r="Z55" i="17" s="1"/>
  <c r="L55" i="17"/>
  <c r="N55" i="17" s="1"/>
  <c r="B55" i="17"/>
  <c r="T54" i="17"/>
  <c r="P54" i="17"/>
  <c r="X54" i="17" s="1"/>
  <c r="Z54" i="17" s="1"/>
  <c r="H54" i="17"/>
  <c r="D54" i="17"/>
  <c r="L54" i="17" s="1"/>
  <c r="N54" i="17" s="1"/>
  <c r="B54" i="17"/>
  <c r="Z53" i="17"/>
  <c r="X53" i="17"/>
  <c r="N53" i="17"/>
  <c r="L53" i="17"/>
  <c r="B53" i="17"/>
  <c r="T52" i="17"/>
  <c r="P52" i="17"/>
  <c r="X52" i="17" s="1"/>
  <c r="Z52" i="17" s="1"/>
  <c r="N52" i="17"/>
  <c r="L52" i="17"/>
  <c r="H52" i="17"/>
  <c r="D52" i="17"/>
  <c r="B52" i="17"/>
  <c r="X51" i="17"/>
  <c r="Z51" i="17" s="1"/>
  <c r="L51" i="17"/>
  <c r="N51" i="17" s="1"/>
  <c r="B51" i="17"/>
  <c r="X50" i="17"/>
  <c r="Z50" i="17" s="1"/>
  <c r="T50" i="17"/>
  <c r="P50" i="17"/>
  <c r="H50" i="17"/>
  <c r="D50" i="17"/>
  <c r="B50" i="17"/>
  <c r="Z49" i="17"/>
  <c r="X49" i="17"/>
  <c r="N49" i="17"/>
  <c r="L49" i="17"/>
  <c r="B49" i="17"/>
  <c r="T48" i="17"/>
  <c r="P48" i="17"/>
  <c r="N48" i="17"/>
  <c r="H48" i="17"/>
  <c r="D48" i="17"/>
  <c r="L48" i="17" s="1"/>
  <c r="B48" i="17"/>
  <c r="X47" i="17"/>
  <c r="Z47" i="17" s="1"/>
  <c r="L47" i="17"/>
  <c r="N47" i="17" s="1"/>
  <c r="B47" i="17"/>
  <c r="T46" i="17"/>
  <c r="P46" i="17"/>
  <c r="X46" i="17" s="1"/>
  <c r="Z46" i="17" s="1"/>
  <c r="H46" i="17"/>
  <c r="N46" i="17" s="1"/>
  <c r="D46" i="17"/>
  <c r="L46" i="17" s="1"/>
  <c r="B46" i="17"/>
  <c r="Z45" i="17"/>
  <c r="X45" i="17"/>
  <c r="N45" i="17"/>
  <c r="L45" i="17"/>
  <c r="B45" i="17"/>
  <c r="T44" i="17"/>
  <c r="P44" i="17"/>
  <c r="X44" i="17" s="1"/>
  <c r="L44" i="17"/>
  <c r="N44" i="17" s="1"/>
  <c r="H44" i="17"/>
  <c r="D44" i="17"/>
  <c r="B44" i="17"/>
  <c r="X43" i="17"/>
  <c r="Z43" i="17" s="1"/>
  <c r="N43" i="17"/>
  <c r="L43" i="17"/>
  <c r="B43" i="17"/>
  <c r="X42" i="17"/>
  <c r="Z42" i="17" s="1"/>
  <c r="N42" i="17"/>
  <c r="L42" i="17"/>
  <c r="B42" i="17"/>
  <c r="Z41" i="17"/>
  <c r="X41" i="17"/>
  <c r="N41" i="17"/>
  <c r="L41" i="17"/>
  <c r="B41" i="17"/>
  <c r="X40" i="17"/>
  <c r="Z40" i="17" s="1"/>
  <c r="L40" i="17"/>
  <c r="N40" i="17" s="1"/>
  <c r="B40" i="17"/>
  <c r="X39" i="17"/>
  <c r="Z39" i="17" s="1"/>
  <c r="L39" i="17"/>
  <c r="N39" i="17" s="1"/>
  <c r="B39" i="17"/>
  <c r="Z38" i="17"/>
  <c r="X38" i="17"/>
  <c r="N38" i="17"/>
  <c r="L38" i="17"/>
  <c r="B38" i="17"/>
  <c r="Z37" i="17"/>
  <c r="X37" i="17"/>
  <c r="N37" i="17"/>
  <c r="L37" i="17"/>
  <c r="B37" i="17"/>
  <c r="T36" i="17"/>
  <c r="P36" i="17"/>
  <c r="H36" i="17"/>
  <c r="D36" i="17"/>
  <c r="L36" i="17" s="1"/>
  <c r="N36" i="17" s="1"/>
  <c r="B36" i="17"/>
  <c r="X35" i="17"/>
  <c r="Z35" i="17" s="1"/>
  <c r="L35" i="17"/>
  <c r="N35" i="17" s="1"/>
  <c r="B35" i="17"/>
  <c r="Z34" i="17"/>
  <c r="X34" i="17"/>
  <c r="N34" i="17"/>
  <c r="L34" i="17"/>
  <c r="B34" i="17"/>
  <c r="Z33" i="17"/>
  <c r="X33" i="17"/>
  <c r="N33" i="17"/>
  <c r="L33" i="17"/>
  <c r="B33" i="17"/>
  <c r="X32" i="17"/>
  <c r="Z32" i="17" s="1"/>
  <c r="L32" i="17"/>
  <c r="N32" i="17" s="1"/>
  <c r="B32" i="17"/>
  <c r="X31" i="17"/>
  <c r="Z31" i="17" s="1"/>
  <c r="L31" i="17"/>
  <c r="N31" i="17" s="1"/>
  <c r="B31" i="17"/>
  <c r="Z30" i="17"/>
  <c r="X30" i="17"/>
  <c r="N30" i="17"/>
  <c r="L30" i="17"/>
  <c r="B30" i="17"/>
  <c r="Z29" i="17"/>
  <c r="X29" i="17"/>
  <c r="N29" i="17"/>
  <c r="L29" i="17"/>
  <c r="B29" i="17"/>
  <c r="X28" i="17"/>
  <c r="Z28" i="17" s="1"/>
  <c r="L28" i="17"/>
  <c r="N28" i="17" s="1"/>
  <c r="B28" i="17"/>
  <c r="X27" i="17"/>
  <c r="Z27" i="17" s="1"/>
  <c r="L27" i="17"/>
  <c r="N27" i="17" s="1"/>
  <c r="B27" i="17"/>
  <c r="Z26" i="17"/>
  <c r="T26" i="17"/>
  <c r="P26" i="17"/>
  <c r="X26" i="17" s="1"/>
  <c r="H26" i="17"/>
  <c r="D26" i="17"/>
  <c r="L26" i="17" s="1"/>
  <c r="N26" i="17" s="1"/>
  <c r="B26" i="17"/>
  <c r="T25" i="17" a="1"/>
  <c r="T25" i="17" s="1"/>
  <c r="P25" i="17" a="1"/>
  <c r="P25" i="17"/>
  <c r="H25" i="17" a="1"/>
  <c r="H25" i="17" s="1"/>
  <c r="D25" i="17" a="1"/>
  <c r="D25" i="17"/>
  <c r="Z21" i="17"/>
  <c r="X21" i="17"/>
  <c r="N21" i="17"/>
  <c r="L21" i="17"/>
  <c r="B21" i="17"/>
  <c r="X20" i="17"/>
  <c r="Z20" i="17" s="1"/>
  <c r="L20" i="17"/>
  <c r="N20" i="17" s="1"/>
  <c r="B20" i="17"/>
  <c r="T19" i="17"/>
  <c r="P19" i="17"/>
  <c r="X19" i="17" s="1"/>
  <c r="Z19" i="17" s="1"/>
  <c r="H19" i="17"/>
  <c r="D19" i="17"/>
  <c r="Z17" i="17"/>
  <c r="X17" i="17"/>
  <c r="T17" i="17"/>
  <c r="P17" i="17"/>
  <c r="L17" i="17"/>
  <c r="H17" i="17"/>
  <c r="N17" i="17" s="1"/>
  <c r="D17" i="17"/>
  <c r="B17" i="17"/>
  <c r="Z16" i="17"/>
  <c r="T16" i="17"/>
  <c r="P16" i="17"/>
  <c r="X16" i="17" s="1"/>
  <c r="L16" i="17"/>
  <c r="N16" i="17" s="1"/>
  <c r="H16" i="17"/>
  <c r="D16" i="17"/>
  <c r="B16" i="17"/>
  <c r="T15" i="17"/>
  <c r="P15" i="17"/>
  <c r="X15" i="17" s="1"/>
  <c r="H15" i="17"/>
  <c r="D15" i="17"/>
  <c r="B15" i="17"/>
  <c r="T14" i="17"/>
  <c r="Z14" i="17" s="1"/>
  <c r="P14" i="17"/>
  <c r="H14" i="17"/>
  <c r="D14" i="17"/>
  <c r="B14" i="17"/>
  <c r="T13" i="17"/>
  <c r="P13" i="17"/>
  <c r="L13" i="17"/>
  <c r="N13" i="17" s="1"/>
  <c r="H13" i="17"/>
  <c r="D13" i="17"/>
  <c r="B13" i="17"/>
  <c r="D4" i="17"/>
  <c r="Z110" i="16"/>
  <c r="X110" i="16"/>
  <c r="L110" i="16"/>
  <c r="N110" i="16" s="1"/>
  <c r="T106" i="16"/>
  <c r="P106" i="16"/>
  <c r="X106" i="16" s="1"/>
  <c r="L106" i="16"/>
  <c r="N106" i="16" s="1"/>
  <c r="H106" i="16"/>
  <c r="D106" i="16"/>
  <c r="D103" i="16" s="1"/>
  <c r="B106" i="16"/>
  <c r="T105" i="16"/>
  <c r="P105" i="16"/>
  <c r="X105" i="16" s="1"/>
  <c r="Z105" i="16" s="1"/>
  <c r="N105" i="16"/>
  <c r="L105" i="16"/>
  <c r="H105" i="16"/>
  <c r="D105" i="16"/>
  <c r="B105" i="16"/>
  <c r="T104" i="16"/>
  <c r="P104" i="16"/>
  <c r="X104" i="16" s="1"/>
  <c r="Z104" i="16" s="1"/>
  <c r="H104" i="16"/>
  <c r="D104" i="16"/>
  <c r="B104" i="16"/>
  <c r="Z101" i="16"/>
  <c r="X101" i="16"/>
  <c r="N101" i="16"/>
  <c r="L101" i="16"/>
  <c r="B101" i="16"/>
  <c r="T100" i="16"/>
  <c r="P100" i="16"/>
  <c r="N100" i="16"/>
  <c r="L100" i="16"/>
  <c r="H100" i="16"/>
  <c r="D100" i="16"/>
  <c r="B100" i="16"/>
  <c r="X99" i="16"/>
  <c r="Z99" i="16" s="1"/>
  <c r="N99" i="16"/>
  <c r="L99" i="16"/>
  <c r="B99" i="16"/>
  <c r="Z98" i="16"/>
  <c r="X98" i="16"/>
  <c r="N98" i="16"/>
  <c r="L98" i="16"/>
  <c r="B98" i="16"/>
  <c r="Z97" i="16"/>
  <c r="X97" i="16"/>
  <c r="T97" i="16"/>
  <c r="P97" i="16"/>
  <c r="L97" i="16"/>
  <c r="H97" i="16"/>
  <c r="N97" i="16" s="1"/>
  <c r="D97" i="16"/>
  <c r="B97" i="16"/>
  <c r="X96" i="16"/>
  <c r="Z96" i="16" s="1"/>
  <c r="N96" i="16"/>
  <c r="L96" i="16"/>
  <c r="B96" i="16"/>
  <c r="T95" i="16"/>
  <c r="P95" i="16"/>
  <c r="H95" i="16"/>
  <c r="D95" i="16"/>
  <c r="B95" i="16"/>
  <c r="X94" i="16"/>
  <c r="Z94" i="16" s="1"/>
  <c r="N94" i="16"/>
  <c r="L94" i="16"/>
  <c r="B94" i="16"/>
  <c r="T93" i="16"/>
  <c r="Z93" i="16" s="1"/>
  <c r="P93" i="16"/>
  <c r="X93" i="16" s="1"/>
  <c r="H93" i="16"/>
  <c r="N93" i="16" s="1"/>
  <c r="D93" i="16"/>
  <c r="L93" i="16" s="1"/>
  <c r="B93" i="16"/>
  <c r="Z92" i="16"/>
  <c r="X92" i="16"/>
  <c r="N92" i="16"/>
  <c r="L92" i="16"/>
  <c r="B92" i="16"/>
  <c r="Z91" i="16"/>
  <c r="X91" i="16"/>
  <c r="N91" i="16"/>
  <c r="L91" i="16"/>
  <c r="B91" i="16"/>
  <c r="Z90" i="16"/>
  <c r="X90" i="16"/>
  <c r="N90" i="16"/>
  <c r="L90" i="16"/>
  <c r="B90" i="16"/>
  <c r="Z89" i="16"/>
  <c r="X89" i="16"/>
  <c r="N89" i="16"/>
  <c r="L89" i="16"/>
  <c r="B89" i="16"/>
  <c r="Z88" i="16"/>
  <c r="X88" i="16"/>
  <c r="N88" i="16"/>
  <c r="L88" i="16"/>
  <c r="B88" i="16"/>
  <c r="X87" i="16"/>
  <c r="Z87" i="16" s="1"/>
  <c r="L87" i="16"/>
  <c r="N87" i="16" s="1"/>
  <c r="B87" i="16"/>
  <c r="X86" i="16"/>
  <c r="Z86" i="16" s="1"/>
  <c r="L86" i="16"/>
  <c r="N86" i="16" s="1"/>
  <c r="B86" i="16"/>
  <c r="Z85" i="16"/>
  <c r="X85" i="16"/>
  <c r="N85" i="16"/>
  <c r="L85" i="16"/>
  <c r="B85" i="16"/>
  <c r="Z84" i="16"/>
  <c r="X84" i="16"/>
  <c r="L84" i="16"/>
  <c r="N84" i="16" s="1"/>
  <c r="B84" i="16"/>
  <c r="T83" i="16"/>
  <c r="Z83" i="16" s="1"/>
  <c r="P83" i="16"/>
  <c r="X83" i="16" s="1"/>
  <c r="N83" i="16"/>
  <c r="L83" i="16"/>
  <c r="H83" i="16"/>
  <c r="D83" i="16"/>
  <c r="B83" i="16"/>
  <c r="Z82" i="16"/>
  <c r="X82" i="16"/>
  <c r="L82" i="16"/>
  <c r="N82" i="16" s="1"/>
  <c r="B82" i="16"/>
  <c r="X81" i="16"/>
  <c r="Z81" i="16" s="1"/>
  <c r="T81" i="16"/>
  <c r="P81" i="16"/>
  <c r="L81" i="16"/>
  <c r="H81" i="16"/>
  <c r="D81" i="16"/>
  <c r="B81" i="16"/>
  <c r="Z80" i="16"/>
  <c r="X80" i="16"/>
  <c r="N80" i="16"/>
  <c r="L80" i="16"/>
  <c r="B80" i="16"/>
  <c r="X79" i="16"/>
  <c r="Z79" i="16" s="1"/>
  <c r="L79" i="16"/>
  <c r="N79" i="16" s="1"/>
  <c r="B79" i="16"/>
  <c r="X78" i="16"/>
  <c r="Z78" i="16" s="1"/>
  <c r="N78" i="16"/>
  <c r="L78" i="16"/>
  <c r="B78" i="16"/>
  <c r="Z77" i="16"/>
  <c r="X77" i="16"/>
  <c r="N77" i="16"/>
  <c r="L77" i="16"/>
  <c r="B77" i="16"/>
  <c r="T76" i="16"/>
  <c r="P76" i="16"/>
  <c r="X76" i="16" s="1"/>
  <c r="Z76" i="16" s="1"/>
  <c r="N76" i="16"/>
  <c r="L76" i="16"/>
  <c r="H76" i="16"/>
  <c r="D76" i="16"/>
  <c r="B76" i="16"/>
  <c r="Z75" i="16"/>
  <c r="X75" i="16"/>
  <c r="N75" i="16"/>
  <c r="L75" i="16"/>
  <c r="B75" i="16"/>
  <c r="Z74" i="16"/>
  <c r="X74" i="16"/>
  <c r="T74" i="16"/>
  <c r="P74" i="16"/>
  <c r="H74" i="16"/>
  <c r="N74" i="16" s="1"/>
  <c r="D74" i="16"/>
  <c r="B74" i="16"/>
  <c r="Z73" i="16"/>
  <c r="X73" i="16"/>
  <c r="N73" i="16"/>
  <c r="L73" i="16"/>
  <c r="B73" i="16"/>
  <c r="X72" i="16"/>
  <c r="Z72" i="16" s="1"/>
  <c r="L72" i="16"/>
  <c r="N72" i="16" s="1"/>
  <c r="B72" i="16"/>
  <c r="X71" i="16"/>
  <c r="Z71" i="16" s="1"/>
  <c r="N71" i="16"/>
  <c r="L71" i="16"/>
  <c r="B71" i="16"/>
  <c r="Z70" i="16"/>
  <c r="X70" i="16"/>
  <c r="L70" i="16"/>
  <c r="N70" i="16" s="1"/>
  <c r="B70" i="16"/>
  <c r="Z69" i="16"/>
  <c r="X69" i="16"/>
  <c r="T69" i="16"/>
  <c r="P69" i="16"/>
  <c r="L69" i="16"/>
  <c r="H69" i="16"/>
  <c r="N69" i="16" s="1"/>
  <c r="D69" i="16"/>
  <c r="B69" i="16"/>
  <c r="X68" i="16"/>
  <c r="Z68" i="16" s="1"/>
  <c r="N68" i="16"/>
  <c r="L68" i="16"/>
  <c r="B68" i="16"/>
  <c r="X67" i="16"/>
  <c r="T67" i="16"/>
  <c r="Z67" i="16" s="1"/>
  <c r="P67" i="16"/>
  <c r="H67" i="16"/>
  <c r="D67" i="16"/>
  <c r="L67" i="16" s="1"/>
  <c r="B67" i="16"/>
  <c r="Z66" i="16"/>
  <c r="X66" i="16"/>
  <c r="N66" i="16"/>
  <c r="L66" i="16"/>
  <c r="B66" i="16"/>
  <c r="T65" i="16"/>
  <c r="Z65" i="16" s="1"/>
  <c r="P65" i="16"/>
  <c r="X65" i="16" s="1"/>
  <c r="N65" i="16"/>
  <c r="H65" i="16"/>
  <c r="D65" i="16"/>
  <c r="L65" i="16" s="1"/>
  <c r="B65" i="16"/>
  <c r="X64" i="16"/>
  <c r="Z64" i="16" s="1"/>
  <c r="L64" i="16"/>
  <c r="N64" i="16" s="1"/>
  <c r="B64" i="16"/>
  <c r="T63" i="16"/>
  <c r="P63" i="16"/>
  <c r="X63" i="16" s="1"/>
  <c r="Z63" i="16" s="1"/>
  <c r="N63" i="16"/>
  <c r="L63" i="16"/>
  <c r="H63" i="16"/>
  <c r="D63" i="16"/>
  <c r="B63" i="16"/>
  <c r="Z62" i="16"/>
  <c r="X62" i="16"/>
  <c r="L62" i="16"/>
  <c r="N62" i="16" s="1"/>
  <c r="B62" i="16"/>
  <c r="Z61" i="16"/>
  <c r="X61" i="16"/>
  <c r="T61" i="16"/>
  <c r="P61" i="16"/>
  <c r="L61" i="16"/>
  <c r="H61" i="16"/>
  <c r="N61" i="16" s="1"/>
  <c r="D61" i="16"/>
  <c r="B61" i="16"/>
  <c r="X60" i="16"/>
  <c r="Z60" i="16" s="1"/>
  <c r="N60" i="16"/>
  <c r="L60" i="16"/>
  <c r="B60" i="16"/>
  <c r="X59" i="16"/>
  <c r="T59" i="16"/>
  <c r="Z59" i="16" s="1"/>
  <c r="P59" i="16"/>
  <c r="H59" i="16"/>
  <c r="N59" i="16" s="1"/>
  <c r="D59" i="16"/>
  <c r="L59" i="16" s="1"/>
  <c r="B59" i="16"/>
  <c r="X58" i="16"/>
  <c r="Z58" i="16" s="1"/>
  <c r="N58" i="16"/>
  <c r="L58" i="16"/>
  <c r="B58" i="16"/>
  <c r="T57" i="16"/>
  <c r="Z57" i="16" s="1"/>
  <c r="P57" i="16"/>
  <c r="X57" i="16" s="1"/>
  <c r="N57" i="16"/>
  <c r="H57" i="16"/>
  <c r="D57" i="16"/>
  <c r="L57" i="16" s="1"/>
  <c r="B57" i="16"/>
  <c r="Z56" i="16"/>
  <c r="X56" i="16"/>
  <c r="L56" i="16"/>
  <c r="N56" i="16" s="1"/>
  <c r="B56" i="16"/>
  <c r="T55" i="16"/>
  <c r="P55" i="16"/>
  <c r="X55" i="16" s="1"/>
  <c r="Z55" i="16" s="1"/>
  <c r="N55" i="16"/>
  <c r="L55" i="16"/>
  <c r="H55" i="16"/>
  <c r="D55" i="16"/>
  <c r="B55" i="16"/>
  <c r="Z54" i="16"/>
  <c r="X54" i="16"/>
  <c r="N54" i="16"/>
  <c r="L54" i="16"/>
  <c r="B54" i="16"/>
  <c r="Z53" i="16"/>
  <c r="X53" i="16"/>
  <c r="T53" i="16"/>
  <c r="P53" i="16"/>
  <c r="L53" i="16"/>
  <c r="H53" i="16"/>
  <c r="N53" i="16" s="1"/>
  <c r="D53" i="16"/>
  <c r="B53" i="16"/>
  <c r="X52" i="16"/>
  <c r="Z52" i="16" s="1"/>
  <c r="N52" i="16"/>
  <c r="L52" i="16"/>
  <c r="B52" i="16"/>
  <c r="X51" i="16"/>
  <c r="Z51" i="16" s="1"/>
  <c r="N51" i="16"/>
  <c r="L51" i="16"/>
  <c r="B51" i="16"/>
  <c r="Z50" i="16"/>
  <c r="X50" i="16"/>
  <c r="T50" i="16"/>
  <c r="P50" i="16"/>
  <c r="H50" i="16"/>
  <c r="D50" i="16"/>
  <c r="L50" i="16" s="1"/>
  <c r="B50" i="16"/>
  <c r="Z49" i="16"/>
  <c r="X49" i="16"/>
  <c r="N49" i="16"/>
  <c r="L49" i="16"/>
  <c r="B49" i="16"/>
  <c r="T48" i="16"/>
  <c r="P48" i="16"/>
  <c r="X48" i="16" s="1"/>
  <c r="H48" i="16"/>
  <c r="D48" i="16"/>
  <c r="L48" i="16" s="1"/>
  <c r="B48" i="16"/>
  <c r="Z47" i="16"/>
  <c r="X47" i="16"/>
  <c r="L47" i="16"/>
  <c r="N47" i="16" s="1"/>
  <c r="B47" i="16"/>
  <c r="T46" i="16"/>
  <c r="Z46" i="16" s="1"/>
  <c r="P46" i="16"/>
  <c r="X46" i="16" s="1"/>
  <c r="N46" i="16"/>
  <c r="L46" i="16"/>
  <c r="H46" i="16"/>
  <c r="D46" i="16"/>
  <c r="B46" i="16"/>
  <c r="Z45" i="16"/>
  <c r="X45" i="16"/>
  <c r="N45" i="16"/>
  <c r="L45" i="16"/>
  <c r="B45" i="16"/>
  <c r="Z44" i="16"/>
  <c r="X44" i="16"/>
  <c r="T44" i="16"/>
  <c r="P44" i="16"/>
  <c r="N44" i="16"/>
  <c r="L44" i="16"/>
  <c r="H44" i="16"/>
  <c r="D44" i="16"/>
  <c r="B44" i="16"/>
  <c r="Z43" i="16"/>
  <c r="X43" i="16"/>
  <c r="N43" i="16"/>
  <c r="L43" i="16"/>
  <c r="B43" i="16"/>
  <c r="Z42" i="16"/>
  <c r="X42" i="16"/>
  <c r="L42" i="16"/>
  <c r="N42" i="16" s="1"/>
  <c r="B42" i="16"/>
  <c r="Z41" i="16"/>
  <c r="X41" i="16"/>
  <c r="N41" i="16"/>
  <c r="L41" i="16"/>
  <c r="B41" i="16"/>
  <c r="Z40" i="16"/>
  <c r="X40" i="16"/>
  <c r="L40" i="16"/>
  <c r="N40" i="16" s="1"/>
  <c r="B40" i="16"/>
  <c r="Z39" i="16"/>
  <c r="X39" i="16"/>
  <c r="L39" i="16"/>
  <c r="N39" i="16" s="1"/>
  <c r="B39" i="16"/>
  <c r="X38" i="16"/>
  <c r="Z38" i="16" s="1"/>
  <c r="N38" i="16"/>
  <c r="L38" i="16"/>
  <c r="B38" i="16"/>
  <c r="T37" i="16"/>
  <c r="P37" i="16"/>
  <c r="X37" i="16" s="1"/>
  <c r="H37" i="16"/>
  <c r="D37" i="16"/>
  <c r="L37" i="16" s="1"/>
  <c r="N37" i="16" s="1"/>
  <c r="B37" i="16"/>
  <c r="X36" i="16"/>
  <c r="Z36" i="16" s="1"/>
  <c r="L36" i="16"/>
  <c r="N36" i="16" s="1"/>
  <c r="B36" i="16"/>
  <c r="Z35" i="16"/>
  <c r="X35" i="16"/>
  <c r="L35" i="16"/>
  <c r="N35" i="16" s="1"/>
  <c r="B35" i="16"/>
  <c r="X34" i="16"/>
  <c r="Z34" i="16" s="1"/>
  <c r="N34" i="16"/>
  <c r="L34" i="16"/>
  <c r="B34" i="16"/>
  <c r="Z33" i="16"/>
  <c r="X33" i="16"/>
  <c r="N33" i="16"/>
  <c r="L33" i="16"/>
  <c r="B33" i="16"/>
  <c r="X32" i="16"/>
  <c r="Z32" i="16" s="1"/>
  <c r="N32" i="16"/>
  <c r="L32" i="16"/>
  <c r="B32" i="16"/>
  <c r="X31" i="16"/>
  <c r="Z31" i="16" s="1"/>
  <c r="N31" i="16"/>
  <c r="L31" i="16"/>
  <c r="B31" i="16"/>
  <c r="Z30" i="16"/>
  <c r="X30" i="16"/>
  <c r="L30" i="16"/>
  <c r="N30" i="16" s="1"/>
  <c r="B30" i="16"/>
  <c r="Z29" i="16"/>
  <c r="X29" i="16"/>
  <c r="N29" i="16"/>
  <c r="L29" i="16"/>
  <c r="B29" i="16"/>
  <c r="X28" i="16"/>
  <c r="Z28" i="16" s="1"/>
  <c r="L28" i="16"/>
  <c r="N28" i="16" s="1"/>
  <c r="B28" i="16"/>
  <c r="T27" i="16"/>
  <c r="P27" i="16"/>
  <c r="X27" i="16" s="1"/>
  <c r="Z27" i="16" s="1"/>
  <c r="N27" i="16"/>
  <c r="L27" i="16"/>
  <c r="H27" i="16"/>
  <c r="D27" i="16"/>
  <c r="B27" i="16"/>
  <c r="T26" i="16" a="1"/>
  <c r="T26" i="16" s="1"/>
  <c r="P26" i="16" a="1"/>
  <c r="P26" i="16"/>
  <c r="H26" i="16" a="1"/>
  <c r="H26" i="16" s="1"/>
  <c r="D26" i="16" a="1"/>
  <c r="D26" i="16"/>
  <c r="X22" i="16"/>
  <c r="Z22" i="16" s="1"/>
  <c r="N22" i="16"/>
  <c r="L22" i="16"/>
  <c r="B22" i="16"/>
  <c r="Z21" i="16"/>
  <c r="X21" i="16"/>
  <c r="N21" i="16"/>
  <c r="L21" i="16"/>
  <c r="B21" i="16"/>
  <c r="T20" i="16"/>
  <c r="P20" i="16"/>
  <c r="X20" i="16" s="1"/>
  <c r="H20" i="16"/>
  <c r="N20" i="16" s="1"/>
  <c r="D20" i="16"/>
  <c r="L20" i="16" s="1"/>
  <c r="Z18" i="16"/>
  <c r="X18" i="16"/>
  <c r="T18" i="16"/>
  <c r="P18" i="16"/>
  <c r="H18" i="16"/>
  <c r="D18" i="16"/>
  <c r="L18" i="16" s="1"/>
  <c r="B18" i="16"/>
  <c r="T17" i="16"/>
  <c r="P17" i="16"/>
  <c r="X17" i="16" s="1"/>
  <c r="Z17" i="16" s="1"/>
  <c r="L17" i="16"/>
  <c r="H17" i="16"/>
  <c r="N17" i="16" s="1"/>
  <c r="D17" i="16"/>
  <c r="B17" i="16"/>
  <c r="T16" i="16"/>
  <c r="P16" i="16"/>
  <c r="X16" i="16" s="1"/>
  <c r="N16" i="16"/>
  <c r="H16" i="16"/>
  <c r="D16" i="16"/>
  <c r="D12" i="16" s="1"/>
  <c r="B16" i="16"/>
  <c r="T15" i="16"/>
  <c r="Z15" i="16" s="1"/>
  <c r="P15" i="16"/>
  <c r="X15" i="16" s="1"/>
  <c r="H15" i="16"/>
  <c r="N15" i="16" s="1"/>
  <c r="D15" i="16"/>
  <c r="B15" i="16"/>
  <c r="T14" i="16"/>
  <c r="Z14" i="16" s="1"/>
  <c r="P14" i="16"/>
  <c r="X14" i="16" s="1"/>
  <c r="L14" i="16"/>
  <c r="N14" i="16" s="1"/>
  <c r="H14" i="16"/>
  <c r="D14" i="16"/>
  <c r="B14" i="16"/>
  <c r="X13" i="16"/>
  <c r="T13" i="16"/>
  <c r="Z13" i="16" s="1"/>
  <c r="P13" i="16"/>
  <c r="H13" i="16"/>
  <c r="H12" i="16" s="1"/>
  <c r="D13" i="16"/>
  <c r="L13" i="16" s="1"/>
  <c r="N13" i="16" s="1"/>
  <c r="B13" i="16"/>
  <c r="P12" i="16"/>
  <c r="D4" i="16"/>
  <c r="Z121" i="15"/>
  <c r="X121" i="15"/>
  <c r="N121" i="15"/>
  <c r="L121" i="15"/>
  <c r="T117" i="15"/>
  <c r="P117" i="15"/>
  <c r="X117" i="15" s="1"/>
  <c r="H117" i="15"/>
  <c r="D117" i="15"/>
  <c r="L117" i="15" s="1"/>
  <c r="N117" i="15" s="1"/>
  <c r="B117" i="15"/>
  <c r="X116" i="15"/>
  <c r="Z116" i="15" s="1"/>
  <c r="T116" i="15"/>
  <c r="P116" i="15"/>
  <c r="H116" i="15"/>
  <c r="N116" i="15" s="1"/>
  <c r="D116" i="15"/>
  <c r="B116" i="15"/>
  <c r="X115" i="15"/>
  <c r="T115" i="15"/>
  <c r="Z115" i="15" s="1"/>
  <c r="P115" i="15"/>
  <c r="H115" i="15"/>
  <c r="N115" i="15" s="1"/>
  <c r="D115" i="15"/>
  <c r="L115" i="15" s="1"/>
  <c r="B115" i="15"/>
  <c r="P114" i="15"/>
  <c r="Z112" i="15"/>
  <c r="X112" i="15"/>
  <c r="L112" i="15"/>
  <c r="N112" i="15" s="1"/>
  <c r="B112" i="15"/>
  <c r="Z111" i="15"/>
  <c r="X111" i="15"/>
  <c r="T111" i="15"/>
  <c r="P111" i="15"/>
  <c r="L111" i="15"/>
  <c r="H111" i="15"/>
  <c r="N111" i="15" s="1"/>
  <c r="D111" i="15"/>
  <c r="B111" i="15"/>
  <c r="X110" i="15"/>
  <c r="Z110" i="15" s="1"/>
  <c r="N110" i="15"/>
  <c r="L110" i="15"/>
  <c r="B110" i="15"/>
  <c r="Z109" i="15"/>
  <c r="X109" i="15"/>
  <c r="N109" i="15"/>
  <c r="L109" i="15"/>
  <c r="B109" i="15"/>
  <c r="T108" i="15"/>
  <c r="P108" i="15"/>
  <c r="H108" i="15"/>
  <c r="N108" i="15" s="1"/>
  <c r="D108" i="15"/>
  <c r="L108" i="15" s="1"/>
  <c r="B108" i="15"/>
  <c r="Z107" i="15"/>
  <c r="X107" i="15"/>
  <c r="N107" i="15"/>
  <c r="L107" i="15"/>
  <c r="B107" i="15"/>
  <c r="T106" i="15"/>
  <c r="Z106" i="15" s="1"/>
  <c r="P106" i="15"/>
  <c r="X106" i="15" s="1"/>
  <c r="H106" i="15"/>
  <c r="D106" i="15"/>
  <c r="L106" i="15" s="1"/>
  <c r="B106" i="15"/>
  <c r="Z105" i="15"/>
  <c r="X105" i="15"/>
  <c r="L105" i="15"/>
  <c r="N105" i="15" s="1"/>
  <c r="B105" i="15"/>
  <c r="T104" i="15"/>
  <c r="P104" i="15"/>
  <c r="X104" i="15" s="1"/>
  <c r="L104" i="15"/>
  <c r="N104" i="15" s="1"/>
  <c r="H104" i="15"/>
  <c r="D104" i="15"/>
  <c r="B104" i="15"/>
  <c r="Z103" i="15"/>
  <c r="X103" i="15"/>
  <c r="N103" i="15"/>
  <c r="L103" i="15"/>
  <c r="B103" i="15"/>
  <c r="X102" i="15"/>
  <c r="Z102" i="15" s="1"/>
  <c r="N102" i="15"/>
  <c r="L102" i="15"/>
  <c r="B102" i="15"/>
  <c r="Z101" i="15"/>
  <c r="X101" i="15"/>
  <c r="N101" i="15"/>
  <c r="L101" i="15"/>
  <c r="B101" i="15"/>
  <c r="X100" i="15"/>
  <c r="Z100" i="15" s="1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X97" i="15"/>
  <c r="Z97" i="15" s="1"/>
  <c r="N97" i="15"/>
  <c r="L97" i="15"/>
  <c r="B97" i="15"/>
  <c r="Z96" i="15"/>
  <c r="X96" i="15"/>
  <c r="N96" i="15"/>
  <c r="L96" i="15"/>
  <c r="B96" i="15"/>
  <c r="X95" i="15"/>
  <c r="Z95" i="15" s="1"/>
  <c r="N95" i="15"/>
  <c r="L95" i="15"/>
  <c r="B95" i="15"/>
  <c r="X94" i="15"/>
  <c r="Z94" i="15" s="1"/>
  <c r="T94" i="15"/>
  <c r="P94" i="15"/>
  <c r="H94" i="15"/>
  <c r="D94" i="15"/>
  <c r="B94" i="15"/>
  <c r="X93" i="15"/>
  <c r="Z93" i="15" s="1"/>
  <c r="N93" i="15"/>
  <c r="L93" i="15"/>
  <c r="B93" i="15"/>
  <c r="T92" i="15"/>
  <c r="P92" i="15"/>
  <c r="H92" i="15"/>
  <c r="D92" i="15"/>
  <c r="L92" i="15" s="1"/>
  <c r="B92" i="15"/>
  <c r="Z91" i="15"/>
  <c r="X91" i="15"/>
  <c r="N91" i="15"/>
  <c r="L91" i="15"/>
  <c r="B91" i="15"/>
  <c r="X90" i="15"/>
  <c r="Z90" i="15" s="1"/>
  <c r="L90" i="15"/>
  <c r="N90" i="15" s="1"/>
  <c r="B90" i="15"/>
  <c r="X89" i="15"/>
  <c r="Z89" i="15" s="1"/>
  <c r="N89" i="15"/>
  <c r="L89" i="15"/>
  <c r="B89" i="15"/>
  <c r="Z88" i="15"/>
  <c r="X88" i="15"/>
  <c r="L88" i="15"/>
  <c r="N88" i="15" s="1"/>
  <c r="B88" i="15"/>
  <c r="Z87" i="15"/>
  <c r="X87" i="15"/>
  <c r="T87" i="15"/>
  <c r="P87" i="15"/>
  <c r="L87" i="15"/>
  <c r="H87" i="15"/>
  <c r="N87" i="15" s="1"/>
  <c r="D87" i="15"/>
  <c r="B87" i="15"/>
  <c r="X86" i="15"/>
  <c r="Z86" i="15" s="1"/>
  <c r="N86" i="15"/>
  <c r="L86" i="15"/>
  <c r="B86" i="15"/>
  <c r="X85" i="15"/>
  <c r="T85" i="15"/>
  <c r="Z85" i="15" s="1"/>
  <c r="P85" i="15"/>
  <c r="H85" i="15"/>
  <c r="N85" i="15" s="1"/>
  <c r="D85" i="15"/>
  <c r="L85" i="15" s="1"/>
  <c r="B85" i="15"/>
  <c r="X84" i="15"/>
  <c r="Z84" i="15" s="1"/>
  <c r="N84" i="15"/>
  <c r="L84" i="15"/>
  <c r="B84" i="15"/>
  <c r="Z83" i="15"/>
  <c r="X83" i="15"/>
  <c r="N83" i="15"/>
  <c r="L83" i="15"/>
  <c r="B83" i="15"/>
  <c r="X82" i="15"/>
  <c r="Z82" i="15" s="1"/>
  <c r="L82" i="15"/>
  <c r="N82" i="15" s="1"/>
  <c r="B82" i="15"/>
  <c r="X81" i="15"/>
  <c r="Z81" i="15" s="1"/>
  <c r="N81" i="15"/>
  <c r="L81" i="15"/>
  <c r="B81" i="15"/>
  <c r="T80" i="15"/>
  <c r="P80" i="15"/>
  <c r="H80" i="15"/>
  <c r="D80" i="15"/>
  <c r="L80" i="15" s="1"/>
  <c r="B80" i="15"/>
  <c r="Z79" i="15"/>
  <c r="X79" i="15"/>
  <c r="N79" i="15"/>
  <c r="L79" i="15"/>
  <c r="B79" i="15"/>
  <c r="T78" i="15"/>
  <c r="P78" i="15"/>
  <c r="X78" i="15" s="1"/>
  <c r="H78" i="15"/>
  <c r="N78" i="15" s="1"/>
  <c r="D78" i="15"/>
  <c r="L78" i="15" s="1"/>
  <c r="B78" i="15"/>
  <c r="Z77" i="15"/>
  <c r="X77" i="15"/>
  <c r="N77" i="15"/>
  <c r="L77" i="15"/>
  <c r="B77" i="15"/>
  <c r="T76" i="15"/>
  <c r="Z76" i="15" s="1"/>
  <c r="P76" i="15"/>
  <c r="X76" i="15" s="1"/>
  <c r="N76" i="15"/>
  <c r="L76" i="15"/>
  <c r="H76" i="15"/>
  <c r="D76" i="15"/>
  <c r="B76" i="15"/>
  <c r="Z75" i="15"/>
  <c r="X75" i="15"/>
  <c r="N75" i="15"/>
  <c r="L75" i="15"/>
  <c r="B75" i="15"/>
  <c r="X74" i="15"/>
  <c r="Z74" i="15" s="1"/>
  <c r="T74" i="15"/>
  <c r="P74" i="15"/>
  <c r="H74" i="15"/>
  <c r="D74" i="15"/>
  <c r="B74" i="15"/>
  <c r="X73" i="15"/>
  <c r="Z73" i="15" s="1"/>
  <c r="N73" i="15"/>
  <c r="L73" i="15"/>
  <c r="B73" i="15"/>
  <c r="T72" i="15"/>
  <c r="P72" i="15"/>
  <c r="H72" i="15"/>
  <c r="N72" i="15" s="1"/>
  <c r="D72" i="15"/>
  <c r="L72" i="15" s="1"/>
  <c r="B72" i="15"/>
  <c r="Z71" i="15"/>
  <c r="X71" i="15"/>
  <c r="N71" i="15"/>
  <c r="L71" i="15"/>
  <c r="B71" i="15"/>
  <c r="T70" i="15"/>
  <c r="Z70" i="15" s="1"/>
  <c r="P70" i="15"/>
  <c r="X70" i="15" s="1"/>
  <c r="H70" i="15"/>
  <c r="N70" i="15" s="1"/>
  <c r="D70" i="15"/>
  <c r="L70" i="15" s="1"/>
  <c r="B70" i="15"/>
  <c r="Z69" i="15"/>
  <c r="X69" i="15"/>
  <c r="N69" i="15"/>
  <c r="L69" i="15"/>
  <c r="B69" i="15"/>
  <c r="X68" i="15"/>
  <c r="Z68" i="15" s="1"/>
  <c r="N68" i="15"/>
  <c r="L68" i="15"/>
  <c r="B68" i="15"/>
  <c r="T67" i="15"/>
  <c r="P67" i="15"/>
  <c r="X67" i="15" s="1"/>
  <c r="N67" i="15"/>
  <c r="H67" i="15"/>
  <c r="D67" i="15"/>
  <c r="L67" i="15" s="1"/>
  <c r="B67" i="15"/>
  <c r="X66" i="15"/>
  <c r="Z66" i="15" s="1"/>
  <c r="L66" i="15"/>
  <c r="N66" i="15" s="1"/>
  <c r="B66" i="15"/>
  <c r="T65" i="15"/>
  <c r="P65" i="15"/>
  <c r="X65" i="15" s="1"/>
  <c r="Z65" i="15" s="1"/>
  <c r="N65" i="15"/>
  <c r="L65" i="15"/>
  <c r="H65" i="15"/>
  <c r="D65" i="15"/>
  <c r="B65" i="15"/>
  <c r="Z64" i="15"/>
  <c r="X64" i="15"/>
  <c r="N64" i="15"/>
  <c r="L64" i="15"/>
  <c r="B64" i="15"/>
  <c r="Z63" i="15"/>
  <c r="X63" i="15"/>
  <c r="T63" i="15"/>
  <c r="P63" i="15"/>
  <c r="N63" i="15"/>
  <c r="L63" i="15"/>
  <c r="H63" i="15"/>
  <c r="D63" i="15"/>
  <c r="B63" i="15"/>
  <c r="X62" i="15"/>
  <c r="Z62" i="15" s="1"/>
  <c r="L62" i="15"/>
  <c r="N62" i="15" s="1"/>
  <c r="B62" i="15"/>
  <c r="X61" i="15"/>
  <c r="Z61" i="15" s="1"/>
  <c r="N61" i="15"/>
  <c r="L61" i="15"/>
  <c r="B61" i="15"/>
  <c r="T60" i="15"/>
  <c r="P60" i="15"/>
  <c r="H60" i="15"/>
  <c r="N60" i="15" s="1"/>
  <c r="D60" i="15"/>
  <c r="L60" i="15" s="1"/>
  <c r="B60" i="15"/>
  <c r="Z59" i="15"/>
  <c r="X59" i="15"/>
  <c r="N59" i="15"/>
  <c r="L59" i="15"/>
  <c r="B59" i="15"/>
  <c r="T58" i="15"/>
  <c r="Z58" i="15" s="1"/>
  <c r="P58" i="15"/>
  <c r="X58" i="15" s="1"/>
  <c r="H58" i="15"/>
  <c r="D58" i="15"/>
  <c r="L58" i="15" s="1"/>
  <c r="B58" i="15"/>
  <c r="Z57" i="15"/>
  <c r="X57" i="15"/>
  <c r="L57" i="15"/>
  <c r="N57" i="15" s="1"/>
  <c r="B57" i="15"/>
  <c r="T56" i="15"/>
  <c r="P56" i="15"/>
  <c r="X56" i="15" s="1"/>
  <c r="L56" i="15"/>
  <c r="N56" i="15" s="1"/>
  <c r="H56" i="15"/>
  <c r="D56" i="15"/>
  <c r="B56" i="15"/>
  <c r="Z55" i="15"/>
  <c r="X55" i="15"/>
  <c r="N55" i="15"/>
  <c r="L55" i="15"/>
  <c r="B55" i="15"/>
  <c r="X54" i="15"/>
  <c r="Z54" i="15" s="1"/>
  <c r="T54" i="15"/>
  <c r="P54" i="15"/>
  <c r="H54" i="15"/>
  <c r="D54" i="15"/>
  <c r="B54" i="15"/>
  <c r="Z53" i="15"/>
  <c r="X53" i="15"/>
  <c r="N53" i="15"/>
  <c r="L53" i="15"/>
  <c r="B53" i="15"/>
  <c r="X52" i="15"/>
  <c r="Z52" i="15" s="1"/>
  <c r="L52" i="15"/>
  <c r="N52" i="15" s="1"/>
  <c r="B52" i="15"/>
  <c r="Z51" i="15"/>
  <c r="X51" i="15"/>
  <c r="N51" i="15"/>
  <c r="L51" i="15"/>
  <c r="B51" i="15"/>
  <c r="X50" i="15"/>
  <c r="Z50" i="15" s="1"/>
  <c r="L50" i="15"/>
  <c r="N50" i="15" s="1"/>
  <c r="B50" i="15"/>
  <c r="Z49" i="15"/>
  <c r="X49" i="15"/>
  <c r="L49" i="15"/>
  <c r="N49" i="15" s="1"/>
  <c r="B49" i="15"/>
  <c r="X48" i="15"/>
  <c r="Z48" i="15" s="1"/>
  <c r="L48" i="15"/>
  <c r="N48" i="15" s="1"/>
  <c r="B48" i="15"/>
  <c r="Z47" i="15"/>
  <c r="X47" i="15"/>
  <c r="N47" i="15"/>
  <c r="L47" i="15"/>
  <c r="B47" i="15"/>
  <c r="T46" i="15"/>
  <c r="P46" i="15"/>
  <c r="X46" i="15" s="1"/>
  <c r="H46" i="15"/>
  <c r="N46" i="15" s="1"/>
  <c r="D46" i="15"/>
  <c r="L46" i="15" s="1"/>
  <c r="B46" i="15"/>
  <c r="Z45" i="15"/>
  <c r="X45" i="15"/>
  <c r="L45" i="15"/>
  <c r="N45" i="15" s="1"/>
  <c r="B45" i="15"/>
  <c r="X44" i="15"/>
  <c r="Z44" i="15" s="1"/>
  <c r="L44" i="15"/>
  <c r="N44" i="15" s="1"/>
  <c r="B44" i="15"/>
  <c r="Z43" i="15"/>
  <c r="X43" i="15"/>
  <c r="N43" i="15"/>
  <c r="L43" i="15"/>
  <c r="B43" i="15"/>
  <c r="Z42" i="15"/>
  <c r="X42" i="15"/>
  <c r="N42" i="15"/>
  <c r="L42" i="15"/>
  <c r="B42" i="15"/>
  <c r="X41" i="15"/>
  <c r="Z41" i="15" s="1"/>
  <c r="N41" i="15"/>
  <c r="L41" i="15"/>
  <c r="B41" i="15"/>
  <c r="X40" i="15"/>
  <c r="Z40" i="15" s="1"/>
  <c r="L40" i="15"/>
  <c r="N40" i="15" s="1"/>
  <c r="B40" i="15"/>
  <c r="Z39" i="15"/>
  <c r="X39" i="15"/>
  <c r="N39" i="15"/>
  <c r="L39" i="15"/>
  <c r="B39" i="15"/>
  <c r="X38" i="15"/>
  <c r="Z38" i="15" s="1"/>
  <c r="L38" i="15"/>
  <c r="N38" i="15" s="1"/>
  <c r="B38" i="15"/>
  <c r="Z37" i="15"/>
  <c r="X37" i="15"/>
  <c r="L37" i="15"/>
  <c r="N37" i="15" s="1"/>
  <c r="B37" i="15"/>
  <c r="T36" i="15"/>
  <c r="P36" i="15"/>
  <c r="X36" i="15" s="1"/>
  <c r="L36" i="15"/>
  <c r="N36" i="15" s="1"/>
  <c r="H36" i="15"/>
  <c r="D36" i="15"/>
  <c r="B36" i="15"/>
  <c r="T35" i="15" a="1"/>
  <c r="T35" i="15" s="1"/>
  <c r="P35" i="15" a="1"/>
  <c r="P35" i="15" s="1"/>
  <c r="H35" i="15" a="1"/>
  <c r="H35" i="15" s="1"/>
  <c r="D35" i="15" a="1"/>
  <c r="D35" i="15" s="1"/>
  <c r="L35" i="15" s="1"/>
  <c r="Z31" i="15"/>
  <c r="X31" i="15"/>
  <c r="N31" i="15"/>
  <c r="L31" i="15"/>
  <c r="B31" i="15"/>
  <c r="X30" i="15"/>
  <c r="Z30" i="15" s="1"/>
  <c r="L30" i="15"/>
  <c r="N30" i="15" s="1"/>
  <c r="B30" i="15"/>
  <c r="Z29" i="15"/>
  <c r="X29" i="15"/>
  <c r="N29" i="15"/>
  <c r="L29" i="15"/>
  <c r="B29" i="15"/>
  <c r="T28" i="15"/>
  <c r="P28" i="15"/>
  <c r="L28" i="15"/>
  <c r="H28" i="15"/>
  <c r="N28" i="15" s="1"/>
  <c r="D28" i="15"/>
  <c r="T26" i="15"/>
  <c r="P26" i="15"/>
  <c r="X26" i="15" s="1"/>
  <c r="Z26" i="15" s="1"/>
  <c r="H26" i="15"/>
  <c r="D26" i="15"/>
  <c r="L26" i="15" s="1"/>
  <c r="N26" i="15" s="1"/>
  <c r="B26" i="15"/>
  <c r="T25" i="15"/>
  <c r="Z25" i="15" s="1"/>
  <c r="P25" i="15"/>
  <c r="X25" i="15" s="1"/>
  <c r="H25" i="15"/>
  <c r="D25" i="15"/>
  <c r="L25" i="15" s="1"/>
  <c r="B25" i="15"/>
  <c r="X24" i="15"/>
  <c r="T24" i="15"/>
  <c r="Z24" i="15" s="1"/>
  <c r="P24" i="15"/>
  <c r="L24" i="15"/>
  <c r="H24" i="15"/>
  <c r="N24" i="15" s="1"/>
  <c r="D24" i="15"/>
  <c r="B24" i="15"/>
  <c r="Z23" i="15"/>
  <c r="T23" i="15"/>
  <c r="X23" i="15" s="1"/>
  <c r="P23" i="15"/>
  <c r="N23" i="15"/>
  <c r="L23" i="15"/>
  <c r="H23" i="15"/>
  <c r="D23" i="15"/>
  <c r="B23" i="15"/>
  <c r="Z22" i="15"/>
  <c r="T22" i="15"/>
  <c r="P22" i="15"/>
  <c r="X22" i="15" s="1"/>
  <c r="N22" i="15"/>
  <c r="H22" i="15"/>
  <c r="D22" i="15"/>
  <c r="L22" i="15" s="1"/>
  <c r="B22" i="15"/>
  <c r="T21" i="15"/>
  <c r="Z21" i="15" s="1"/>
  <c r="P21" i="15"/>
  <c r="X21" i="15" s="1"/>
  <c r="H21" i="15"/>
  <c r="N21" i="15" s="1"/>
  <c r="D21" i="15"/>
  <c r="L21" i="15" s="1"/>
  <c r="B21" i="15"/>
  <c r="X20" i="15"/>
  <c r="T20" i="15"/>
  <c r="Z20" i="15" s="1"/>
  <c r="P20" i="15"/>
  <c r="L20" i="15"/>
  <c r="H20" i="15"/>
  <c r="N20" i="15" s="1"/>
  <c r="D20" i="15"/>
  <c r="B20" i="15"/>
  <c r="Z19" i="15"/>
  <c r="X19" i="15"/>
  <c r="T19" i="15"/>
  <c r="P19" i="15"/>
  <c r="N19" i="15"/>
  <c r="H19" i="15"/>
  <c r="D19" i="15"/>
  <c r="L19" i="15" s="1"/>
  <c r="B19" i="15"/>
  <c r="Z18" i="15"/>
  <c r="T18" i="15"/>
  <c r="P18" i="15"/>
  <c r="X18" i="15" s="1"/>
  <c r="H18" i="15"/>
  <c r="N18" i="15" s="1"/>
  <c r="D18" i="15"/>
  <c r="L18" i="15" s="1"/>
  <c r="B18" i="15"/>
  <c r="T17" i="15"/>
  <c r="Z17" i="15" s="1"/>
  <c r="P17" i="15"/>
  <c r="X17" i="15" s="1"/>
  <c r="H17" i="15"/>
  <c r="D17" i="15"/>
  <c r="L17" i="15" s="1"/>
  <c r="B17" i="15"/>
  <c r="X16" i="15"/>
  <c r="T16" i="15"/>
  <c r="Z16" i="15" s="1"/>
  <c r="P16" i="15"/>
  <c r="L16" i="15"/>
  <c r="H16" i="15"/>
  <c r="N16" i="15" s="1"/>
  <c r="D16" i="15"/>
  <c r="B16" i="15"/>
  <c r="Z15" i="15"/>
  <c r="T15" i="15"/>
  <c r="P15" i="15"/>
  <c r="X15" i="15" s="1"/>
  <c r="N15" i="15"/>
  <c r="L15" i="15"/>
  <c r="H15" i="15"/>
  <c r="D15" i="15"/>
  <c r="B15" i="15"/>
  <c r="T14" i="15"/>
  <c r="P14" i="15"/>
  <c r="X14" i="15" s="1"/>
  <c r="N14" i="15"/>
  <c r="H14" i="15"/>
  <c r="D14" i="15"/>
  <c r="L14" i="15" s="1"/>
  <c r="B14" i="15"/>
  <c r="T13" i="15"/>
  <c r="T12" i="15" s="1"/>
  <c r="P13" i="15"/>
  <c r="P12" i="15" s="1"/>
  <c r="H13" i="15"/>
  <c r="N13" i="15" s="1"/>
  <c r="D13" i="15"/>
  <c r="L13" i="15" s="1"/>
  <c r="B13" i="15"/>
  <c r="D4" i="15"/>
  <c r="Z120" i="14"/>
  <c r="X120" i="14"/>
  <c r="N120" i="14"/>
  <c r="L120" i="14"/>
  <c r="T116" i="14"/>
  <c r="P116" i="14"/>
  <c r="X116" i="14" s="1"/>
  <c r="Z116" i="14" s="1"/>
  <c r="H116" i="14"/>
  <c r="N116" i="14" s="1"/>
  <c r="D116" i="14"/>
  <c r="L116" i="14" s="1"/>
  <c r="B116" i="14"/>
  <c r="T115" i="14"/>
  <c r="P115" i="14"/>
  <c r="X115" i="14" s="1"/>
  <c r="N115" i="14"/>
  <c r="H115" i="14"/>
  <c r="D115" i="14"/>
  <c r="L115" i="14" s="1"/>
  <c r="B115" i="14"/>
  <c r="X114" i="14"/>
  <c r="T114" i="14"/>
  <c r="Z114" i="14" s="1"/>
  <c r="P114" i="14"/>
  <c r="N114" i="14"/>
  <c r="L114" i="14"/>
  <c r="H114" i="14"/>
  <c r="D114" i="14"/>
  <c r="D113" i="14" s="1"/>
  <c r="L113" i="14" s="1"/>
  <c r="B114" i="14"/>
  <c r="P113" i="14"/>
  <c r="H113" i="14"/>
  <c r="X111" i="14"/>
  <c r="Z111" i="14" s="1"/>
  <c r="L111" i="14"/>
  <c r="N111" i="14" s="1"/>
  <c r="B111" i="14"/>
  <c r="T110" i="14"/>
  <c r="P110" i="14"/>
  <c r="X110" i="14" s="1"/>
  <c r="Z110" i="14" s="1"/>
  <c r="L110" i="14"/>
  <c r="H110" i="14"/>
  <c r="N110" i="14" s="1"/>
  <c r="D110" i="14"/>
  <c r="B110" i="14"/>
  <c r="Z109" i="14"/>
  <c r="X109" i="14"/>
  <c r="N109" i="14"/>
  <c r="L109" i="14"/>
  <c r="B109" i="14"/>
  <c r="X108" i="14"/>
  <c r="Z108" i="14" s="1"/>
  <c r="N108" i="14"/>
  <c r="L108" i="14"/>
  <c r="B108" i="14"/>
  <c r="Z107" i="14"/>
  <c r="X107" i="14"/>
  <c r="N107" i="14"/>
  <c r="L107" i="14"/>
  <c r="B107" i="14"/>
  <c r="T106" i="14"/>
  <c r="P106" i="14"/>
  <c r="X106" i="14" s="1"/>
  <c r="Z106" i="14" s="1"/>
  <c r="N106" i="14"/>
  <c r="L106" i="14"/>
  <c r="H106" i="14"/>
  <c r="D106" i="14"/>
  <c r="B106" i="14"/>
  <c r="Z105" i="14"/>
  <c r="X105" i="14"/>
  <c r="L105" i="14"/>
  <c r="N105" i="14" s="1"/>
  <c r="B105" i="14"/>
  <c r="X104" i="14"/>
  <c r="Z104" i="14" s="1"/>
  <c r="T104" i="14"/>
  <c r="P104" i="14"/>
  <c r="H104" i="14"/>
  <c r="L104" i="14" s="1"/>
  <c r="N104" i="14" s="1"/>
  <c r="D104" i="14"/>
  <c r="B104" i="14"/>
  <c r="X103" i="14"/>
  <c r="Z103" i="14" s="1"/>
  <c r="L103" i="14"/>
  <c r="N103" i="14" s="1"/>
  <c r="B103" i="14"/>
  <c r="T102" i="14"/>
  <c r="X102" i="14" s="1"/>
  <c r="Z102" i="14" s="1"/>
  <c r="P102" i="14"/>
  <c r="H102" i="14"/>
  <c r="D102" i="14"/>
  <c r="L102" i="14" s="1"/>
  <c r="N102" i="14" s="1"/>
  <c r="B102" i="14"/>
  <c r="X101" i="14"/>
  <c r="Z101" i="14" s="1"/>
  <c r="N101" i="14"/>
  <c r="L101" i="14"/>
  <c r="B101" i="14"/>
  <c r="Z100" i="14"/>
  <c r="X100" i="14"/>
  <c r="N100" i="14"/>
  <c r="L100" i="14"/>
  <c r="B100" i="14"/>
  <c r="Z99" i="14"/>
  <c r="X99" i="14"/>
  <c r="N99" i="14"/>
  <c r="L99" i="14"/>
  <c r="B99" i="14"/>
  <c r="Z98" i="14"/>
  <c r="X98" i="14"/>
  <c r="N98" i="14"/>
  <c r="L98" i="14"/>
  <c r="B98" i="14"/>
  <c r="Z97" i="14"/>
  <c r="X97" i="14"/>
  <c r="L97" i="14"/>
  <c r="N97" i="14" s="1"/>
  <c r="B97" i="14"/>
  <c r="X96" i="14"/>
  <c r="Z96" i="14" s="1"/>
  <c r="N96" i="14"/>
  <c r="L96" i="14"/>
  <c r="B96" i="14"/>
  <c r="X95" i="14"/>
  <c r="Z95" i="14" s="1"/>
  <c r="L95" i="14"/>
  <c r="N95" i="14" s="1"/>
  <c r="B95" i="14"/>
  <c r="Z94" i="14"/>
  <c r="X94" i="14"/>
  <c r="N94" i="14"/>
  <c r="L94" i="14"/>
  <c r="B94" i="14"/>
  <c r="X93" i="14"/>
  <c r="Z93" i="14" s="1"/>
  <c r="N93" i="14"/>
  <c r="L93" i="14"/>
  <c r="B93" i="14"/>
  <c r="T92" i="14"/>
  <c r="P92" i="14"/>
  <c r="X92" i="14" s="1"/>
  <c r="Z92" i="14" s="1"/>
  <c r="H92" i="14"/>
  <c r="D92" i="14"/>
  <c r="L92" i="14" s="1"/>
  <c r="N92" i="14" s="1"/>
  <c r="B92" i="14"/>
  <c r="X91" i="14"/>
  <c r="Z91" i="14" s="1"/>
  <c r="L91" i="14"/>
  <c r="N91" i="14" s="1"/>
  <c r="B91" i="14"/>
  <c r="Z90" i="14"/>
  <c r="X90" i="14"/>
  <c r="N90" i="14"/>
  <c r="L90" i="14"/>
  <c r="B90" i="14"/>
  <c r="T89" i="14"/>
  <c r="P89" i="14"/>
  <c r="H89" i="14"/>
  <c r="D89" i="14"/>
  <c r="L89" i="14" s="1"/>
  <c r="B89" i="14"/>
  <c r="X88" i="14"/>
  <c r="Z88" i="14" s="1"/>
  <c r="N88" i="14"/>
  <c r="L88" i="14"/>
  <c r="B88" i="14"/>
  <c r="X87" i="14"/>
  <c r="Z87" i="14" s="1"/>
  <c r="L87" i="14"/>
  <c r="N87" i="14" s="1"/>
  <c r="B87" i="14"/>
  <c r="Z86" i="14"/>
  <c r="X86" i="14"/>
  <c r="N86" i="14"/>
  <c r="L86" i="14"/>
  <c r="B86" i="14"/>
  <c r="X85" i="14"/>
  <c r="Z85" i="14" s="1"/>
  <c r="N85" i="14"/>
  <c r="L85" i="14"/>
  <c r="B85" i="14"/>
  <c r="T84" i="14"/>
  <c r="P84" i="14"/>
  <c r="X84" i="14" s="1"/>
  <c r="H84" i="14"/>
  <c r="D84" i="14"/>
  <c r="L84" i="14" s="1"/>
  <c r="N84" i="14" s="1"/>
  <c r="B84" i="14"/>
  <c r="Z83" i="14"/>
  <c r="X83" i="14"/>
  <c r="N83" i="14"/>
  <c r="L83" i="14"/>
  <c r="B83" i="14"/>
  <c r="Z82" i="14"/>
  <c r="T82" i="14"/>
  <c r="P82" i="14"/>
  <c r="X82" i="14" s="1"/>
  <c r="N82" i="14"/>
  <c r="L82" i="14"/>
  <c r="H82" i="14"/>
  <c r="D82" i="14"/>
  <c r="B82" i="14"/>
  <c r="Z81" i="14"/>
  <c r="X81" i="14"/>
  <c r="L81" i="14"/>
  <c r="N81" i="14" s="1"/>
  <c r="B81" i="14"/>
  <c r="X80" i="14"/>
  <c r="Z80" i="14" s="1"/>
  <c r="N80" i="14"/>
  <c r="L80" i="14"/>
  <c r="B80" i="14"/>
  <c r="X79" i="14"/>
  <c r="Z79" i="14" s="1"/>
  <c r="L79" i="14"/>
  <c r="N79" i="14" s="1"/>
  <c r="B79" i="14"/>
  <c r="Z78" i="14"/>
  <c r="X78" i="14"/>
  <c r="N78" i="14"/>
  <c r="L78" i="14"/>
  <c r="B78" i="14"/>
  <c r="T77" i="14"/>
  <c r="P77" i="14"/>
  <c r="X77" i="14" s="1"/>
  <c r="H77" i="14"/>
  <c r="D77" i="14"/>
  <c r="L77" i="14" s="1"/>
  <c r="N77" i="14" s="1"/>
  <c r="B77" i="14"/>
  <c r="X76" i="14"/>
  <c r="Z76" i="14" s="1"/>
  <c r="N76" i="14"/>
  <c r="L76" i="14"/>
  <c r="B76" i="14"/>
  <c r="T75" i="14"/>
  <c r="P75" i="14"/>
  <c r="X75" i="14" s="1"/>
  <c r="Z75" i="14" s="1"/>
  <c r="H75" i="14"/>
  <c r="D75" i="14"/>
  <c r="B75" i="14"/>
  <c r="Z74" i="14"/>
  <c r="X74" i="14"/>
  <c r="N74" i="14"/>
  <c r="L74" i="14"/>
  <c r="B74" i="14"/>
  <c r="T73" i="14"/>
  <c r="P73" i="14"/>
  <c r="L73" i="14"/>
  <c r="H73" i="14"/>
  <c r="N73" i="14" s="1"/>
  <c r="D73" i="14"/>
  <c r="B73" i="14"/>
  <c r="Z72" i="14"/>
  <c r="X72" i="14"/>
  <c r="N72" i="14"/>
  <c r="L72" i="14"/>
  <c r="B72" i="14"/>
  <c r="X71" i="14"/>
  <c r="T71" i="14"/>
  <c r="Z71" i="14" s="1"/>
  <c r="P71" i="14"/>
  <c r="H71" i="14"/>
  <c r="N71" i="14" s="1"/>
  <c r="D71" i="14"/>
  <c r="L71" i="14" s="1"/>
  <c r="B71" i="14"/>
  <c r="Z70" i="14"/>
  <c r="X70" i="14"/>
  <c r="N70" i="14"/>
  <c r="L70" i="14"/>
  <c r="B70" i="14"/>
  <c r="T69" i="14"/>
  <c r="P69" i="14"/>
  <c r="X69" i="14" s="1"/>
  <c r="H69" i="14"/>
  <c r="D69" i="14"/>
  <c r="L69" i="14" s="1"/>
  <c r="N69" i="14" s="1"/>
  <c r="B69" i="14"/>
  <c r="X68" i="14"/>
  <c r="Z68" i="14" s="1"/>
  <c r="N68" i="14"/>
  <c r="L68" i="14"/>
  <c r="B68" i="14"/>
  <c r="T67" i="14"/>
  <c r="P67" i="14"/>
  <c r="X67" i="14" s="1"/>
  <c r="Z67" i="14" s="1"/>
  <c r="H67" i="14"/>
  <c r="D67" i="14"/>
  <c r="B67" i="14"/>
  <c r="Z66" i="14"/>
  <c r="X66" i="14"/>
  <c r="N66" i="14"/>
  <c r="L66" i="14"/>
  <c r="B66" i="14"/>
  <c r="T65" i="14"/>
  <c r="P65" i="14"/>
  <c r="L65" i="14"/>
  <c r="H65" i="14"/>
  <c r="N65" i="14" s="1"/>
  <c r="D65" i="14"/>
  <c r="B65" i="14"/>
  <c r="Z64" i="14"/>
  <c r="X64" i="14"/>
  <c r="N64" i="14"/>
  <c r="L64" i="14"/>
  <c r="B64" i="14"/>
  <c r="X63" i="14"/>
  <c r="T63" i="14"/>
  <c r="Z63" i="14" s="1"/>
  <c r="P63" i="14"/>
  <c r="H63" i="14"/>
  <c r="N63" i="14" s="1"/>
  <c r="D63" i="14"/>
  <c r="L63" i="14" s="1"/>
  <c r="B63" i="14"/>
  <c r="Z62" i="14"/>
  <c r="X62" i="14"/>
  <c r="N62" i="14"/>
  <c r="L62" i="14"/>
  <c r="B62" i="14"/>
  <c r="T61" i="14"/>
  <c r="Z61" i="14" s="1"/>
  <c r="P61" i="14"/>
  <c r="X61" i="14" s="1"/>
  <c r="H61" i="14"/>
  <c r="D61" i="14"/>
  <c r="L61" i="14" s="1"/>
  <c r="N61" i="14" s="1"/>
  <c r="B61" i="14"/>
  <c r="X60" i="14"/>
  <c r="Z60" i="14" s="1"/>
  <c r="N60" i="14"/>
  <c r="L60" i="14"/>
  <c r="B60" i="14"/>
  <c r="T59" i="14"/>
  <c r="P59" i="14"/>
  <c r="X59" i="14" s="1"/>
  <c r="Z59" i="14" s="1"/>
  <c r="H59" i="14"/>
  <c r="D59" i="14"/>
  <c r="B59" i="14"/>
  <c r="Z58" i="14"/>
  <c r="X58" i="14"/>
  <c r="N58" i="14"/>
  <c r="L58" i="14"/>
  <c r="B58" i="14"/>
  <c r="T57" i="14"/>
  <c r="P57" i="14"/>
  <c r="L57" i="14"/>
  <c r="H57" i="14"/>
  <c r="N57" i="14" s="1"/>
  <c r="D57" i="14"/>
  <c r="B57" i="14"/>
  <c r="Z56" i="14"/>
  <c r="X56" i="14"/>
  <c r="N56" i="14"/>
  <c r="L56" i="14"/>
  <c r="B56" i="14"/>
  <c r="X55" i="14"/>
  <c r="Z55" i="14" s="1"/>
  <c r="L55" i="14"/>
  <c r="N55" i="14" s="1"/>
  <c r="B55" i="14"/>
  <c r="T54" i="14"/>
  <c r="X54" i="14" s="1"/>
  <c r="Z54" i="14" s="1"/>
  <c r="P54" i="14"/>
  <c r="H54" i="14"/>
  <c r="D54" i="14"/>
  <c r="L54" i="14" s="1"/>
  <c r="N54" i="14" s="1"/>
  <c r="B54" i="14"/>
  <c r="X53" i="14"/>
  <c r="Z53" i="14" s="1"/>
  <c r="L53" i="14"/>
  <c r="N53" i="14" s="1"/>
  <c r="B53" i="14"/>
  <c r="T52" i="14"/>
  <c r="P52" i="14"/>
  <c r="X52" i="14" s="1"/>
  <c r="H52" i="14"/>
  <c r="D52" i="14"/>
  <c r="L52" i="14" s="1"/>
  <c r="N52" i="14" s="1"/>
  <c r="B52" i="14"/>
  <c r="X51" i="14"/>
  <c r="Z51" i="14" s="1"/>
  <c r="L51" i="14"/>
  <c r="N51" i="14" s="1"/>
  <c r="B51" i="14"/>
  <c r="T50" i="14"/>
  <c r="P50" i="14"/>
  <c r="X50" i="14" s="1"/>
  <c r="Z50" i="14" s="1"/>
  <c r="L50" i="14"/>
  <c r="N50" i="14" s="1"/>
  <c r="H50" i="14"/>
  <c r="D50" i="14"/>
  <c r="B50" i="14"/>
  <c r="X49" i="14"/>
  <c r="Z49" i="14" s="1"/>
  <c r="L49" i="14"/>
  <c r="N49" i="14" s="1"/>
  <c r="B49" i="14"/>
  <c r="X48" i="14"/>
  <c r="Z48" i="14" s="1"/>
  <c r="T48" i="14"/>
  <c r="P48" i="14"/>
  <c r="H48" i="14"/>
  <c r="L48" i="14" s="1"/>
  <c r="N48" i="14" s="1"/>
  <c r="D48" i="14"/>
  <c r="B48" i="14"/>
  <c r="X47" i="14"/>
  <c r="Z47" i="14" s="1"/>
  <c r="N47" i="14"/>
  <c r="L47" i="14"/>
  <c r="B47" i="14"/>
  <c r="Z46" i="14"/>
  <c r="X46" i="14"/>
  <c r="N46" i="14"/>
  <c r="L46" i="14"/>
  <c r="B46" i="14"/>
  <c r="X45" i="14"/>
  <c r="Z45" i="14" s="1"/>
  <c r="N45" i="14"/>
  <c r="L45" i="14"/>
  <c r="B45" i="14"/>
  <c r="X44" i="14"/>
  <c r="Z44" i="14" s="1"/>
  <c r="N44" i="14"/>
  <c r="L44" i="14"/>
  <c r="B44" i="14"/>
  <c r="X43" i="14"/>
  <c r="Z43" i="14" s="1"/>
  <c r="L43" i="14"/>
  <c r="N43" i="14" s="1"/>
  <c r="B43" i="14"/>
  <c r="Z42" i="14"/>
  <c r="X42" i="14"/>
  <c r="N42" i="14"/>
  <c r="L42" i="14"/>
  <c r="B42" i="14"/>
  <c r="X41" i="14"/>
  <c r="Z41" i="14" s="1"/>
  <c r="L41" i="14"/>
  <c r="N41" i="14" s="1"/>
  <c r="B41" i="14"/>
  <c r="T40" i="14"/>
  <c r="P40" i="14"/>
  <c r="X40" i="14" s="1"/>
  <c r="H40" i="14"/>
  <c r="D40" i="14"/>
  <c r="L40" i="14" s="1"/>
  <c r="N40" i="14" s="1"/>
  <c r="B40" i="14"/>
  <c r="X39" i="14"/>
  <c r="Z39" i="14" s="1"/>
  <c r="L39" i="14"/>
  <c r="N39" i="14" s="1"/>
  <c r="B39" i="14"/>
  <c r="Z38" i="14"/>
  <c r="X38" i="14"/>
  <c r="N38" i="14"/>
  <c r="L38" i="14"/>
  <c r="B38" i="14"/>
  <c r="X37" i="14"/>
  <c r="Z37" i="14" s="1"/>
  <c r="N37" i="14"/>
  <c r="L37" i="14"/>
  <c r="B37" i="14"/>
  <c r="Z36" i="14"/>
  <c r="X36" i="14"/>
  <c r="L36" i="14"/>
  <c r="N36" i="14" s="1"/>
  <c r="B36" i="14"/>
  <c r="X35" i="14"/>
  <c r="Z35" i="14" s="1"/>
  <c r="L35" i="14"/>
  <c r="N35" i="14" s="1"/>
  <c r="B35" i="14"/>
  <c r="Z34" i="14"/>
  <c r="X34" i="14"/>
  <c r="N34" i="14"/>
  <c r="L34" i="14"/>
  <c r="B34" i="14"/>
  <c r="Z33" i="14"/>
  <c r="X33" i="14"/>
  <c r="L33" i="14"/>
  <c r="N33" i="14" s="1"/>
  <c r="B33" i="14"/>
  <c r="X32" i="14"/>
  <c r="Z32" i="14" s="1"/>
  <c r="N32" i="14"/>
  <c r="L32" i="14"/>
  <c r="B32" i="14"/>
  <c r="X31" i="14"/>
  <c r="Z31" i="14" s="1"/>
  <c r="L31" i="14"/>
  <c r="N31" i="14" s="1"/>
  <c r="B31" i="14"/>
  <c r="T30" i="14"/>
  <c r="P30" i="14"/>
  <c r="X30" i="14" s="1"/>
  <c r="Z30" i="14" s="1"/>
  <c r="L30" i="14"/>
  <c r="N30" i="14" s="1"/>
  <c r="H30" i="14"/>
  <c r="D30" i="14"/>
  <c r="B30" i="14"/>
  <c r="T29" i="14" a="1"/>
  <c r="T29" i="14" s="1"/>
  <c r="P29" i="14" a="1"/>
  <c r="P29" i="14"/>
  <c r="H29" i="14" a="1"/>
  <c r="H29" i="14" s="1"/>
  <c r="D29" i="14" a="1"/>
  <c r="D29" i="14"/>
  <c r="X25" i="14"/>
  <c r="Z25" i="14" s="1"/>
  <c r="N25" i="14"/>
  <c r="L25" i="14"/>
  <c r="B25" i="14"/>
  <c r="X24" i="14"/>
  <c r="Z24" i="14" s="1"/>
  <c r="L24" i="14"/>
  <c r="N24" i="14" s="1"/>
  <c r="B24" i="14"/>
  <c r="T23" i="14"/>
  <c r="P23" i="14"/>
  <c r="X23" i="14" s="1"/>
  <c r="Z23" i="14" s="1"/>
  <c r="H23" i="14"/>
  <c r="D23" i="14"/>
  <c r="L23" i="14" s="1"/>
  <c r="Z21" i="14"/>
  <c r="X21" i="14"/>
  <c r="T21" i="14"/>
  <c r="P21" i="14"/>
  <c r="N21" i="14"/>
  <c r="L21" i="14"/>
  <c r="H21" i="14"/>
  <c r="D21" i="14"/>
  <c r="B21" i="14"/>
  <c r="T20" i="14"/>
  <c r="P20" i="14"/>
  <c r="X20" i="14" s="1"/>
  <c r="Z20" i="14" s="1"/>
  <c r="H20" i="14"/>
  <c r="D20" i="14"/>
  <c r="L20" i="14" s="1"/>
  <c r="N20" i="14" s="1"/>
  <c r="B20" i="14"/>
  <c r="T19" i="14"/>
  <c r="Z19" i="14" s="1"/>
  <c r="P19" i="14"/>
  <c r="X19" i="14" s="1"/>
  <c r="H19" i="14"/>
  <c r="D19" i="14"/>
  <c r="L19" i="14" s="1"/>
  <c r="B19" i="14"/>
  <c r="T18" i="14"/>
  <c r="P18" i="14"/>
  <c r="H18" i="14"/>
  <c r="D18" i="14"/>
  <c r="B18" i="14"/>
  <c r="X17" i="14"/>
  <c r="Z17" i="14" s="1"/>
  <c r="T17" i="14"/>
  <c r="P17" i="14"/>
  <c r="N17" i="14"/>
  <c r="L17" i="14"/>
  <c r="H17" i="14"/>
  <c r="D17" i="14"/>
  <c r="B17" i="14"/>
  <c r="Z16" i="14"/>
  <c r="T16" i="14"/>
  <c r="P16" i="14"/>
  <c r="X16" i="14" s="1"/>
  <c r="N16" i="14"/>
  <c r="H16" i="14"/>
  <c r="D16" i="14"/>
  <c r="L16" i="14" s="1"/>
  <c r="B16" i="14"/>
  <c r="T15" i="14"/>
  <c r="P15" i="14"/>
  <c r="P12" i="14" s="1"/>
  <c r="H15" i="14"/>
  <c r="D15" i="14"/>
  <c r="L15" i="14" s="1"/>
  <c r="B15" i="14"/>
  <c r="T14" i="14"/>
  <c r="T12" i="14" s="1"/>
  <c r="P14" i="14"/>
  <c r="H14" i="14"/>
  <c r="D14" i="14"/>
  <c r="B14" i="14"/>
  <c r="X13" i="14"/>
  <c r="Z13" i="14" s="1"/>
  <c r="T13" i="14"/>
  <c r="P13" i="14"/>
  <c r="L13" i="14"/>
  <c r="N13" i="14" s="1"/>
  <c r="H13" i="14"/>
  <c r="D13" i="14"/>
  <c r="B13" i="14"/>
  <c r="D4" i="14"/>
  <c r="X179" i="13"/>
  <c r="Z179" i="13" s="1"/>
  <c r="N179" i="13"/>
  <c r="L179" i="13"/>
  <c r="T175" i="13"/>
  <c r="P175" i="13"/>
  <c r="H175" i="13"/>
  <c r="D175" i="13"/>
  <c r="L175" i="13" s="1"/>
  <c r="N175" i="13" s="1"/>
  <c r="B175" i="13"/>
  <c r="T174" i="13"/>
  <c r="P174" i="13"/>
  <c r="X174" i="13" s="1"/>
  <c r="H174" i="13"/>
  <c r="D174" i="13"/>
  <c r="L174" i="13" s="1"/>
  <c r="N174" i="13" s="1"/>
  <c r="B174" i="13"/>
  <c r="X173" i="13"/>
  <c r="Z173" i="13" s="1"/>
  <c r="T173" i="13"/>
  <c r="P173" i="13"/>
  <c r="P172" i="13" s="1"/>
  <c r="H173" i="13"/>
  <c r="D173" i="13"/>
  <c r="B173" i="13"/>
  <c r="Z170" i="13"/>
  <c r="X170" i="13"/>
  <c r="N170" i="13"/>
  <c r="L170" i="13"/>
  <c r="B170" i="13"/>
  <c r="T169" i="13"/>
  <c r="P169" i="13"/>
  <c r="X169" i="13" s="1"/>
  <c r="L169" i="13"/>
  <c r="N169" i="13" s="1"/>
  <c r="H169" i="13"/>
  <c r="D169" i="13"/>
  <c r="B169" i="13"/>
  <c r="X168" i="13"/>
  <c r="Z168" i="13" s="1"/>
  <c r="N168" i="13"/>
  <c r="L168" i="13"/>
  <c r="B168" i="13"/>
  <c r="X167" i="13"/>
  <c r="Z167" i="13" s="1"/>
  <c r="T167" i="13"/>
  <c r="P167" i="13"/>
  <c r="H167" i="13"/>
  <c r="N167" i="13" s="1"/>
  <c r="D167" i="13"/>
  <c r="B167" i="13"/>
  <c r="Z166" i="13"/>
  <c r="X166" i="13"/>
  <c r="N166" i="13"/>
  <c r="L166" i="13"/>
  <c r="B166" i="13"/>
  <c r="T165" i="13"/>
  <c r="P165" i="13"/>
  <c r="H165" i="13"/>
  <c r="N165" i="13" s="1"/>
  <c r="D165" i="13"/>
  <c r="L165" i="13" s="1"/>
  <c r="B165" i="13"/>
  <c r="X164" i="13"/>
  <c r="Z164" i="13" s="1"/>
  <c r="L164" i="13"/>
  <c r="N164" i="13" s="1"/>
  <c r="B164" i="13"/>
  <c r="T163" i="13"/>
  <c r="P163" i="13"/>
  <c r="X163" i="13" s="1"/>
  <c r="H163" i="13"/>
  <c r="D163" i="13"/>
  <c r="L163" i="13" s="1"/>
  <c r="B163" i="13"/>
  <c r="Z162" i="13"/>
  <c r="X162" i="13"/>
  <c r="N162" i="13"/>
  <c r="L162" i="13"/>
  <c r="B162" i="13"/>
  <c r="Z161" i="13"/>
  <c r="X161" i="13"/>
  <c r="N161" i="13"/>
  <c r="L161" i="13"/>
  <c r="B161" i="13"/>
  <c r="X160" i="13"/>
  <c r="Z160" i="13" s="1"/>
  <c r="L160" i="13"/>
  <c r="N160" i="13" s="1"/>
  <c r="B160" i="13"/>
  <c r="X159" i="13"/>
  <c r="Z159" i="13" s="1"/>
  <c r="N159" i="13"/>
  <c r="L159" i="13"/>
  <c r="B159" i="13"/>
  <c r="Z158" i="13"/>
  <c r="X158" i="13"/>
  <c r="N158" i="13"/>
  <c r="L158" i="13"/>
  <c r="B158" i="13"/>
  <c r="X157" i="13"/>
  <c r="Z157" i="13" s="1"/>
  <c r="N157" i="13"/>
  <c r="L157" i="13"/>
  <c r="B157" i="13"/>
  <c r="T156" i="13"/>
  <c r="P156" i="13"/>
  <c r="X156" i="13" s="1"/>
  <c r="Z156" i="13" s="1"/>
  <c r="H156" i="13"/>
  <c r="L156" i="13" s="1"/>
  <c r="N156" i="13" s="1"/>
  <c r="D156" i="13"/>
  <c r="B156" i="13"/>
  <c r="X155" i="13"/>
  <c r="Z155" i="13" s="1"/>
  <c r="N155" i="13"/>
  <c r="L155" i="13"/>
  <c r="B155" i="13"/>
  <c r="Z154" i="13"/>
  <c r="X154" i="13"/>
  <c r="N154" i="13"/>
  <c r="L154" i="13"/>
  <c r="B154" i="13"/>
  <c r="T153" i="13"/>
  <c r="P153" i="13"/>
  <c r="H153" i="13"/>
  <c r="N153" i="13" s="1"/>
  <c r="D153" i="13"/>
  <c r="L153" i="13" s="1"/>
  <c r="B153" i="13"/>
  <c r="X152" i="13"/>
  <c r="Z152" i="13" s="1"/>
  <c r="L152" i="13"/>
  <c r="N152" i="13" s="1"/>
  <c r="B152" i="13"/>
  <c r="X151" i="13"/>
  <c r="Z151" i="13" s="1"/>
  <c r="L151" i="13"/>
  <c r="N151" i="13" s="1"/>
  <c r="B151" i="13"/>
  <c r="Z150" i="13"/>
  <c r="X150" i="13"/>
  <c r="N150" i="13"/>
  <c r="L150" i="13"/>
  <c r="B150" i="13"/>
  <c r="X149" i="13"/>
  <c r="Z149" i="13" s="1"/>
  <c r="N149" i="13"/>
  <c r="L149" i="13"/>
  <c r="B149" i="13"/>
  <c r="T148" i="13"/>
  <c r="P148" i="13"/>
  <c r="X148" i="13" s="1"/>
  <c r="Z148" i="13" s="1"/>
  <c r="H148" i="13"/>
  <c r="L148" i="13" s="1"/>
  <c r="N148" i="13" s="1"/>
  <c r="D148" i="13"/>
  <c r="B148" i="13"/>
  <c r="Z147" i="13"/>
  <c r="X147" i="13"/>
  <c r="N147" i="13"/>
  <c r="L147" i="13"/>
  <c r="B147" i="13"/>
  <c r="Z146" i="13"/>
  <c r="X146" i="13"/>
  <c r="N146" i="13"/>
  <c r="L146" i="13"/>
  <c r="B146" i="13"/>
  <c r="T145" i="13"/>
  <c r="P145" i="13"/>
  <c r="X145" i="13" s="1"/>
  <c r="N145" i="13"/>
  <c r="H145" i="13"/>
  <c r="D145" i="13"/>
  <c r="L145" i="13" s="1"/>
  <c r="B145" i="13"/>
  <c r="X144" i="13"/>
  <c r="Z144" i="13" s="1"/>
  <c r="L144" i="13"/>
  <c r="N144" i="13" s="1"/>
  <c r="B144" i="13"/>
  <c r="X143" i="13"/>
  <c r="Z143" i="13" s="1"/>
  <c r="L143" i="13"/>
  <c r="N143" i="13" s="1"/>
  <c r="B143" i="13"/>
  <c r="Z142" i="13"/>
  <c r="X142" i="13"/>
  <c r="N142" i="13"/>
  <c r="L142" i="13"/>
  <c r="B142" i="13"/>
  <c r="T141" i="13"/>
  <c r="Z141" i="13" s="1"/>
  <c r="P141" i="13"/>
  <c r="X141" i="13" s="1"/>
  <c r="H141" i="13"/>
  <c r="D141" i="13"/>
  <c r="L141" i="13" s="1"/>
  <c r="N141" i="13" s="1"/>
  <c r="B141" i="13"/>
  <c r="X140" i="13"/>
  <c r="Z140" i="13" s="1"/>
  <c r="L140" i="13"/>
  <c r="N140" i="13" s="1"/>
  <c r="B140" i="13"/>
  <c r="T139" i="13"/>
  <c r="P139" i="13"/>
  <c r="X139" i="13" s="1"/>
  <c r="Z139" i="13" s="1"/>
  <c r="H139" i="13"/>
  <c r="D139" i="13"/>
  <c r="B139" i="13"/>
  <c r="Z138" i="13"/>
  <c r="X138" i="13"/>
  <c r="N138" i="13"/>
  <c r="L138" i="13"/>
  <c r="B138" i="13"/>
  <c r="T137" i="13"/>
  <c r="P137" i="13"/>
  <c r="L137" i="13"/>
  <c r="H137" i="13"/>
  <c r="N137" i="13" s="1"/>
  <c r="D137" i="13"/>
  <c r="B137" i="13"/>
  <c r="Z136" i="13"/>
  <c r="X136" i="13"/>
  <c r="N136" i="13"/>
  <c r="L136" i="13"/>
  <c r="B136" i="13"/>
  <c r="Z135" i="13"/>
  <c r="X135" i="13"/>
  <c r="L135" i="13"/>
  <c r="N135" i="13" s="1"/>
  <c r="B135" i="13"/>
  <c r="Z134" i="13"/>
  <c r="T134" i="13"/>
  <c r="P134" i="13"/>
  <c r="X134" i="13" s="1"/>
  <c r="H134" i="13"/>
  <c r="D134" i="13"/>
  <c r="L134" i="13" s="1"/>
  <c r="N134" i="13" s="1"/>
  <c r="B134" i="13"/>
  <c r="X133" i="13"/>
  <c r="Z133" i="13" s="1"/>
  <c r="L133" i="13"/>
  <c r="N133" i="13" s="1"/>
  <c r="B133" i="13"/>
  <c r="T132" i="13"/>
  <c r="P132" i="13"/>
  <c r="X132" i="13" s="1"/>
  <c r="Z132" i="13" s="1"/>
  <c r="H132" i="13"/>
  <c r="L132" i="13" s="1"/>
  <c r="N132" i="13" s="1"/>
  <c r="D132" i="13"/>
  <c r="B132" i="13"/>
  <c r="X131" i="13"/>
  <c r="Z131" i="13" s="1"/>
  <c r="N131" i="13"/>
  <c r="L131" i="13"/>
  <c r="B131" i="13"/>
  <c r="T130" i="13"/>
  <c r="X130" i="13" s="1"/>
  <c r="Z130" i="13" s="1"/>
  <c r="P130" i="13"/>
  <c r="N130" i="13"/>
  <c r="L130" i="13"/>
  <c r="H130" i="13"/>
  <c r="D130" i="13"/>
  <c r="B130" i="13"/>
  <c r="X129" i="13"/>
  <c r="Z129" i="13" s="1"/>
  <c r="N129" i="13"/>
  <c r="L129" i="13"/>
  <c r="B129" i="13"/>
  <c r="X128" i="13"/>
  <c r="Z128" i="13" s="1"/>
  <c r="L128" i="13"/>
  <c r="N128" i="13" s="1"/>
  <c r="B128" i="13"/>
  <c r="T127" i="13"/>
  <c r="P127" i="13"/>
  <c r="X127" i="13" s="1"/>
  <c r="Z127" i="13" s="1"/>
  <c r="H127" i="13"/>
  <c r="D127" i="13"/>
  <c r="B127" i="13"/>
  <c r="Z126" i="13"/>
  <c r="X126" i="13"/>
  <c r="N126" i="13"/>
  <c r="L126" i="13"/>
  <c r="B126" i="13"/>
  <c r="T125" i="13"/>
  <c r="Z125" i="13" s="1"/>
  <c r="P125" i="13"/>
  <c r="L125" i="13"/>
  <c r="H125" i="13"/>
  <c r="N125" i="13" s="1"/>
  <c r="D125" i="13"/>
  <c r="B125" i="13"/>
  <c r="Z124" i="13"/>
  <c r="X124" i="13"/>
  <c r="N124" i="13"/>
  <c r="L124" i="13"/>
  <c r="B124" i="13"/>
  <c r="X123" i="13"/>
  <c r="T123" i="13"/>
  <c r="Z123" i="13" s="1"/>
  <c r="P123" i="13"/>
  <c r="H123" i="13"/>
  <c r="N123" i="13" s="1"/>
  <c r="D123" i="13"/>
  <c r="B123" i="13"/>
  <c r="Z122" i="13"/>
  <c r="X122" i="13"/>
  <c r="N122" i="13"/>
  <c r="L122" i="13"/>
  <c r="B122" i="13"/>
  <c r="Z121" i="13"/>
  <c r="X121" i="13"/>
  <c r="N121" i="13"/>
  <c r="L121" i="13"/>
  <c r="B121" i="13"/>
  <c r="Z120" i="13"/>
  <c r="T120" i="13"/>
  <c r="P120" i="13"/>
  <c r="X120" i="13" s="1"/>
  <c r="N120" i="13"/>
  <c r="H120" i="13"/>
  <c r="L120" i="13" s="1"/>
  <c r="D120" i="13"/>
  <c r="B120" i="13"/>
  <c r="X119" i="13"/>
  <c r="Z119" i="13" s="1"/>
  <c r="L119" i="13"/>
  <c r="N119" i="13" s="1"/>
  <c r="B119" i="13"/>
  <c r="T118" i="13"/>
  <c r="X118" i="13" s="1"/>
  <c r="Z118" i="13" s="1"/>
  <c r="P118" i="13"/>
  <c r="L118" i="13"/>
  <c r="N118" i="13" s="1"/>
  <c r="H118" i="13"/>
  <c r="D118" i="13"/>
  <c r="B118" i="13"/>
  <c r="X117" i="13"/>
  <c r="Z117" i="13" s="1"/>
  <c r="L117" i="13"/>
  <c r="N117" i="13" s="1"/>
  <c r="B117" i="13"/>
  <c r="X116" i="13"/>
  <c r="Z116" i="13" s="1"/>
  <c r="T116" i="13"/>
  <c r="P116" i="13"/>
  <c r="N116" i="13"/>
  <c r="H116" i="13"/>
  <c r="D116" i="13"/>
  <c r="L116" i="13" s="1"/>
  <c r="B116" i="13"/>
  <c r="X115" i="13"/>
  <c r="Z115" i="13" s="1"/>
  <c r="L115" i="13"/>
  <c r="N115" i="13" s="1"/>
  <c r="B115" i="13"/>
  <c r="Z114" i="13"/>
  <c r="T114" i="13"/>
  <c r="P114" i="13"/>
  <c r="X114" i="13" s="1"/>
  <c r="H114" i="13"/>
  <c r="D114" i="13"/>
  <c r="L114" i="13" s="1"/>
  <c r="N114" i="13" s="1"/>
  <c r="B114" i="13"/>
  <c r="X113" i="13"/>
  <c r="Z113" i="13" s="1"/>
  <c r="L113" i="13"/>
  <c r="N113" i="13" s="1"/>
  <c r="B113" i="13"/>
  <c r="X112" i="13"/>
  <c r="Z112" i="13" s="1"/>
  <c r="L112" i="13"/>
  <c r="N112" i="13" s="1"/>
  <c r="B112" i="13"/>
  <c r="X111" i="13"/>
  <c r="Z111" i="13" s="1"/>
  <c r="L111" i="13"/>
  <c r="N111" i="13" s="1"/>
  <c r="B111" i="13"/>
  <c r="Z110" i="13"/>
  <c r="X110" i="13"/>
  <c r="N110" i="13"/>
  <c r="L110" i="13"/>
  <c r="B110" i="13"/>
  <c r="X109" i="13"/>
  <c r="Z109" i="13" s="1"/>
  <c r="L109" i="13"/>
  <c r="N109" i="13" s="1"/>
  <c r="B109" i="13"/>
  <c r="X108" i="13"/>
  <c r="Z108" i="13" s="1"/>
  <c r="L108" i="13"/>
  <c r="N108" i="13" s="1"/>
  <c r="B108" i="13"/>
  <c r="T107" i="13"/>
  <c r="P107" i="13"/>
  <c r="X107" i="13" s="1"/>
  <c r="Z107" i="13" s="1"/>
  <c r="H107" i="13"/>
  <c r="N107" i="13" s="1"/>
  <c r="D107" i="13"/>
  <c r="L107" i="13" s="1"/>
  <c r="B107" i="13"/>
  <c r="Z106" i="13"/>
  <c r="X106" i="13"/>
  <c r="N106" i="13"/>
  <c r="L106" i="13"/>
  <c r="B106" i="13"/>
  <c r="X105" i="13"/>
  <c r="Z105" i="13" s="1"/>
  <c r="L105" i="13"/>
  <c r="N105" i="13" s="1"/>
  <c r="B105" i="13"/>
  <c r="X104" i="13"/>
  <c r="Z104" i="13" s="1"/>
  <c r="L104" i="13"/>
  <c r="N104" i="13" s="1"/>
  <c r="B104" i="13"/>
  <c r="X103" i="13"/>
  <c r="Z103" i="13" s="1"/>
  <c r="L103" i="13"/>
  <c r="N103" i="13" s="1"/>
  <c r="B103" i="13"/>
  <c r="Z102" i="13"/>
  <c r="X102" i="13"/>
  <c r="N102" i="13"/>
  <c r="L102" i="13"/>
  <c r="B102" i="13"/>
  <c r="X101" i="13"/>
  <c r="Z101" i="13" s="1"/>
  <c r="L101" i="13"/>
  <c r="N101" i="13" s="1"/>
  <c r="B101" i="13"/>
  <c r="X100" i="13"/>
  <c r="Z100" i="13" s="1"/>
  <c r="L100" i="13"/>
  <c r="N100" i="13" s="1"/>
  <c r="B100" i="13"/>
  <c r="X99" i="13"/>
  <c r="Z99" i="13" s="1"/>
  <c r="L99" i="13"/>
  <c r="N99" i="13" s="1"/>
  <c r="B99" i="13"/>
  <c r="Z98" i="13"/>
  <c r="T98" i="13"/>
  <c r="P98" i="13"/>
  <c r="X98" i="13" s="1"/>
  <c r="L98" i="13"/>
  <c r="N98" i="13" s="1"/>
  <c r="H98" i="13"/>
  <c r="D98" i="13"/>
  <c r="B98" i="13"/>
  <c r="T97" i="13" a="1"/>
  <c r="T97" i="13" s="1"/>
  <c r="P97" i="13" a="1"/>
  <c r="P97" i="13" s="1"/>
  <c r="H97" i="13" a="1"/>
  <c r="H97" i="13" s="1"/>
  <c r="D97" i="13" a="1"/>
  <c r="D97" i="13" s="1"/>
  <c r="X93" i="13"/>
  <c r="Z93" i="13" s="1"/>
  <c r="L93" i="13"/>
  <c r="N93" i="13" s="1"/>
  <c r="B93" i="13"/>
  <c r="X92" i="13"/>
  <c r="Z92" i="13" s="1"/>
  <c r="L92" i="13"/>
  <c r="N92" i="13" s="1"/>
  <c r="B92" i="13"/>
  <c r="Z91" i="13"/>
  <c r="X91" i="13"/>
  <c r="N91" i="13"/>
  <c r="L91" i="13"/>
  <c r="B91" i="13"/>
  <c r="Z90" i="13"/>
  <c r="X90" i="13"/>
  <c r="N90" i="13"/>
  <c r="L90" i="13"/>
  <c r="B90" i="13"/>
  <c r="X89" i="13"/>
  <c r="Z89" i="13" s="1"/>
  <c r="L89" i="13"/>
  <c r="N89" i="13" s="1"/>
  <c r="B89" i="13"/>
  <c r="X88" i="13"/>
  <c r="Z88" i="13" s="1"/>
  <c r="L88" i="13"/>
  <c r="N88" i="13" s="1"/>
  <c r="B88" i="13"/>
  <c r="X87" i="13"/>
  <c r="Z87" i="13" s="1"/>
  <c r="N87" i="13"/>
  <c r="L87" i="13"/>
  <c r="B87" i="13"/>
  <c r="Z86" i="13"/>
  <c r="X86" i="13"/>
  <c r="N86" i="13"/>
  <c r="L86" i="13"/>
  <c r="B86" i="13"/>
  <c r="Z85" i="13"/>
  <c r="X85" i="13"/>
  <c r="N85" i="13"/>
  <c r="L85" i="13"/>
  <c r="B85" i="13"/>
  <c r="X84" i="13"/>
  <c r="Z84" i="13" s="1"/>
  <c r="N84" i="13"/>
  <c r="L84" i="13"/>
  <c r="B84" i="13"/>
  <c r="X83" i="13"/>
  <c r="Z83" i="13" s="1"/>
  <c r="L83" i="13"/>
  <c r="N83" i="13" s="1"/>
  <c r="B83" i="13"/>
  <c r="Z82" i="13"/>
  <c r="X82" i="13"/>
  <c r="N82" i="13"/>
  <c r="L82" i="13"/>
  <c r="B82" i="13"/>
  <c r="X81" i="13"/>
  <c r="Z81" i="13" s="1"/>
  <c r="L81" i="13"/>
  <c r="N81" i="13" s="1"/>
  <c r="B81" i="13"/>
  <c r="X80" i="13"/>
  <c r="Z80" i="13" s="1"/>
  <c r="L80" i="13"/>
  <c r="N80" i="13" s="1"/>
  <c r="B80" i="13"/>
  <c r="X79" i="13"/>
  <c r="Z79" i="13" s="1"/>
  <c r="L79" i="13"/>
  <c r="N79" i="13" s="1"/>
  <c r="B79" i="13"/>
  <c r="Z78" i="13"/>
  <c r="X78" i="13"/>
  <c r="N78" i="13"/>
  <c r="L78" i="13"/>
  <c r="B78" i="13"/>
  <c r="X77" i="13"/>
  <c r="Z77" i="13" s="1"/>
  <c r="L77" i="13"/>
  <c r="N77" i="13" s="1"/>
  <c r="B77" i="13"/>
  <c r="X76" i="13"/>
  <c r="Z76" i="13" s="1"/>
  <c r="L76" i="13"/>
  <c r="N76" i="13" s="1"/>
  <c r="B76" i="13"/>
  <c r="Z75" i="13"/>
  <c r="X75" i="13"/>
  <c r="N75" i="13"/>
  <c r="L75" i="13"/>
  <c r="B75" i="13"/>
  <c r="Z74" i="13"/>
  <c r="X74" i="13"/>
  <c r="N74" i="13"/>
  <c r="L74" i="13"/>
  <c r="B74" i="13"/>
  <c r="X73" i="13"/>
  <c r="Z73" i="13" s="1"/>
  <c r="N73" i="13"/>
  <c r="L73" i="13"/>
  <c r="B73" i="13"/>
  <c r="Z72" i="13"/>
  <c r="X72" i="13"/>
  <c r="L72" i="13"/>
  <c r="N72" i="13" s="1"/>
  <c r="B72" i="13"/>
  <c r="X71" i="13"/>
  <c r="Z71" i="13" s="1"/>
  <c r="L71" i="13"/>
  <c r="N71" i="13" s="1"/>
  <c r="B71" i="13"/>
  <c r="X70" i="13"/>
  <c r="Z70" i="13" s="1"/>
  <c r="N70" i="13"/>
  <c r="L70" i="13"/>
  <c r="B70" i="13"/>
  <c r="Z69" i="13"/>
  <c r="X69" i="13"/>
  <c r="L69" i="13"/>
  <c r="N69" i="13" s="1"/>
  <c r="B69" i="13"/>
  <c r="X68" i="13"/>
  <c r="Z68" i="13" s="1"/>
  <c r="N68" i="13"/>
  <c r="L68" i="13"/>
  <c r="B68" i="13"/>
  <c r="X67" i="13"/>
  <c r="Z67" i="13" s="1"/>
  <c r="L67" i="13"/>
  <c r="N67" i="13" s="1"/>
  <c r="B67" i="13"/>
  <c r="Z66" i="13"/>
  <c r="X66" i="13"/>
  <c r="L66" i="13"/>
  <c r="N66" i="13" s="1"/>
  <c r="B66" i="13"/>
  <c r="X65" i="13"/>
  <c r="Z65" i="13" s="1"/>
  <c r="N65" i="13"/>
  <c r="L65" i="13"/>
  <c r="B65" i="13"/>
  <c r="Z64" i="13"/>
  <c r="X64" i="13"/>
  <c r="L64" i="13"/>
  <c r="N64" i="13" s="1"/>
  <c r="B64" i="13"/>
  <c r="X63" i="13"/>
  <c r="Z63" i="13" s="1"/>
  <c r="L63" i="13"/>
  <c r="N63" i="13" s="1"/>
  <c r="B63" i="13"/>
  <c r="X62" i="13"/>
  <c r="Z62" i="13" s="1"/>
  <c r="N62" i="13"/>
  <c r="L62" i="13"/>
  <c r="B62" i="13"/>
  <c r="Z61" i="13"/>
  <c r="X61" i="13"/>
  <c r="L61" i="13"/>
  <c r="N61" i="13" s="1"/>
  <c r="B61" i="13"/>
  <c r="Z60" i="13"/>
  <c r="X60" i="13"/>
  <c r="N60" i="13"/>
  <c r="L60" i="13"/>
  <c r="B60" i="13"/>
  <c r="X59" i="13"/>
  <c r="Z59" i="13" s="1"/>
  <c r="T59" i="13"/>
  <c r="P59" i="13"/>
  <c r="H59" i="13"/>
  <c r="D59" i="13"/>
  <c r="T57" i="13"/>
  <c r="P57" i="13"/>
  <c r="N57" i="13"/>
  <c r="L57" i="13"/>
  <c r="H57" i="13"/>
  <c r="D57" i="13"/>
  <c r="B57" i="13"/>
  <c r="X56" i="13"/>
  <c r="Z56" i="13" s="1"/>
  <c r="T56" i="13"/>
  <c r="P56" i="13"/>
  <c r="N56" i="13"/>
  <c r="H56" i="13"/>
  <c r="L56" i="13" s="1"/>
  <c r="D56" i="13"/>
  <c r="B56" i="13"/>
  <c r="Z55" i="13"/>
  <c r="T55" i="13"/>
  <c r="P55" i="13"/>
  <c r="X55" i="13" s="1"/>
  <c r="L55" i="13"/>
  <c r="N55" i="13" s="1"/>
  <c r="H55" i="13"/>
  <c r="D55" i="13"/>
  <c r="B55" i="13"/>
  <c r="T54" i="13"/>
  <c r="P54" i="13"/>
  <c r="H54" i="13"/>
  <c r="D54" i="13"/>
  <c r="L54" i="13" s="1"/>
  <c r="N54" i="13" s="1"/>
  <c r="B54" i="13"/>
  <c r="X53" i="13"/>
  <c r="Z53" i="13" s="1"/>
  <c r="T53" i="13"/>
  <c r="P53" i="13"/>
  <c r="H53" i="13"/>
  <c r="D53" i="13"/>
  <c r="B53" i="13"/>
  <c r="Z52" i="13"/>
  <c r="T52" i="13"/>
  <c r="X52" i="13" s="1"/>
  <c r="P52" i="13"/>
  <c r="N52" i="13"/>
  <c r="L52" i="13"/>
  <c r="H52" i="13"/>
  <c r="D52" i="13"/>
  <c r="B52" i="13"/>
  <c r="X51" i="13"/>
  <c r="Z51" i="13" s="1"/>
  <c r="T51" i="13"/>
  <c r="P51" i="13"/>
  <c r="N51" i="13"/>
  <c r="H51" i="13"/>
  <c r="D51" i="13"/>
  <c r="L51" i="13" s="1"/>
  <c r="B51" i="13"/>
  <c r="T50" i="13"/>
  <c r="P50" i="13"/>
  <c r="X50" i="13" s="1"/>
  <c r="Z50" i="13" s="1"/>
  <c r="H50" i="13"/>
  <c r="D50" i="13"/>
  <c r="B50" i="13"/>
  <c r="T49" i="13"/>
  <c r="P49" i="13"/>
  <c r="L49" i="13"/>
  <c r="N49" i="13" s="1"/>
  <c r="H49" i="13"/>
  <c r="D49" i="13"/>
  <c r="B49" i="13"/>
  <c r="X48" i="13"/>
  <c r="Z48" i="13" s="1"/>
  <c r="T48" i="13"/>
  <c r="P48" i="13"/>
  <c r="H48" i="13"/>
  <c r="L48" i="13" s="1"/>
  <c r="N48" i="13" s="1"/>
  <c r="D48" i="13"/>
  <c r="B48" i="13"/>
  <c r="Z47" i="13"/>
  <c r="T47" i="13"/>
  <c r="P47" i="13"/>
  <c r="X47" i="13" s="1"/>
  <c r="L47" i="13"/>
  <c r="N47" i="13" s="1"/>
  <c r="H47" i="13"/>
  <c r="D47" i="13"/>
  <c r="B47" i="13"/>
  <c r="T46" i="13"/>
  <c r="P46" i="13"/>
  <c r="H46" i="13"/>
  <c r="D46" i="13"/>
  <c r="L46" i="13" s="1"/>
  <c r="N46" i="13" s="1"/>
  <c r="B46" i="13"/>
  <c r="X45" i="13"/>
  <c r="Z45" i="13" s="1"/>
  <c r="T45" i="13"/>
  <c r="P45" i="13"/>
  <c r="H45" i="13"/>
  <c r="D45" i="13"/>
  <c r="B45" i="13"/>
  <c r="Z44" i="13"/>
  <c r="T44" i="13"/>
  <c r="X44" i="13" s="1"/>
  <c r="P44" i="13"/>
  <c r="L44" i="13"/>
  <c r="N44" i="13" s="1"/>
  <c r="H44" i="13"/>
  <c r="D44" i="13"/>
  <c r="B44" i="13"/>
  <c r="X43" i="13"/>
  <c r="Z43" i="13" s="1"/>
  <c r="T43" i="13"/>
  <c r="P43" i="13"/>
  <c r="N43" i="13"/>
  <c r="H43" i="13"/>
  <c r="D43" i="13"/>
  <c r="L43" i="13" s="1"/>
  <c r="B43" i="13"/>
  <c r="Z42" i="13"/>
  <c r="T42" i="13"/>
  <c r="P42" i="13"/>
  <c r="X42" i="13" s="1"/>
  <c r="H42" i="13"/>
  <c r="D42" i="13"/>
  <c r="B42" i="13"/>
  <c r="T41" i="13"/>
  <c r="P41" i="13"/>
  <c r="L41" i="13"/>
  <c r="N41" i="13" s="1"/>
  <c r="H41" i="13"/>
  <c r="D41" i="13"/>
  <c r="B41" i="13"/>
  <c r="X40" i="13"/>
  <c r="Z40" i="13" s="1"/>
  <c r="T40" i="13"/>
  <c r="P40" i="13"/>
  <c r="H40" i="13"/>
  <c r="L40" i="13" s="1"/>
  <c r="N40" i="13" s="1"/>
  <c r="D40" i="13"/>
  <c r="B40" i="13"/>
  <c r="T39" i="13"/>
  <c r="P39" i="13"/>
  <c r="X39" i="13" s="1"/>
  <c r="Z39" i="13" s="1"/>
  <c r="L39" i="13"/>
  <c r="N39" i="13" s="1"/>
  <c r="H39" i="13"/>
  <c r="D39" i="13"/>
  <c r="B39" i="13"/>
  <c r="T38" i="13"/>
  <c r="P38" i="13"/>
  <c r="H38" i="13"/>
  <c r="D38" i="13"/>
  <c r="L38" i="13" s="1"/>
  <c r="N38" i="13" s="1"/>
  <c r="B38" i="13"/>
  <c r="X37" i="13"/>
  <c r="Z37" i="13" s="1"/>
  <c r="T37" i="13"/>
  <c r="P37" i="13"/>
  <c r="H37" i="13"/>
  <c r="D37" i="13"/>
  <c r="B37" i="13"/>
  <c r="Z36" i="13"/>
  <c r="T36" i="13"/>
  <c r="X36" i="13" s="1"/>
  <c r="P36" i="13"/>
  <c r="L36" i="13"/>
  <c r="N36" i="13" s="1"/>
  <c r="H36" i="13"/>
  <c r="D36" i="13"/>
  <c r="B36" i="13"/>
  <c r="X35" i="13"/>
  <c r="Z35" i="13" s="1"/>
  <c r="T35" i="13"/>
  <c r="P35" i="13"/>
  <c r="N35" i="13"/>
  <c r="H35" i="13"/>
  <c r="D35" i="13"/>
  <c r="L35" i="13" s="1"/>
  <c r="B35" i="13"/>
  <c r="T34" i="13"/>
  <c r="P34" i="13"/>
  <c r="X34" i="13" s="1"/>
  <c r="Z34" i="13" s="1"/>
  <c r="H34" i="13"/>
  <c r="D34" i="13"/>
  <c r="B34" i="13"/>
  <c r="T33" i="13"/>
  <c r="P33" i="13"/>
  <c r="N33" i="13"/>
  <c r="L33" i="13"/>
  <c r="H33" i="13"/>
  <c r="D33" i="13"/>
  <c r="B33" i="13"/>
  <c r="X32" i="13"/>
  <c r="Z32" i="13" s="1"/>
  <c r="T32" i="13"/>
  <c r="P32" i="13"/>
  <c r="N32" i="13"/>
  <c r="H32" i="13"/>
  <c r="L32" i="13" s="1"/>
  <c r="D32" i="13"/>
  <c r="B32" i="13"/>
  <c r="T31" i="13"/>
  <c r="P31" i="13"/>
  <c r="X31" i="13" s="1"/>
  <c r="Z31" i="13" s="1"/>
  <c r="L31" i="13"/>
  <c r="N31" i="13" s="1"/>
  <c r="H31" i="13"/>
  <c r="D31" i="13"/>
  <c r="B31" i="13"/>
  <c r="T30" i="13"/>
  <c r="P30" i="13"/>
  <c r="N30" i="13"/>
  <c r="H30" i="13"/>
  <c r="D30" i="13"/>
  <c r="L30" i="13" s="1"/>
  <c r="B30" i="13"/>
  <c r="X29" i="13"/>
  <c r="Z29" i="13" s="1"/>
  <c r="T29" i="13"/>
  <c r="P29" i="13"/>
  <c r="H29" i="13"/>
  <c r="D29" i="13"/>
  <c r="B29" i="13"/>
  <c r="T28" i="13"/>
  <c r="X28" i="13" s="1"/>
  <c r="Z28" i="13" s="1"/>
  <c r="P28" i="13"/>
  <c r="N28" i="13"/>
  <c r="L28" i="13"/>
  <c r="H28" i="13"/>
  <c r="D28" i="13"/>
  <c r="B28" i="13"/>
  <c r="Z27" i="13"/>
  <c r="X27" i="13"/>
  <c r="T27" i="13"/>
  <c r="P27" i="13"/>
  <c r="N27" i="13"/>
  <c r="H27" i="13"/>
  <c r="D27" i="13"/>
  <c r="L27" i="13" s="1"/>
  <c r="B27" i="13"/>
  <c r="T26" i="13"/>
  <c r="P26" i="13"/>
  <c r="X26" i="13" s="1"/>
  <c r="Z26" i="13" s="1"/>
  <c r="H26" i="13"/>
  <c r="D26" i="13"/>
  <c r="B26" i="13"/>
  <c r="T25" i="13"/>
  <c r="P25" i="13"/>
  <c r="N25" i="13"/>
  <c r="L25" i="13"/>
  <c r="H25" i="13"/>
  <c r="D25" i="13"/>
  <c r="B25" i="13"/>
  <c r="X24" i="13"/>
  <c r="Z24" i="13" s="1"/>
  <c r="T24" i="13"/>
  <c r="P24" i="13"/>
  <c r="N24" i="13"/>
  <c r="H24" i="13"/>
  <c r="L24" i="13" s="1"/>
  <c r="D24" i="13"/>
  <c r="B24" i="13"/>
  <c r="Z23" i="13"/>
  <c r="T23" i="13"/>
  <c r="P23" i="13"/>
  <c r="X23" i="13" s="1"/>
  <c r="L23" i="13"/>
  <c r="N23" i="13" s="1"/>
  <c r="H23" i="13"/>
  <c r="D23" i="13"/>
  <c r="B23" i="13"/>
  <c r="T22" i="13"/>
  <c r="P22" i="13"/>
  <c r="H22" i="13"/>
  <c r="D22" i="13"/>
  <c r="L22" i="13" s="1"/>
  <c r="N22" i="13" s="1"/>
  <c r="B22" i="13"/>
  <c r="X21" i="13"/>
  <c r="Z21" i="13" s="1"/>
  <c r="T21" i="13"/>
  <c r="P21" i="13"/>
  <c r="H21" i="13"/>
  <c r="D21" i="13"/>
  <c r="B21" i="13"/>
  <c r="Z20" i="13"/>
  <c r="T20" i="13"/>
  <c r="X20" i="13" s="1"/>
  <c r="P20" i="13"/>
  <c r="L20" i="13"/>
  <c r="N20" i="13" s="1"/>
  <c r="H20" i="13"/>
  <c r="D20" i="13"/>
  <c r="B20" i="13"/>
  <c r="X19" i="13"/>
  <c r="Z19" i="13" s="1"/>
  <c r="T19" i="13"/>
  <c r="P19" i="13"/>
  <c r="N19" i="13"/>
  <c r="H19" i="13"/>
  <c r="D19" i="13"/>
  <c r="L19" i="13" s="1"/>
  <c r="B19" i="13"/>
  <c r="T18" i="13"/>
  <c r="P18" i="13"/>
  <c r="X18" i="13" s="1"/>
  <c r="Z18" i="13" s="1"/>
  <c r="H18" i="13"/>
  <c r="D18" i="13"/>
  <c r="B18" i="13"/>
  <c r="T17" i="13"/>
  <c r="P17" i="13"/>
  <c r="L17" i="13"/>
  <c r="N17" i="13" s="1"/>
  <c r="H17" i="13"/>
  <c r="D17" i="13"/>
  <c r="B17" i="13"/>
  <c r="X16" i="13"/>
  <c r="Z16" i="13" s="1"/>
  <c r="T16" i="13"/>
  <c r="P16" i="13"/>
  <c r="N16" i="13"/>
  <c r="H16" i="13"/>
  <c r="L16" i="13" s="1"/>
  <c r="D16" i="13"/>
  <c r="B16" i="13"/>
  <c r="T15" i="13"/>
  <c r="P15" i="13"/>
  <c r="X15" i="13" s="1"/>
  <c r="Z15" i="13" s="1"/>
  <c r="L15" i="13"/>
  <c r="N15" i="13" s="1"/>
  <c r="H15" i="13"/>
  <c r="D15" i="13"/>
  <c r="B15" i="13"/>
  <c r="T14" i="13"/>
  <c r="P14" i="13"/>
  <c r="H14" i="13"/>
  <c r="D14" i="13"/>
  <c r="B14" i="13"/>
  <c r="X13" i="13"/>
  <c r="Z13" i="13" s="1"/>
  <c r="T13" i="13"/>
  <c r="P13" i="13"/>
  <c r="H13" i="13"/>
  <c r="D13" i="13"/>
  <c r="B13" i="13"/>
  <c r="D4" i="13"/>
  <c r="X90" i="12"/>
  <c r="Z90" i="12" s="1"/>
  <c r="N90" i="12"/>
  <c r="L90" i="12"/>
  <c r="T86" i="12"/>
  <c r="Z86" i="12" s="1"/>
  <c r="P86" i="12"/>
  <c r="H86" i="12"/>
  <c r="N86" i="12" s="1"/>
  <c r="D86" i="12"/>
  <c r="L86" i="12" s="1"/>
  <c r="B86" i="12"/>
  <c r="T85" i="12"/>
  <c r="P85" i="12"/>
  <c r="H85" i="12"/>
  <c r="D85" i="12"/>
  <c r="B85" i="12"/>
  <c r="H84" i="12"/>
  <c r="X82" i="12"/>
  <c r="Z82" i="12" s="1"/>
  <c r="N82" i="12"/>
  <c r="L82" i="12"/>
  <c r="B82" i="12"/>
  <c r="X81" i="12"/>
  <c r="T81" i="12"/>
  <c r="P81" i="12"/>
  <c r="H81" i="12"/>
  <c r="N81" i="12" s="1"/>
  <c r="D81" i="12"/>
  <c r="B81" i="12"/>
  <c r="X80" i="12"/>
  <c r="Z80" i="12" s="1"/>
  <c r="N80" i="12"/>
  <c r="L80" i="12"/>
  <c r="B80" i="12"/>
  <c r="T79" i="12"/>
  <c r="P79" i="12"/>
  <c r="N79" i="12"/>
  <c r="H79" i="12"/>
  <c r="D79" i="12"/>
  <c r="L79" i="12" s="1"/>
  <c r="B79" i="12"/>
  <c r="X78" i="12"/>
  <c r="Z78" i="12" s="1"/>
  <c r="L78" i="12"/>
  <c r="N78" i="12" s="1"/>
  <c r="B78" i="12"/>
  <c r="Z77" i="12"/>
  <c r="X77" i="12"/>
  <c r="L77" i="12"/>
  <c r="N77" i="12" s="1"/>
  <c r="B77" i="12"/>
  <c r="X76" i="12"/>
  <c r="Z76" i="12" s="1"/>
  <c r="N76" i="12"/>
  <c r="L76" i="12"/>
  <c r="B76" i="12"/>
  <c r="Z75" i="12"/>
  <c r="X75" i="12"/>
  <c r="L75" i="12"/>
  <c r="N75" i="12" s="1"/>
  <c r="B75" i="12"/>
  <c r="X74" i="12"/>
  <c r="Z74" i="12" s="1"/>
  <c r="N74" i="12"/>
  <c r="L74" i="12"/>
  <c r="B74" i="12"/>
  <c r="Z73" i="12"/>
  <c r="X73" i="12"/>
  <c r="N73" i="12"/>
  <c r="L73" i="12"/>
  <c r="B73" i="12"/>
  <c r="T72" i="12"/>
  <c r="P72" i="12"/>
  <c r="H72" i="12"/>
  <c r="D72" i="12"/>
  <c r="L72" i="12" s="1"/>
  <c r="B72" i="12"/>
  <c r="Z71" i="12"/>
  <c r="X71" i="12"/>
  <c r="N71" i="12"/>
  <c r="L71" i="12"/>
  <c r="B71" i="12"/>
  <c r="T70" i="12"/>
  <c r="Z70" i="12" s="1"/>
  <c r="P70" i="12"/>
  <c r="X70" i="12" s="1"/>
  <c r="N70" i="12"/>
  <c r="L70" i="12"/>
  <c r="H70" i="12"/>
  <c r="D70" i="12"/>
  <c r="B70" i="12"/>
  <c r="Z69" i="12"/>
  <c r="X69" i="12"/>
  <c r="L69" i="12"/>
  <c r="N69" i="12" s="1"/>
  <c r="B69" i="12"/>
  <c r="X68" i="12"/>
  <c r="Z68" i="12" s="1"/>
  <c r="T68" i="12"/>
  <c r="P68" i="12"/>
  <c r="L68" i="12"/>
  <c r="N68" i="12" s="1"/>
  <c r="H68" i="12"/>
  <c r="D68" i="12"/>
  <c r="B68" i="12"/>
  <c r="X67" i="12"/>
  <c r="Z67" i="12" s="1"/>
  <c r="N67" i="12"/>
  <c r="L67" i="12"/>
  <c r="B67" i="12"/>
  <c r="X66" i="12"/>
  <c r="Z66" i="12" s="1"/>
  <c r="L66" i="12"/>
  <c r="N66" i="12" s="1"/>
  <c r="B66" i="12"/>
  <c r="Z65" i="12"/>
  <c r="X65" i="12"/>
  <c r="N65" i="12"/>
  <c r="L65" i="12"/>
  <c r="B65" i="12"/>
  <c r="X64" i="12"/>
  <c r="T64" i="12"/>
  <c r="Z64" i="12" s="1"/>
  <c r="P64" i="12"/>
  <c r="L64" i="12"/>
  <c r="N64" i="12" s="1"/>
  <c r="H64" i="12"/>
  <c r="D64" i="12"/>
  <c r="B64" i="12"/>
  <c r="Z63" i="12"/>
  <c r="X63" i="12"/>
  <c r="N63" i="12"/>
  <c r="L63" i="12"/>
  <c r="B63" i="12"/>
  <c r="Z62" i="12"/>
  <c r="X62" i="12"/>
  <c r="T62" i="12"/>
  <c r="P62" i="12"/>
  <c r="N62" i="12"/>
  <c r="H62" i="12"/>
  <c r="D62" i="12"/>
  <c r="L62" i="12" s="1"/>
  <c r="B62" i="12"/>
  <c r="Z61" i="12"/>
  <c r="X61" i="12"/>
  <c r="N61" i="12"/>
  <c r="L61" i="12"/>
  <c r="B61" i="12"/>
  <c r="T60" i="12"/>
  <c r="Z60" i="12" s="1"/>
  <c r="P60" i="12"/>
  <c r="H60" i="12"/>
  <c r="N60" i="12" s="1"/>
  <c r="D60" i="12"/>
  <c r="L60" i="12" s="1"/>
  <c r="B60" i="12"/>
  <c r="Z59" i="12"/>
  <c r="X59" i="12"/>
  <c r="L59" i="12"/>
  <c r="N59" i="12" s="1"/>
  <c r="B59" i="12"/>
  <c r="X58" i="12"/>
  <c r="Z58" i="12" s="1"/>
  <c r="L58" i="12"/>
  <c r="N58" i="12" s="1"/>
  <c r="B58" i="12"/>
  <c r="X57" i="12"/>
  <c r="T57" i="12"/>
  <c r="P57" i="12"/>
  <c r="H57" i="12"/>
  <c r="D57" i="12"/>
  <c r="B57" i="12"/>
  <c r="X56" i="12"/>
  <c r="Z56" i="12" s="1"/>
  <c r="N56" i="12"/>
  <c r="L56" i="12"/>
  <c r="B56" i="12"/>
  <c r="T55" i="12"/>
  <c r="P55" i="12"/>
  <c r="N55" i="12"/>
  <c r="H55" i="12"/>
  <c r="D55" i="12"/>
  <c r="L55" i="12" s="1"/>
  <c r="B55" i="12"/>
  <c r="Z54" i="12"/>
  <c r="X54" i="12"/>
  <c r="N54" i="12"/>
  <c r="L54" i="12"/>
  <c r="B54" i="12"/>
  <c r="Z53" i="12"/>
  <c r="T53" i="12"/>
  <c r="P53" i="12"/>
  <c r="X53" i="12" s="1"/>
  <c r="L53" i="12"/>
  <c r="H53" i="12"/>
  <c r="N53" i="12" s="1"/>
  <c r="D53" i="12"/>
  <c r="B53" i="12"/>
  <c r="Z52" i="12"/>
  <c r="X52" i="12"/>
  <c r="L52" i="12"/>
  <c r="N52" i="12" s="1"/>
  <c r="B52" i="12"/>
  <c r="X51" i="12"/>
  <c r="T51" i="12"/>
  <c r="Z51" i="12" s="1"/>
  <c r="P51" i="12"/>
  <c r="L51" i="12"/>
  <c r="H51" i="12"/>
  <c r="N51" i="12" s="1"/>
  <c r="D51" i="12"/>
  <c r="B51" i="12"/>
  <c r="Z50" i="12"/>
  <c r="X50" i="12"/>
  <c r="N50" i="12"/>
  <c r="L50" i="12"/>
  <c r="B50" i="12"/>
  <c r="X49" i="12"/>
  <c r="T49" i="12"/>
  <c r="Z49" i="12" s="1"/>
  <c r="P49" i="12"/>
  <c r="H49" i="12"/>
  <c r="N49" i="12" s="1"/>
  <c r="D49" i="12"/>
  <c r="B49" i="12"/>
  <c r="Z48" i="12"/>
  <c r="X48" i="12"/>
  <c r="N48" i="12"/>
  <c r="L48" i="12"/>
  <c r="B48" i="12"/>
  <c r="Z47" i="12"/>
  <c r="X47" i="12"/>
  <c r="L47" i="12"/>
  <c r="N47" i="12" s="1"/>
  <c r="B47" i="12"/>
  <c r="X46" i="12"/>
  <c r="Z46" i="12" s="1"/>
  <c r="N46" i="12"/>
  <c r="L46" i="12"/>
  <c r="B46" i="12"/>
  <c r="X45" i="12"/>
  <c r="Z45" i="12" s="1"/>
  <c r="N45" i="12"/>
  <c r="L45" i="12"/>
  <c r="B45" i="12"/>
  <c r="Z44" i="12"/>
  <c r="T44" i="12"/>
  <c r="P44" i="12"/>
  <c r="X44" i="12" s="1"/>
  <c r="H44" i="12"/>
  <c r="D44" i="12"/>
  <c r="L44" i="12" s="1"/>
  <c r="N44" i="12" s="1"/>
  <c r="B44" i="12"/>
  <c r="Z43" i="12"/>
  <c r="X43" i="12"/>
  <c r="L43" i="12"/>
  <c r="N43" i="12" s="1"/>
  <c r="B43" i="12"/>
  <c r="X42" i="12"/>
  <c r="Z42" i="12" s="1"/>
  <c r="L42" i="12"/>
  <c r="N42" i="12" s="1"/>
  <c r="B42" i="12"/>
  <c r="X41" i="12"/>
  <c r="Z41" i="12" s="1"/>
  <c r="N41" i="12"/>
  <c r="L41" i="12"/>
  <c r="B41" i="12"/>
  <c r="Z40" i="12"/>
  <c r="X40" i="12"/>
  <c r="L40" i="12"/>
  <c r="N40" i="12" s="1"/>
  <c r="B40" i="12"/>
  <c r="X39" i="12"/>
  <c r="Z39" i="12" s="1"/>
  <c r="N39" i="12"/>
  <c r="L39" i="12"/>
  <c r="B39" i="12"/>
  <c r="X38" i="12"/>
  <c r="Z38" i="12" s="1"/>
  <c r="L38" i="12"/>
  <c r="N38" i="12" s="1"/>
  <c r="B38" i="12"/>
  <c r="Z37" i="12"/>
  <c r="X37" i="12"/>
  <c r="L37" i="12"/>
  <c r="N37" i="12" s="1"/>
  <c r="B37" i="12"/>
  <c r="X36" i="12"/>
  <c r="Z36" i="12" s="1"/>
  <c r="N36" i="12"/>
  <c r="L36" i="12"/>
  <c r="B36" i="12"/>
  <c r="T35" i="12"/>
  <c r="P35" i="12"/>
  <c r="X35" i="12" s="1"/>
  <c r="N35" i="12"/>
  <c r="H35" i="12"/>
  <c r="D35" i="12"/>
  <c r="L35" i="12" s="1"/>
  <c r="B35" i="12"/>
  <c r="X34" i="12"/>
  <c r="T34" i="12" a="1"/>
  <c r="T34" i="12" s="1"/>
  <c r="P34" i="12" a="1"/>
  <c r="P34" i="12" s="1"/>
  <c r="L34" i="12"/>
  <c r="H34" i="12" a="1"/>
  <c r="H34" i="12" s="1"/>
  <c r="D34" i="12" a="1"/>
  <c r="D34" i="12" s="1"/>
  <c r="Z30" i="12"/>
  <c r="X30" i="12"/>
  <c r="N30" i="12"/>
  <c r="L30" i="12"/>
  <c r="B30" i="12"/>
  <c r="Z29" i="12"/>
  <c r="X29" i="12"/>
  <c r="N29" i="12"/>
  <c r="L29" i="12"/>
  <c r="B29" i="12"/>
  <c r="Z28" i="12"/>
  <c r="X28" i="12"/>
  <c r="N28" i="12"/>
  <c r="L28" i="12"/>
  <c r="B28" i="12"/>
  <c r="X27" i="12"/>
  <c r="T27" i="12"/>
  <c r="Z27" i="12" s="1"/>
  <c r="P27" i="12"/>
  <c r="L27" i="12"/>
  <c r="H27" i="12"/>
  <c r="N27" i="12" s="1"/>
  <c r="D27" i="12"/>
  <c r="T25" i="12"/>
  <c r="P25" i="12"/>
  <c r="X25" i="12" s="1"/>
  <c r="Z25" i="12" s="1"/>
  <c r="H25" i="12"/>
  <c r="D25" i="12"/>
  <c r="B25" i="12"/>
  <c r="T24" i="12"/>
  <c r="P24" i="12"/>
  <c r="N24" i="12"/>
  <c r="L24" i="12"/>
  <c r="H24" i="12"/>
  <c r="D24" i="12"/>
  <c r="B24" i="12"/>
  <c r="Z23" i="12"/>
  <c r="X23" i="12"/>
  <c r="T23" i="12"/>
  <c r="P23" i="12"/>
  <c r="N23" i="12"/>
  <c r="H23" i="12"/>
  <c r="L23" i="12" s="1"/>
  <c r="D23" i="12"/>
  <c r="B23" i="12"/>
  <c r="T22" i="12"/>
  <c r="P22" i="12"/>
  <c r="X22" i="12" s="1"/>
  <c r="Z22" i="12" s="1"/>
  <c r="L22" i="12"/>
  <c r="N22" i="12" s="1"/>
  <c r="H22" i="12"/>
  <c r="D22" i="12"/>
  <c r="B22" i="12"/>
  <c r="T21" i="12"/>
  <c r="P21" i="12"/>
  <c r="H21" i="12"/>
  <c r="D21" i="12"/>
  <c r="L21" i="12" s="1"/>
  <c r="N21" i="12" s="1"/>
  <c r="B21" i="12"/>
  <c r="X20" i="12"/>
  <c r="Z20" i="12" s="1"/>
  <c r="T20" i="12"/>
  <c r="P20" i="12"/>
  <c r="H20" i="12"/>
  <c r="D20" i="12"/>
  <c r="B20" i="12"/>
  <c r="Z19" i="12"/>
  <c r="T19" i="12"/>
  <c r="X19" i="12" s="1"/>
  <c r="P19" i="12"/>
  <c r="N19" i="12"/>
  <c r="L19" i="12"/>
  <c r="H19" i="12"/>
  <c r="D19" i="12"/>
  <c r="B19" i="12"/>
  <c r="Z18" i="12"/>
  <c r="X18" i="12"/>
  <c r="T18" i="12"/>
  <c r="P18" i="12"/>
  <c r="N18" i="12"/>
  <c r="H18" i="12"/>
  <c r="D18" i="12"/>
  <c r="L18" i="12" s="1"/>
  <c r="B18" i="12"/>
  <c r="T17" i="12"/>
  <c r="P17" i="12"/>
  <c r="X17" i="12" s="1"/>
  <c r="Z17" i="12" s="1"/>
  <c r="H17" i="12"/>
  <c r="D17" i="12"/>
  <c r="B17" i="12"/>
  <c r="T16" i="12"/>
  <c r="P16" i="12"/>
  <c r="L16" i="12"/>
  <c r="N16" i="12" s="1"/>
  <c r="H16" i="12"/>
  <c r="D16" i="12"/>
  <c r="B16" i="12"/>
  <c r="X15" i="12"/>
  <c r="Z15" i="12" s="1"/>
  <c r="T15" i="12"/>
  <c r="P15" i="12"/>
  <c r="H15" i="12"/>
  <c r="L15" i="12" s="1"/>
  <c r="N15" i="12" s="1"/>
  <c r="D15" i="12"/>
  <c r="B15" i="12"/>
  <c r="T14" i="12"/>
  <c r="P14" i="12"/>
  <c r="L14" i="12"/>
  <c r="N14" i="12" s="1"/>
  <c r="H14" i="12"/>
  <c r="D14" i="12"/>
  <c r="B14" i="12"/>
  <c r="T13" i="12"/>
  <c r="P13" i="12"/>
  <c r="H13" i="12"/>
  <c r="D13" i="12"/>
  <c r="B13" i="12"/>
  <c r="D4" i="12"/>
  <c r="Z169" i="11"/>
  <c r="X169" i="11"/>
  <c r="L169" i="11"/>
  <c r="N169" i="11" s="1"/>
  <c r="X165" i="11"/>
  <c r="T165" i="11"/>
  <c r="P165" i="11"/>
  <c r="H165" i="11"/>
  <c r="D165" i="11"/>
  <c r="B165" i="11"/>
  <c r="X164" i="11"/>
  <c r="Z164" i="11" s="1"/>
  <c r="T164" i="11"/>
  <c r="P164" i="11"/>
  <c r="L164" i="11"/>
  <c r="N164" i="11" s="1"/>
  <c r="H164" i="11"/>
  <c r="D164" i="11"/>
  <c r="B164" i="11"/>
  <c r="X163" i="11"/>
  <c r="T163" i="11"/>
  <c r="Z163" i="11" s="1"/>
  <c r="P163" i="11"/>
  <c r="L163" i="11"/>
  <c r="H163" i="11"/>
  <c r="D163" i="11"/>
  <c r="D162" i="11" s="1"/>
  <c r="B163" i="11"/>
  <c r="P162" i="11"/>
  <c r="X160" i="11"/>
  <c r="Z160" i="11" s="1"/>
  <c r="L160" i="11"/>
  <c r="N160" i="11" s="1"/>
  <c r="B160" i="11"/>
  <c r="Z159" i="11"/>
  <c r="T159" i="11"/>
  <c r="P159" i="11"/>
  <c r="X159" i="11" s="1"/>
  <c r="L159" i="11"/>
  <c r="H159" i="11"/>
  <c r="N159" i="11" s="1"/>
  <c r="D159" i="11"/>
  <c r="B159" i="11"/>
  <c r="Z158" i="11"/>
  <c r="X158" i="11"/>
  <c r="N158" i="11"/>
  <c r="L158" i="11"/>
  <c r="B158" i="11"/>
  <c r="X157" i="11"/>
  <c r="T157" i="11"/>
  <c r="Z157" i="11" s="1"/>
  <c r="P157" i="11"/>
  <c r="L157" i="11"/>
  <c r="H157" i="11"/>
  <c r="N157" i="11" s="1"/>
  <c r="D157" i="11"/>
  <c r="B157" i="11"/>
  <c r="Z156" i="11"/>
  <c r="X156" i="11"/>
  <c r="N156" i="11"/>
  <c r="L156" i="11"/>
  <c r="B156" i="11"/>
  <c r="X155" i="11"/>
  <c r="T155" i="11"/>
  <c r="Z155" i="11" s="1"/>
  <c r="P155" i="11"/>
  <c r="H155" i="11"/>
  <c r="N155" i="11" s="1"/>
  <c r="D155" i="11"/>
  <c r="B155" i="11"/>
  <c r="X154" i="11"/>
  <c r="Z154" i="11" s="1"/>
  <c r="N154" i="11"/>
  <c r="L154" i="11"/>
  <c r="B154" i="11"/>
  <c r="T153" i="11"/>
  <c r="P153" i="11"/>
  <c r="N153" i="11"/>
  <c r="H153" i="11"/>
  <c r="D153" i="11"/>
  <c r="L153" i="11" s="1"/>
  <c r="B153" i="11"/>
  <c r="X152" i="11"/>
  <c r="Z152" i="11" s="1"/>
  <c r="L152" i="11"/>
  <c r="N152" i="11" s="1"/>
  <c r="B152" i="11"/>
  <c r="Z151" i="11"/>
  <c r="X151" i="11"/>
  <c r="N151" i="11"/>
  <c r="L151" i="11"/>
  <c r="B151" i="11"/>
  <c r="X150" i="11"/>
  <c r="Z150" i="11" s="1"/>
  <c r="N150" i="11"/>
  <c r="L150" i="11"/>
  <c r="B150" i="11"/>
  <c r="Z149" i="11"/>
  <c r="X149" i="11"/>
  <c r="N149" i="11"/>
  <c r="L149" i="11"/>
  <c r="B149" i="11"/>
  <c r="X148" i="11"/>
  <c r="Z148" i="11" s="1"/>
  <c r="N148" i="11"/>
  <c r="L148" i="11"/>
  <c r="B148" i="11"/>
  <c r="X147" i="11"/>
  <c r="Z147" i="11" s="1"/>
  <c r="N147" i="11"/>
  <c r="L147" i="11"/>
  <c r="B147" i="11"/>
  <c r="T146" i="11"/>
  <c r="P146" i="11"/>
  <c r="X146" i="11" s="1"/>
  <c r="Z146" i="11" s="1"/>
  <c r="H146" i="11"/>
  <c r="D146" i="11"/>
  <c r="L146" i="11" s="1"/>
  <c r="N146" i="11" s="1"/>
  <c r="B146" i="11"/>
  <c r="Z145" i="11"/>
  <c r="X145" i="11"/>
  <c r="N145" i="11"/>
  <c r="L145" i="11"/>
  <c r="B145" i="11"/>
  <c r="X144" i="11"/>
  <c r="Z144" i="11" s="1"/>
  <c r="N144" i="11"/>
  <c r="L144" i="11"/>
  <c r="B144" i="11"/>
  <c r="X143" i="11"/>
  <c r="T143" i="11"/>
  <c r="Z143" i="11" s="1"/>
  <c r="P143" i="11"/>
  <c r="H143" i="11"/>
  <c r="N143" i="11" s="1"/>
  <c r="D143" i="11"/>
  <c r="L143" i="11" s="1"/>
  <c r="B143" i="11"/>
  <c r="X142" i="11"/>
  <c r="Z142" i="11" s="1"/>
  <c r="N142" i="11"/>
  <c r="L142" i="11"/>
  <c r="B142" i="11"/>
  <c r="Z141" i="11"/>
  <c r="X141" i="11"/>
  <c r="L141" i="11"/>
  <c r="N141" i="11" s="1"/>
  <c r="B141" i="11"/>
  <c r="X140" i="11"/>
  <c r="Z140" i="11" s="1"/>
  <c r="N140" i="11"/>
  <c r="L140" i="11"/>
  <c r="B140" i="11"/>
  <c r="X139" i="11"/>
  <c r="T139" i="11"/>
  <c r="P139" i="11"/>
  <c r="H139" i="11"/>
  <c r="D139" i="11"/>
  <c r="B139" i="11"/>
  <c r="Z138" i="11"/>
  <c r="X138" i="11"/>
  <c r="N138" i="11"/>
  <c r="L138" i="11"/>
  <c r="B138" i="11"/>
  <c r="Z137" i="11"/>
  <c r="X137" i="11"/>
  <c r="N137" i="11"/>
  <c r="L137" i="11"/>
  <c r="B137" i="11"/>
  <c r="T136" i="11"/>
  <c r="P136" i="11"/>
  <c r="X136" i="11" s="1"/>
  <c r="Z136" i="11" s="1"/>
  <c r="N136" i="11"/>
  <c r="L136" i="11"/>
  <c r="H136" i="11"/>
  <c r="D136" i="11"/>
  <c r="B136" i="11"/>
  <c r="Z135" i="11"/>
  <c r="X135" i="11"/>
  <c r="L135" i="11"/>
  <c r="N135" i="11" s="1"/>
  <c r="B135" i="11"/>
  <c r="X134" i="11"/>
  <c r="Z134" i="11" s="1"/>
  <c r="N134" i="11"/>
  <c r="L134" i="11"/>
  <c r="B134" i="11"/>
  <c r="Z133" i="11"/>
  <c r="X133" i="11"/>
  <c r="N133" i="11"/>
  <c r="L133" i="11"/>
  <c r="B133" i="11"/>
  <c r="T132" i="11"/>
  <c r="Z132" i="11" s="1"/>
  <c r="P132" i="11"/>
  <c r="X132" i="11" s="1"/>
  <c r="L132" i="11"/>
  <c r="N132" i="11" s="1"/>
  <c r="H132" i="11"/>
  <c r="D132" i="11"/>
  <c r="B132" i="11"/>
  <c r="Z131" i="11"/>
  <c r="X131" i="11"/>
  <c r="L131" i="11"/>
  <c r="N131" i="11" s="1"/>
  <c r="B131" i="11"/>
  <c r="X130" i="11"/>
  <c r="Z130" i="11" s="1"/>
  <c r="T130" i="11"/>
  <c r="P130" i="11"/>
  <c r="L130" i="11"/>
  <c r="N130" i="11" s="1"/>
  <c r="H130" i="11"/>
  <c r="D130" i="11"/>
  <c r="B130" i="11"/>
  <c r="X129" i="11"/>
  <c r="Z129" i="11" s="1"/>
  <c r="N129" i="11"/>
  <c r="L129" i="11"/>
  <c r="B129" i="11"/>
  <c r="X128" i="11"/>
  <c r="Z128" i="11" s="1"/>
  <c r="T128" i="11"/>
  <c r="P128" i="11"/>
  <c r="N128" i="11"/>
  <c r="H128" i="11"/>
  <c r="D128" i="11"/>
  <c r="L128" i="11" s="1"/>
  <c r="B128" i="11"/>
  <c r="Z127" i="11"/>
  <c r="X127" i="11"/>
  <c r="N127" i="11"/>
  <c r="L127" i="11"/>
  <c r="B127" i="11"/>
  <c r="Z126" i="11"/>
  <c r="X126" i="11"/>
  <c r="L126" i="11"/>
  <c r="N126" i="11" s="1"/>
  <c r="B126" i="11"/>
  <c r="X125" i="11"/>
  <c r="T125" i="11"/>
  <c r="Z125" i="11" s="1"/>
  <c r="P125" i="11"/>
  <c r="L125" i="11"/>
  <c r="H125" i="11"/>
  <c r="D125" i="11"/>
  <c r="B125" i="11"/>
  <c r="X124" i="11"/>
  <c r="Z124" i="11" s="1"/>
  <c r="L124" i="11"/>
  <c r="N124" i="11" s="1"/>
  <c r="B124" i="11"/>
  <c r="X123" i="11"/>
  <c r="T123" i="11"/>
  <c r="Z123" i="11" s="1"/>
  <c r="P123" i="11"/>
  <c r="H123" i="11"/>
  <c r="D123" i="11"/>
  <c r="L123" i="11" s="1"/>
  <c r="B123" i="11"/>
  <c r="X122" i="11"/>
  <c r="Z122" i="11" s="1"/>
  <c r="N122" i="11"/>
  <c r="L122" i="11"/>
  <c r="B122" i="11"/>
  <c r="T121" i="11"/>
  <c r="P121" i="11"/>
  <c r="X121" i="11" s="1"/>
  <c r="N121" i="11"/>
  <c r="H121" i="11"/>
  <c r="D121" i="11"/>
  <c r="L121" i="11" s="1"/>
  <c r="B121" i="11"/>
  <c r="X120" i="11"/>
  <c r="Z120" i="11" s="1"/>
  <c r="N120" i="11"/>
  <c r="L120" i="11"/>
  <c r="B120" i="11"/>
  <c r="Z119" i="11"/>
  <c r="X119" i="11"/>
  <c r="L119" i="11"/>
  <c r="N119" i="11" s="1"/>
  <c r="B119" i="11"/>
  <c r="X118" i="11"/>
  <c r="Z118" i="11" s="1"/>
  <c r="T118" i="11"/>
  <c r="P118" i="11"/>
  <c r="L118" i="11"/>
  <c r="N118" i="11" s="1"/>
  <c r="H118" i="11"/>
  <c r="D118" i="11"/>
  <c r="B118" i="11"/>
  <c r="Z117" i="11"/>
  <c r="X117" i="11"/>
  <c r="N117" i="11"/>
  <c r="L117" i="11"/>
  <c r="B117" i="11"/>
  <c r="Z116" i="11"/>
  <c r="X116" i="11"/>
  <c r="T116" i="11"/>
  <c r="P116" i="11"/>
  <c r="H116" i="11"/>
  <c r="N116" i="11" s="1"/>
  <c r="D116" i="11"/>
  <c r="B116" i="11"/>
  <c r="Z115" i="11"/>
  <c r="X115" i="11"/>
  <c r="N115" i="11"/>
  <c r="L115" i="11"/>
  <c r="B115" i="11"/>
  <c r="Z114" i="11"/>
  <c r="T114" i="11"/>
  <c r="P114" i="11"/>
  <c r="X114" i="11" s="1"/>
  <c r="H114" i="11"/>
  <c r="N114" i="11" s="1"/>
  <c r="D114" i="11"/>
  <c r="L114" i="11" s="1"/>
  <c r="B114" i="11"/>
  <c r="Z113" i="11"/>
  <c r="X113" i="11"/>
  <c r="N113" i="11"/>
  <c r="L113" i="11"/>
  <c r="B113" i="11"/>
  <c r="Z112" i="11"/>
  <c r="X112" i="11"/>
  <c r="N112" i="11"/>
  <c r="L112" i="11"/>
  <c r="B112" i="11"/>
  <c r="X111" i="11"/>
  <c r="T111" i="11"/>
  <c r="Z111" i="11" s="1"/>
  <c r="P111" i="11"/>
  <c r="H111" i="11"/>
  <c r="N111" i="11" s="1"/>
  <c r="D111" i="11"/>
  <c r="B111" i="11"/>
  <c r="X110" i="11"/>
  <c r="Z110" i="11" s="1"/>
  <c r="N110" i="11"/>
  <c r="L110" i="11"/>
  <c r="B110" i="11"/>
  <c r="T109" i="11"/>
  <c r="P109" i="11"/>
  <c r="H109" i="11"/>
  <c r="D109" i="11"/>
  <c r="L109" i="11" s="1"/>
  <c r="N109" i="11" s="1"/>
  <c r="B109" i="11"/>
  <c r="X108" i="11"/>
  <c r="Z108" i="11" s="1"/>
  <c r="L108" i="11"/>
  <c r="N108" i="11" s="1"/>
  <c r="B108" i="11"/>
  <c r="T107" i="11"/>
  <c r="P107" i="11"/>
  <c r="X107" i="11" s="1"/>
  <c r="Z107" i="11" s="1"/>
  <c r="L107" i="11"/>
  <c r="H107" i="11"/>
  <c r="N107" i="11" s="1"/>
  <c r="D107" i="11"/>
  <c r="B107" i="11"/>
  <c r="Z106" i="11"/>
  <c r="X106" i="11"/>
  <c r="L106" i="11"/>
  <c r="N106" i="11" s="1"/>
  <c r="B106" i="11"/>
  <c r="X105" i="11"/>
  <c r="T105" i="11"/>
  <c r="Z105" i="11" s="1"/>
  <c r="P105" i="11"/>
  <c r="L105" i="11"/>
  <c r="H105" i="11"/>
  <c r="N105" i="11" s="1"/>
  <c r="D105" i="11"/>
  <c r="B105" i="11"/>
  <c r="X104" i="11"/>
  <c r="Z104" i="11" s="1"/>
  <c r="L104" i="11"/>
  <c r="N104" i="11" s="1"/>
  <c r="B104" i="11"/>
  <c r="X103" i="11"/>
  <c r="Z103" i="11" s="1"/>
  <c r="N103" i="11"/>
  <c r="L103" i="11"/>
  <c r="B103" i="11"/>
  <c r="Z102" i="11"/>
  <c r="X102" i="11"/>
  <c r="L102" i="11"/>
  <c r="N102" i="11" s="1"/>
  <c r="B102" i="11"/>
  <c r="X101" i="11"/>
  <c r="Z101" i="11" s="1"/>
  <c r="N101" i="11"/>
  <c r="L101" i="11"/>
  <c r="B101" i="11"/>
  <c r="X100" i="11"/>
  <c r="Z100" i="11" s="1"/>
  <c r="L100" i="11"/>
  <c r="N100" i="11" s="1"/>
  <c r="B100" i="11"/>
  <c r="Z99" i="11"/>
  <c r="X99" i="11"/>
  <c r="L99" i="11"/>
  <c r="N99" i="11" s="1"/>
  <c r="B99" i="11"/>
  <c r="X98" i="11"/>
  <c r="Z98" i="11" s="1"/>
  <c r="T98" i="11"/>
  <c r="P98" i="11"/>
  <c r="L98" i="11"/>
  <c r="N98" i="11" s="1"/>
  <c r="H98" i="11"/>
  <c r="D98" i="11"/>
  <c r="B98" i="11"/>
  <c r="X97" i="11"/>
  <c r="Z97" i="11" s="1"/>
  <c r="N97" i="11"/>
  <c r="L97" i="11"/>
  <c r="B97" i="11"/>
  <c r="X96" i="11"/>
  <c r="Z96" i="11" s="1"/>
  <c r="L96" i="11"/>
  <c r="N96" i="11" s="1"/>
  <c r="B96" i="11"/>
  <c r="Z95" i="11"/>
  <c r="X95" i="11"/>
  <c r="L95" i="11"/>
  <c r="N95" i="11" s="1"/>
  <c r="B95" i="11"/>
  <c r="X94" i="11"/>
  <c r="Z94" i="11" s="1"/>
  <c r="N94" i="11"/>
  <c r="L94" i="11"/>
  <c r="B94" i="11"/>
  <c r="Z93" i="11"/>
  <c r="X93" i="11"/>
  <c r="L93" i="11"/>
  <c r="N93" i="11" s="1"/>
  <c r="B93" i="11"/>
  <c r="X92" i="11"/>
  <c r="Z92" i="11" s="1"/>
  <c r="L92" i="11"/>
  <c r="N92" i="11" s="1"/>
  <c r="B92" i="11"/>
  <c r="X91" i="11"/>
  <c r="Z91" i="11" s="1"/>
  <c r="N91" i="11"/>
  <c r="L91" i="11"/>
  <c r="B91" i="11"/>
  <c r="Z90" i="11"/>
  <c r="X90" i="11"/>
  <c r="L90" i="11"/>
  <c r="N90" i="11" s="1"/>
  <c r="B90" i="11"/>
  <c r="X89" i="11"/>
  <c r="T89" i="11"/>
  <c r="Z89" i="11" s="1"/>
  <c r="P89" i="11"/>
  <c r="L89" i="11"/>
  <c r="H89" i="11"/>
  <c r="N89" i="11" s="1"/>
  <c r="D89" i="11"/>
  <c r="B89" i="11"/>
  <c r="T88" i="11" a="1"/>
  <c r="T88" i="11"/>
  <c r="Z88" i="11" s="1"/>
  <c r="P88" i="11" a="1"/>
  <c r="P88" i="11"/>
  <c r="X88" i="11" s="1"/>
  <c r="H88" i="11" a="1"/>
  <c r="H88" i="11"/>
  <c r="N88" i="11" s="1"/>
  <c r="D88" i="11" a="1"/>
  <c r="D88" i="11"/>
  <c r="L88" i="11" s="1"/>
  <c r="X84" i="11"/>
  <c r="Z84" i="11" s="1"/>
  <c r="L84" i="11"/>
  <c r="N84" i="11" s="1"/>
  <c r="B84" i="11"/>
  <c r="Z83" i="11"/>
  <c r="X83" i="11"/>
  <c r="L83" i="11"/>
  <c r="N83" i="11" s="1"/>
  <c r="B83" i="11"/>
  <c r="X82" i="11"/>
  <c r="Z82" i="11" s="1"/>
  <c r="N82" i="11"/>
  <c r="L82" i="11"/>
  <c r="B82" i="11"/>
  <c r="Z81" i="11"/>
  <c r="X81" i="11"/>
  <c r="N81" i="11"/>
  <c r="L81" i="11"/>
  <c r="B81" i="11"/>
  <c r="X80" i="11"/>
  <c r="Z80" i="11" s="1"/>
  <c r="L80" i="11"/>
  <c r="N80" i="11" s="1"/>
  <c r="B80" i="11"/>
  <c r="X79" i="11"/>
  <c r="Z79" i="11" s="1"/>
  <c r="N79" i="11"/>
  <c r="L79" i="11"/>
  <c r="B79" i="11"/>
  <c r="Z78" i="11"/>
  <c r="X78" i="11"/>
  <c r="L78" i="11"/>
  <c r="N78" i="11" s="1"/>
  <c r="B78" i="11"/>
  <c r="X77" i="11"/>
  <c r="Z77" i="11" s="1"/>
  <c r="N77" i="11"/>
  <c r="L77" i="11"/>
  <c r="B77" i="11"/>
  <c r="Z76" i="11"/>
  <c r="X76" i="11"/>
  <c r="N76" i="11"/>
  <c r="L76" i="11"/>
  <c r="B76" i="11"/>
  <c r="Z75" i="11"/>
  <c r="X75" i="11"/>
  <c r="N75" i="11"/>
  <c r="L75" i="11"/>
  <c r="B75" i="11"/>
  <c r="X74" i="11"/>
  <c r="Z74" i="11" s="1"/>
  <c r="N74" i="11"/>
  <c r="L74" i="11"/>
  <c r="B74" i="11"/>
  <c r="Z73" i="11"/>
  <c r="X73" i="11"/>
  <c r="L73" i="11"/>
  <c r="N73" i="11" s="1"/>
  <c r="B73" i="11"/>
  <c r="X72" i="11"/>
  <c r="Z72" i="11" s="1"/>
  <c r="L72" i="11"/>
  <c r="N72" i="11" s="1"/>
  <c r="B72" i="11"/>
  <c r="X71" i="11"/>
  <c r="Z71" i="11" s="1"/>
  <c r="N71" i="11"/>
  <c r="L71" i="11"/>
  <c r="B71" i="11"/>
  <c r="Z70" i="11"/>
  <c r="X70" i="11"/>
  <c r="L70" i="11"/>
  <c r="N70" i="11" s="1"/>
  <c r="B70" i="11"/>
  <c r="X69" i="11"/>
  <c r="Z69" i="11" s="1"/>
  <c r="N69" i="11"/>
  <c r="L69" i="11"/>
  <c r="B69" i="11"/>
  <c r="X68" i="11"/>
  <c r="Z68" i="11" s="1"/>
  <c r="L68" i="11"/>
  <c r="N68" i="11" s="1"/>
  <c r="B68" i="11"/>
  <c r="Z67" i="11"/>
  <c r="X67" i="11"/>
  <c r="L67" i="11"/>
  <c r="N67" i="11" s="1"/>
  <c r="B67" i="11"/>
  <c r="X66" i="11"/>
  <c r="Z66" i="11" s="1"/>
  <c r="N66" i="11"/>
  <c r="L66" i="11"/>
  <c r="B66" i="11"/>
  <c r="Z65" i="11"/>
  <c r="X65" i="11"/>
  <c r="L65" i="11"/>
  <c r="N65" i="11" s="1"/>
  <c r="B65" i="11"/>
  <c r="X64" i="11"/>
  <c r="Z64" i="11" s="1"/>
  <c r="L64" i="11"/>
  <c r="N64" i="11" s="1"/>
  <c r="B64" i="11"/>
  <c r="X63" i="11"/>
  <c r="Z63" i="11" s="1"/>
  <c r="N63" i="11"/>
  <c r="L63" i="11"/>
  <c r="B63" i="11"/>
  <c r="Z62" i="11"/>
  <c r="X62" i="11"/>
  <c r="L62" i="11"/>
  <c r="N62" i="11" s="1"/>
  <c r="B62" i="11"/>
  <c r="X61" i="11"/>
  <c r="Z61" i="11" s="1"/>
  <c r="N61" i="11"/>
  <c r="L61" i="11"/>
  <c r="B61" i="11"/>
  <c r="X60" i="11"/>
  <c r="Z60" i="11" s="1"/>
  <c r="L60" i="11"/>
  <c r="N60" i="11" s="1"/>
  <c r="B60" i="11"/>
  <c r="Z59" i="11"/>
  <c r="X59" i="11"/>
  <c r="N59" i="11"/>
  <c r="L59" i="11"/>
  <c r="B59" i="11"/>
  <c r="Z58" i="11"/>
  <c r="X58" i="11"/>
  <c r="N58" i="11"/>
  <c r="L58" i="11"/>
  <c r="B58" i="11"/>
  <c r="T57" i="11"/>
  <c r="P57" i="11"/>
  <c r="N57" i="11"/>
  <c r="H57" i="11"/>
  <c r="D57" i="11"/>
  <c r="L57" i="11" s="1"/>
  <c r="T55" i="11"/>
  <c r="P55" i="11"/>
  <c r="N55" i="11"/>
  <c r="H55" i="11"/>
  <c r="D55" i="11"/>
  <c r="L55" i="11" s="1"/>
  <c r="B55" i="11"/>
  <c r="X54" i="11"/>
  <c r="Z54" i="11" s="1"/>
  <c r="T54" i="11"/>
  <c r="P54" i="11"/>
  <c r="H54" i="11"/>
  <c r="D54" i="11"/>
  <c r="B54" i="11"/>
  <c r="T53" i="11"/>
  <c r="X53" i="11" s="1"/>
  <c r="Z53" i="11" s="1"/>
  <c r="P53" i="11"/>
  <c r="L53" i="11"/>
  <c r="N53" i="11" s="1"/>
  <c r="H53" i="11"/>
  <c r="D53" i="11"/>
  <c r="B53" i="11"/>
  <c r="X52" i="11"/>
  <c r="Z52" i="11" s="1"/>
  <c r="T52" i="11"/>
  <c r="P52" i="11"/>
  <c r="N52" i="11"/>
  <c r="H52" i="11"/>
  <c r="D52" i="11"/>
  <c r="L52" i="11" s="1"/>
  <c r="B52" i="11"/>
  <c r="T51" i="11"/>
  <c r="P51" i="11"/>
  <c r="X51" i="11" s="1"/>
  <c r="Z51" i="11" s="1"/>
  <c r="H51" i="11"/>
  <c r="D51" i="11"/>
  <c r="B51" i="11"/>
  <c r="T50" i="11"/>
  <c r="P50" i="11"/>
  <c r="N50" i="11"/>
  <c r="L50" i="11"/>
  <c r="H50" i="11"/>
  <c r="D50" i="11"/>
  <c r="B50" i="11"/>
  <c r="X49" i="11"/>
  <c r="Z49" i="11" s="1"/>
  <c r="T49" i="11"/>
  <c r="P49" i="11"/>
  <c r="N49" i="11"/>
  <c r="H49" i="11"/>
  <c r="L49" i="11" s="1"/>
  <c r="D49" i="11"/>
  <c r="B49" i="11"/>
  <c r="Z48" i="11"/>
  <c r="T48" i="11"/>
  <c r="P48" i="11"/>
  <c r="X48" i="11" s="1"/>
  <c r="L48" i="11"/>
  <c r="N48" i="11" s="1"/>
  <c r="H48" i="11"/>
  <c r="D48" i="11"/>
  <c r="B48" i="11"/>
  <c r="T47" i="11"/>
  <c r="P47" i="11"/>
  <c r="H47" i="11"/>
  <c r="D47" i="11"/>
  <c r="L47" i="11" s="1"/>
  <c r="N47" i="11" s="1"/>
  <c r="B47" i="11"/>
  <c r="X46" i="11"/>
  <c r="Z46" i="11" s="1"/>
  <c r="T46" i="11"/>
  <c r="P46" i="11"/>
  <c r="H46" i="11"/>
  <c r="D46" i="11"/>
  <c r="B46" i="11"/>
  <c r="Z45" i="11"/>
  <c r="T45" i="11"/>
  <c r="X45" i="11" s="1"/>
  <c r="P45" i="11"/>
  <c r="H45" i="11"/>
  <c r="D45" i="11"/>
  <c r="L45" i="11" s="1"/>
  <c r="N45" i="11" s="1"/>
  <c r="B45" i="11"/>
  <c r="X44" i="11"/>
  <c r="Z44" i="11" s="1"/>
  <c r="T44" i="11"/>
  <c r="P44" i="11"/>
  <c r="N44" i="11"/>
  <c r="H44" i="11"/>
  <c r="D44" i="11"/>
  <c r="L44" i="11" s="1"/>
  <c r="B44" i="11"/>
  <c r="T43" i="11"/>
  <c r="P43" i="11"/>
  <c r="X43" i="11" s="1"/>
  <c r="Z43" i="11" s="1"/>
  <c r="L43" i="11"/>
  <c r="H43" i="11"/>
  <c r="D43" i="11"/>
  <c r="B43" i="11"/>
  <c r="T42" i="11"/>
  <c r="P42" i="11"/>
  <c r="N42" i="11"/>
  <c r="L42" i="11"/>
  <c r="H42" i="11"/>
  <c r="D42" i="11"/>
  <c r="B42" i="11"/>
  <c r="T41" i="11"/>
  <c r="P41" i="11"/>
  <c r="X41" i="11" s="1"/>
  <c r="Z41" i="11" s="1"/>
  <c r="N41" i="11"/>
  <c r="H41" i="11"/>
  <c r="L41" i="11" s="1"/>
  <c r="D41" i="11"/>
  <c r="B41" i="11"/>
  <c r="Z40" i="11"/>
  <c r="T40" i="11"/>
  <c r="P40" i="11"/>
  <c r="X40" i="11" s="1"/>
  <c r="N40" i="11"/>
  <c r="L40" i="11"/>
  <c r="H40" i="11"/>
  <c r="D40" i="11"/>
  <c r="B40" i="11"/>
  <c r="X39" i="11"/>
  <c r="T39" i="11"/>
  <c r="P39" i="11"/>
  <c r="H39" i="11"/>
  <c r="D39" i="11"/>
  <c r="L39" i="11" s="1"/>
  <c r="N39" i="11" s="1"/>
  <c r="B39" i="11"/>
  <c r="Z38" i="11"/>
  <c r="X38" i="11"/>
  <c r="T38" i="11"/>
  <c r="P38" i="11"/>
  <c r="H38" i="11"/>
  <c r="D38" i="11"/>
  <c r="B38" i="11"/>
  <c r="T37" i="11"/>
  <c r="X37" i="11" s="1"/>
  <c r="Z37" i="11" s="1"/>
  <c r="P37" i="11"/>
  <c r="L37" i="11"/>
  <c r="N37" i="11" s="1"/>
  <c r="H37" i="11"/>
  <c r="D37" i="11"/>
  <c r="B37" i="11"/>
  <c r="X36" i="11"/>
  <c r="Z36" i="11" s="1"/>
  <c r="T36" i="11"/>
  <c r="P36" i="11"/>
  <c r="H36" i="11"/>
  <c r="D36" i="11"/>
  <c r="B36" i="11"/>
  <c r="T35" i="11"/>
  <c r="P35" i="11"/>
  <c r="X35" i="11" s="1"/>
  <c r="Z35" i="11" s="1"/>
  <c r="H35" i="11"/>
  <c r="D35" i="11"/>
  <c r="B35" i="11"/>
  <c r="T34" i="11"/>
  <c r="P34" i="11"/>
  <c r="L34" i="11"/>
  <c r="N34" i="11" s="1"/>
  <c r="H34" i="11"/>
  <c r="D34" i="11"/>
  <c r="B34" i="11"/>
  <c r="X33" i="11"/>
  <c r="Z33" i="11" s="1"/>
  <c r="T33" i="11"/>
  <c r="P33" i="11"/>
  <c r="N33" i="11"/>
  <c r="H33" i="11"/>
  <c r="L33" i="11" s="1"/>
  <c r="D33" i="11"/>
  <c r="B33" i="11"/>
  <c r="T32" i="11"/>
  <c r="P32" i="11"/>
  <c r="N32" i="11"/>
  <c r="L32" i="11"/>
  <c r="H32" i="11"/>
  <c r="D32" i="11"/>
  <c r="B32" i="11"/>
  <c r="T31" i="11"/>
  <c r="P31" i="11"/>
  <c r="N31" i="11"/>
  <c r="H31" i="11"/>
  <c r="D31" i="11"/>
  <c r="L31" i="11" s="1"/>
  <c r="B31" i="11"/>
  <c r="Z30" i="11"/>
  <c r="X30" i="11"/>
  <c r="T30" i="11"/>
  <c r="P30" i="11"/>
  <c r="H30" i="11"/>
  <c r="D30" i="11"/>
  <c r="B30" i="11"/>
  <c r="T29" i="11"/>
  <c r="X29" i="11" s="1"/>
  <c r="Z29" i="11" s="1"/>
  <c r="P29" i="11"/>
  <c r="L29" i="11"/>
  <c r="N29" i="11" s="1"/>
  <c r="H29" i="11"/>
  <c r="D29" i="11"/>
  <c r="B29" i="11"/>
  <c r="X28" i="11"/>
  <c r="Z28" i="11" s="1"/>
  <c r="T28" i="11"/>
  <c r="P28" i="11"/>
  <c r="H28" i="11"/>
  <c r="N28" i="11" s="1"/>
  <c r="D28" i="11"/>
  <c r="B28" i="11"/>
  <c r="T27" i="11"/>
  <c r="P27" i="11"/>
  <c r="X27" i="11" s="1"/>
  <c r="Z27" i="11" s="1"/>
  <c r="H27" i="11"/>
  <c r="D27" i="11"/>
  <c r="B27" i="11"/>
  <c r="T26" i="11"/>
  <c r="P26" i="11"/>
  <c r="N26" i="11"/>
  <c r="L26" i="11"/>
  <c r="H26" i="11"/>
  <c r="D26" i="11"/>
  <c r="B26" i="11"/>
  <c r="Z25" i="11"/>
  <c r="T25" i="11"/>
  <c r="P25" i="11"/>
  <c r="X25" i="11" s="1"/>
  <c r="N25" i="11"/>
  <c r="H25" i="11"/>
  <c r="L25" i="11" s="1"/>
  <c r="D25" i="11"/>
  <c r="B25" i="11"/>
  <c r="Z24" i="11"/>
  <c r="T24" i="11"/>
  <c r="P24" i="11"/>
  <c r="X24" i="11" s="1"/>
  <c r="L24" i="11"/>
  <c r="N24" i="11" s="1"/>
  <c r="H24" i="11"/>
  <c r="D24" i="11"/>
  <c r="B24" i="11"/>
  <c r="T23" i="11"/>
  <c r="P23" i="11"/>
  <c r="H23" i="11"/>
  <c r="D23" i="11"/>
  <c r="L23" i="11" s="1"/>
  <c r="N23" i="11" s="1"/>
  <c r="B23" i="11"/>
  <c r="X22" i="11"/>
  <c r="Z22" i="11" s="1"/>
  <c r="T22" i="11"/>
  <c r="P22" i="11"/>
  <c r="H22" i="11"/>
  <c r="D22" i="11"/>
  <c r="B22" i="11"/>
  <c r="Z21" i="11"/>
  <c r="T21" i="11"/>
  <c r="X21" i="11" s="1"/>
  <c r="P21" i="11"/>
  <c r="L21" i="11"/>
  <c r="N21" i="11" s="1"/>
  <c r="H21" i="11"/>
  <c r="D21" i="11"/>
  <c r="B21" i="11"/>
  <c r="X20" i="11"/>
  <c r="Z20" i="11" s="1"/>
  <c r="T20" i="11"/>
  <c r="P20" i="11"/>
  <c r="N20" i="11"/>
  <c r="H20" i="11"/>
  <c r="D20" i="11"/>
  <c r="L20" i="11" s="1"/>
  <c r="B20" i="11"/>
  <c r="T19" i="11"/>
  <c r="P19" i="11"/>
  <c r="X19" i="11" s="1"/>
  <c r="Z19" i="11" s="1"/>
  <c r="L19" i="11"/>
  <c r="H19" i="11"/>
  <c r="D19" i="11"/>
  <c r="B19" i="11"/>
  <c r="T18" i="11"/>
  <c r="P18" i="11"/>
  <c r="N18" i="11"/>
  <c r="L18" i="11"/>
  <c r="H18" i="11"/>
  <c r="D18" i="11"/>
  <c r="B18" i="11"/>
  <c r="X17" i="11"/>
  <c r="Z17" i="11" s="1"/>
  <c r="T17" i="11"/>
  <c r="P17" i="11"/>
  <c r="N17" i="11"/>
  <c r="H17" i="11"/>
  <c r="L17" i="11" s="1"/>
  <c r="D17" i="11"/>
  <c r="B17" i="11"/>
  <c r="Z16" i="11"/>
  <c r="T16" i="11"/>
  <c r="P16" i="11"/>
  <c r="X16" i="11" s="1"/>
  <c r="L16" i="11"/>
  <c r="N16" i="11" s="1"/>
  <c r="H16" i="11"/>
  <c r="D16" i="11"/>
  <c r="B16" i="11"/>
  <c r="T15" i="11"/>
  <c r="P15" i="11"/>
  <c r="H15" i="11"/>
  <c r="D15" i="11"/>
  <c r="L15" i="11" s="1"/>
  <c r="N15" i="11" s="1"/>
  <c r="B15" i="11"/>
  <c r="X14" i="11"/>
  <c r="Z14" i="11" s="1"/>
  <c r="T14" i="11"/>
  <c r="P14" i="11"/>
  <c r="P12" i="11" s="1"/>
  <c r="H14" i="11"/>
  <c r="D14" i="11"/>
  <c r="B14" i="11"/>
  <c r="Z13" i="11"/>
  <c r="T13" i="11"/>
  <c r="X13" i="11" s="1"/>
  <c r="P13" i="11"/>
  <c r="H13" i="11"/>
  <c r="D13" i="11"/>
  <c r="L13" i="11" s="1"/>
  <c r="N13" i="11" s="1"/>
  <c r="B13" i="11"/>
  <c r="D4" i="11"/>
  <c r="Z121" i="10"/>
  <c r="X121" i="10"/>
  <c r="L121" i="10"/>
  <c r="N121" i="10" s="1"/>
  <c r="X117" i="10"/>
  <c r="T117" i="10"/>
  <c r="P117" i="10"/>
  <c r="H117" i="10"/>
  <c r="D117" i="10"/>
  <c r="B117" i="10"/>
  <c r="T116" i="10"/>
  <c r="P116" i="10"/>
  <c r="X116" i="10" s="1"/>
  <c r="N116" i="10"/>
  <c r="L116" i="10"/>
  <c r="H116" i="10"/>
  <c r="D116" i="10"/>
  <c r="B116" i="10"/>
  <c r="T115" i="10"/>
  <c r="P115" i="10"/>
  <c r="L115" i="10"/>
  <c r="H115" i="10"/>
  <c r="N115" i="10" s="1"/>
  <c r="D115" i="10"/>
  <c r="B115" i="10"/>
  <c r="T114" i="10"/>
  <c r="D114" i="10"/>
  <c r="X112" i="10"/>
  <c r="Z112" i="10" s="1"/>
  <c r="N112" i="10"/>
  <c r="L112" i="10"/>
  <c r="B112" i="10"/>
  <c r="T111" i="10"/>
  <c r="P111" i="10"/>
  <c r="N111" i="10"/>
  <c r="H111" i="10"/>
  <c r="D111" i="10"/>
  <c r="L111" i="10" s="1"/>
  <c r="B111" i="10"/>
  <c r="Z110" i="10"/>
  <c r="X110" i="10"/>
  <c r="N110" i="10"/>
  <c r="L110" i="10"/>
  <c r="B110" i="10"/>
  <c r="Z109" i="10"/>
  <c r="T109" i="10"/>
  <c r="P109" i="10"/>
  <c r="X109" i="10" s="1"/>
  <c r="L109" i="10"/>
  <c r="H109" i="10"/>
  <c r="N109" i="10" s="1"/>
  <c r="D109" i="10"/>
  <c r="B109" i="10"/>
  <c r="Z108" i="10"/>
  <c r="X108" i="10"/>
  <c r="L108" i="10"/>
  <c r="N108" i="10" s="1"/>
  <c r="B108" i="10"/>
  <c r="X107" i="10"/>
  <c r="Z107" i="10" s="1"/>
  <c r="N107" i="10"/>
  <c r="L107" i="10"/>
  <c r="B107" i="10"/>
  <c r="Z106" i="10"/>
  <c r="X106" i="10"/>
  <c r="T106" i="10"/>
  <c r="P106" i="10"/>
  <c r="H106" i="10"/>
  <c r="D106" i="10"/>
  <c r="B106" i="10"/>
  <c r="X105" i="10"/>
  <c r="Z105" i="10" s="1"/>
  <c r="N105" i="10"/>
  <c r="L105" i="10"/>
  <c r="B105" i="10"/>
  <c r="Z104" i="10"/>
  <c r="X104" i="10"/>
  <c r="L104" i="10"/>
  <c r="N104" i="10" s="1"/>
  <c r="B104" i="10"/>
  <c r="X103" i="10"/>
  <c r="T103" i="10"/>
  <c r="P103" i="10"/>
  <c r="L103" i="10"/>
  <c r="H103" i="10"/>
  <c r="D103" i="10"/>
  <c r="B103" i="10"/>
  <c r="X102" i="10"/>
  <c r="Z102" i="10" s="1"/>
  <c r="N102" i="10"/>
  <c r="L102" i="10"/>
  <c r="B102" i="10"/>
  <c r="X101" i="10"/>
  <c r="Z101" i="10" s="1"/>
  <c r="N101" i="10"/>
  <c r="L101" i="10"/>
  <c r="B101" i="10"/>
  <c r="T100" i="10"/>
  <c r="Z100" i="10" s="1"/>
  <c r="P100" i="10"/>
  <c r="X100" i="10" s="1"/>
  <c r="H100" i="10"/>
  <c r="D100" i="10"/>
  <c r="L100" i="10" s="1"/>
  <c r="N100" i="10" s="1"/>
  <c r="B100" i="10"/>
  <c r="Z99" i="10"/>
  <c r="X99" i="10"/>
  <c r="N99" i="10"/>
  <c r="L99" i="10"/>
  <c r="B99" i="10"/>
  <c r="X98" i="10"/>
  <c r="Z98" i="10" s="1"/>
  <c r="L98" i="10"/>
  <c r="N98" i="10" s="1"/>
  <c r="B98" i="10"/>
  <c r="Z97" i="10"/>
  <c r="X97" i="10"/>
  <c r="N97" i="10"/>
  <c r="L97" i="10"/>
  <c r="B97" i="10"/>
  <c r="T96" i="10"/>
  <c r="P96" i="10"/>
  <c r="H96" i="10"/>
  <c r="D96" i="10"/>
  <c r="L96" i="10" s="1"/>
  <c r="N96" i="10" s="1"/>
  <c r="B96" i="10"/>
  <c r="Z95" i="10"/>
  <c r="X95" i="10"/>
  <c r="L95" i="10"/>
  <c r="N95" i="10" s="1"/>
  <c r="B95" i="10"/>
  <c r="Z94" i="10"/>
  <c r="T94" i="10"/>
  <c r="P94" i="10"/>
  <c r="X94" i="10" s="1"/>
  <c r="L94" i="10"/>
  <c r="N94" i="10" s="1"/>
  <c r="H94" i="10"/>
  <c r="D94" i="10"/>
  <c r="B94" i="10"/>
  <c r="Z93" i="10"/>
  <c r="X93" i="10"/>
  <c r="L93" i="10"/>
  <c r="N93" i="10" s="1"/>
  <c r="B93" i="10"/>
  <c r="X92" i="10"/>
  <c r="Z92" i="10" s="1"/>
  <c r="T92" i="10"/>
  <c r="P92" i="10"/>
  <c r="N92" i="10"/>
  <c r="L92" i="10"/>
  <c r="H92" i="10"/>
  <c r="D92" i="10"/>
  <c r="B92" i="10"/>
  <c r="X91" i="10"/>
  <c r="Z91" i="10" s="1"/>
  <c r="N91" i="10"/>
  <c r="L91" i="10"/>
  <c r="B91" i="10"/>
  <c r="X90" i="10"/>
  <c r="Z90" i="10" s="1"/>
  <c r="N90" i="10"/>
  <c r="L90" i="10"/>
  <c r="B90" i="10"/>
  <c r="Z89" i="10"/>
  <c r="T89" i="10"/>
  <c r="P89" i="10"/>
  <c r="X89" i="10" s="1"/>
  <c r="L89" i="10"/>
  <c r="H89" i="10"/>
  <c r="N89" i="10" s="1"/>
  <c r="D89" i="10"/>
  <c r="B89" i="10"/>
  <c r="Z88" i="10"/>
  <c r="X88" i="10"/>
  <c r="L88" i="10"/>
  <c r="N88" i="10" s="1"/>
  <c r="B88" i="10"/>
  <c r="X87" i="10"/>
  <c r="T87" i="10"/>
  <c r="Z87" i="10" s="1"/>
  <c r="P87" i="10"/>
  <c r="H87" i="10"/>
  <c r="D87" i="10"/>
  <c r="B87" i="10"/>
  <c r="X86" i="10"/>
  <c r="Z86" i="10" s="1"/>
  <c r="N86" i="10"/>
  <c r="L86" i="10"/>
  <c r="B86" i="10"/>
  <c r="T85" i="10"/>
  <c r="P85" i="10"/>
  <c r="H85" i="10"/>
  <c r="N85" i="10" s="1"/>
  <c r="D85" i="10"/>
  <c r="L85" i="10" s="1"/>
  <c r="B85" i="10"/>
  <c r="Z84" i="10"/>
  <c r="X84" i="10"/>
  <c r="N84" i="10"/>
  <c r="L84" i="10"/>
  <c r="B84" i="10"/>
  <c r="Z83" i="10"/>
  <c r="X83" i="10"/>
  <c r="N83" i="10"/>
  <c r="L83" i="10"/>
  <c r="B83" i="10"/>
  <c r="T82" i="10"/>
  <c r="Z82" i="10" s="1"/>
  <c r="P82" i="10"/>
  <c r="X82" i="10" s="1"/>
  <c r="N82" i="10"/>
  <c r="L82" i="10"/>
  <c r="H82" i="10"/>
  <c r="D82" i="10"/>
  <c r="B82" i="10"/>
  <c r="Z81" i="10"/>
  <c r="X81" i="10"/>
  <c r="N81" i="10"/>
  <c r="L81" i="10"/>
  <c r="B81" i="10"/>
  <c r="X80" i="10"/>
  <c r="Z80" i="10" s="1"/>
  <c r="T80" i="10"/>
  <c r="P80" i="10"/>
  <c r="N80" i="10"/>
  <c r="L80" i="10"/>
  <c r="H80" i="10"/>
  <c r="D80" i="10"/>
  <c r="B80" i="10"/>
  <c r="X79" i="10"/>
  <c r="Z79" i="10" s="1"/>
  <c r="N79" i="10"/>
  <c r="L79" i="10"/>
  <c r="B79" i="10"/>
  <c r="X78" i="10"/>
  <c r="Z78" i="10" s="1"/>
  <c r="L78" i="10"/>
  <c r="N78" i="10" s="1"/>
  <c r="B78" i="10"/>
  <c r="Z77" i="10"/>
  <c r="X77" i="10"/>
  <c r="N77" i="10"/>
  <c r="L77" i="10"/>
  <c r="B77" i="10"/>
  <c r="X76" i="10"/>
  <c r="Z76" i="10" s="1"/>
  <c r="N76" i="10"/>
  <c r="L76" i="10"/>
  <c r="B76" i="10"/>
  <c r="Z75" i="10"/>
  <c r="X75" i="10"/>
  <c r="L75" i="10"/>
  <c r="N75" i="10" s="1"/>
  <c r="B75" i="10"/>
  <c r="X74" i="10"/>
  <c r="Z74" i="10" s="1"/>
  <c r="N74" i="10"/>
  <c r="L74" i="10"/>
  <c r="B74" i="10"/>
  <c r="X73" i="10"/>
  <c r="Z73" i="10" s="1"/>
  <c r="N73" i="10"/>
  <c r="L73" i="10"/>
  <c r="B73" i="10"/>
  <c r="T72" i="10"/>
  <c r="P72" i="10"/>
  <c r="H72" i="10"/>
  <c r="D72" i="10"/>
  <c r="L72" i="10" s="1"/>
  <c r="B72" i="10"/>
  <c r="Z71" i="10"/>
  <c r="X71" i="10"/>
  <c r="L71" i="10"/>
  <c r="N71" i="10" s="1"/>
  <c r="B71" i="10"/>
  <c r="X70" i="10"/>
  <c r="Z70" i="10" s="1"/>
  <c r="L70" i="10"/>
  <c r="N70" i="10" s="1"/>
  <c r="B70" i="10"/>
  <c r="X69" i="10"/>
  <c r="Z69" i="10" s="1"/>
  <c r="N69" i="10"/>
  <c r="L69" i="10"/>
  <c r="B69" i="10"/>
  <c r="Z68" i="10"/>
  <c r="X68" i="10"/>
  <c r="L68" i="10"/>
  <c r="N68" i="10" s="1"/>
  <c r="B68" i="10"/>
  <c r="X67" i="10"/>
  <c r="Z67" i="10" s="1"/>
  <c r="N67" i="10"/>
  <c r="L67" i="10"/>
  <c r="B67" i="10"/>
  <c r="X66" i="10"/>
  <c r="Z66" i="10" s="1"/>
  <c r="L66" i="10"/>
  <c r="N66" i="10" s="1"/>
  <c r="B66" i="10"/>
  <c r="Z65" i="10"/>
  <c r="X65" i="10"/>
  <c r="L65" i="10"/>
  <c r="N65" i="10" s="1"/>
  <c r="B65" i="10"/>
  <c r="X64" i="10"/>
  <c r="Z64" i="10" s="1"/>
  <c r="N64" i="10"/>
  <c r="L64" i="10"/>
  <c r="B64" i="10"/>
  <c r="Z63" i="10"/>
  <c r="X63" i="10"/>
  <c r="L63" i="10"/>
  <c r="N63" i="10" s="1"/>
  <c r="B63" i="10"/>
  <c r="T62" i="10"/>
  <c r="P62" i="10"/>
  <c r="X62" i="10" s="1"/>
  <c r="L62" i="10"/>
  <c r="N62" i="10" s="1"/>
  <c r="H62" i="10"/>
  <c r="D62" i="10"/>
  <c r="B62" i="10"/>
  <c r="T61" i="10" a="1"/>
  <c r="T61" i="10"/>
  <c r="P61" i="10" a="1"/>
  <c r="P61" i="10"/>
  <c r="X61" i="10" s="1"/>
  <c r="Z61" i="10" s="1"/>
  <c r="H61" i="10" a="1"/>
  <c r="H61" i="10" s="1"/>
  <c r="D61" i="10" a="1"/>
  <c r="D61" i="10"/>
  <c r="L61" i="10" s="1"/>
  <c r="N61" i="10" s="1"/>
  <c r="Z57" i="10"/>
  <c r="X57" i="10"/>
  <c r="N57" i="10"/>
  <c r="L57" i="10"/>
  <c r="B57" i="10"/>
  <c r="Z56" i="10"/>
  <c r="X56" i="10"/>
  <c r="N56" i="10"/>
  <c r="L56" i="10"/>
  <c r="B56" i="10"/>
  <c r="X55" i="10"/>
  <c r="Z55" i="10" s="1"/>
  <c r="N55" i="10"/>
  <c r="L55" i="10"/>
  <c r="B55" i="10"/>
  <c r="X54" i="10"/>
  <c r="Z54" i="10" s="1"/>
  <c r="L54" i="10"/>
  <c r="N54" i="10" s="1"/>
  <c r="B54" i="10"/>
  <c r="Z53" i="10"/>
  <c r="X53" i="10"/>
  <c r="L53" i="10"/>
  <c r="N53" i="10" s="1"/>
  <c r="B53" i="10"/>
  <c r="Z52" i="10"/>
  <c r="X52" i="10"/>
  <c r="N52" i="10"/>
  <c r="L52" i="10"/>
  <c r="B52" i="10"/>
  <c r="Z51" i="10"/>
  <c r="X51" i="10"/>
  <c r="L51" i="10"/>
  <c r="N51" i="10" s="1"/>
  <c r="B51" i="10"/>
  <c r="Z50" i="10"/>
  <c r="X50" i="10"/>
  <c r="L50" i="10"/>
  <c r="N50" i="10" s="1"/>
  <c r="B50" i="10"/>
  <c r="X49" i="10"/>
  <c r="Z49" i="10" s="1"/>
  <c r="N49" i="10"/>
  <c r="L49" i="10"/>
  <c r="B49" i="10"/>
  <c r="Z48" i="10"/>
  <c r="X48" i="10"/>
  <c r="L48" i="10"/>
  <c r="N48" i="10" s="1"/>
  <c r="B48" i="10"/>
  <c r="X47" i="10"/>
  <c r="Z47" i="10" s="1"/>
  <c r="N47" i="10"/>
  <c r="L47" i="10"/>
  <c r="B47" i="10"/>
  <c r="X46" i="10"/>
  <c r="Z46" i="10" s="1"/>
  <c r="N46" i="10"/>
  <c r="L46" i="10"/>
  <c r="B46" i="10"/>
  <c r="Z45" i="10"/>
  <c r="X45" i="10"/>
  <c r="L45" i="10"/>
  <c r="N45" i="10" s="1"/>
  <c r="B45" i="10"/>
  <c r="X44" i="10"/>
  <c r="Z44" i="10" s="1"/>
  <c r="N44" i="10"/>
  <c r="L44" i="10"/>
  <c r="B44" i="10"/>
  <c r="Z43" i="10"/>
  <c r="X43" i="10"/>
  <c r="L43" i="10"/>
  <c r="N43" i="10" s="1"/>
  <c r="B43" i="10"/>
  <c r="Z42" i="10"/>
  <c r="X42" i="10"/>
  <c r="L42" i="10"/>
  <c r="N42" i="10" s="1"/>
  <c r="B42" i="10"/>
  <c r="Z41" i="10"/>
  <c r="X41" i="10"/>
  <c r="N41" i="10"/>
  <c r="L41" i="10"/>
  <c r="B41" i="10"/>
  <c r="T40" i="10"/>
  <c r="P40" i="10"/>
  <c r="H40" i="10"/>
  <c r="D40" i="10"/>
  <c r="L40" i="10" s="1"/>
  <c r="Z38" i="10"/>
  <c r="X38" i="10"/>
  <c r="T38" i="10"/>
  <c r="P38" i="10"/>
  <c r="N38" i="10"/>
  <c r="H38" i="10"/>
  <c r="D38" i="10"/>
  <c r="L38" i="10" s="1"/>
  <c r="B38" i="10"/>
  <c r="T37" i="10"/>
  <c r="P37" i="10"/>
  <c r="X37" i="10" s="1"/>
  <c r="Z37" i="10" s="1"/>
  <c r="H37" i="10"/>
  <c r="D37" i="10"/>
  <c r="B37" i="10"/>
  <c r="T36" i="10"/>
  <c r="P36" i="10"/>
  <c r="X36" i="10" s="1"/>
  <c r="L36" i="10"/>
  <c r="N36" i="10" s="1"/>
  <c r="H36" i="10"/>
  <c r="D36" i="10"/>
  <c r="B36" i="10"/>
  <c r="X35" i="10"/>
  <c r="T35" i="10"/>
  <c r="P35" i="10"/>
  <c r="H35" i="10"/>
  <c r="L35" i="10" s="1"/>
  <c r="D35" i="10"/>
  <c r="B35" i="10"/>
  <c r="T34" i="10"/>
  <c r="Z34" i="10" s="1"/>
  <c r="P34" i="10"/>
  <c r="N34" i="10"/>
  <c r="L34" i="10"/>
  <c r="H34" i="10"/>
  <c r="D34" i="10"/>
  <c r="B34" i="10"/>
  <c r="T33" i="10"/>
  <c r="P33" i="10"/>
  <c r="H33" i="10"/>
  <c r="D33" i="10"/>
  <c r="L33" i="10" s="1"/>
  <c r="N33" i="10" s="1"/>
  <c r="B33" i="10"/>
  <c r="T32" i="10"/>
  <c r="P32" i="10"/>
  <c r="X32" i="10" s="1"/>
  <c r="Z32" i="10" s="1"/>
  <c r="H32" i="10"/>
  <c r="D32" i="10"/>
  <c r="B32" i="10"/>
  <c r="T31" i="10"/>
  <c r="X31" i="10" s="1"/>
  <c r="P31" i="10"/>
  <c r="L31" i="10"/>
  <c r="H31" i="10"/>
  <c r="N31" i="10" s="1"/>
  <c r="D31" i="10"/>
  <c r="B31" i="10"/>
  <c r="X30" i="10"/>
  <c r="Z30" i="10" s="1"/>
  <c r="T30" i="10"/>
  <c r="P30" i="10"/>
  <c r="H30" i="10"/>
  <c r="D30" i="10"/>
  <c r="B30" i="10"/>
  <c r="T29" i="10"/>
  <c r="P29" i="10"/>
  <c r="X29" i="10" s="1"/>
  <c r="Z29" i="10" s="1"/>
  <c r="L29" i="10"/>
  <c r="H29" i="10"/>
  <c r="D29" i="10"/>
  <c r="B29" i="10"/>
  <c r="T28" i="10"/>
  <c r="Z28" i="10" s="1"/>
  <c r="P28" i="10"/>
  <c r="N28" i="10"/>
  <c r="L28" i="10"/>
  <c r="H28" i="10"/>
  <c r="D28" i="10"/>
  <c r="B28" i="10"/>
  <c r="X27" i="10"/>
  <c r="T27" i="10"/>
  <c r="Z27" i="10" s="1"/>
  <c r="P27" i="10"/>
  <c r="N27" i="10"/>
  <c r="H27" i="10"/>
  <c r="L27" i="10" s="1"/>
  <c r="D27" i="10"/>
  <c r="B27" i="10"/>
  <c r="Z26" i="10"/>
  <c r="T26" i="10"/>
  <c r="P26" i="10"/>
  <c r="X26" i="10" s="1"/>
  <c r="N26" i="10"/>
  <c r="L26" i="10"/>
  <c r="H26" i="10"/>
  <c r="D26" i="10"/>
  <c r="B26" i="10"/>
  <c r="X25" i="10"/>
  <c r="T25" i="10"/>
  <c r="P25" i="10"/>
  <c r="H25" i="10"/>
  <c r="D25" i="10"/>
  <c r="L25" i="10" s="1"/>
  <c r="N25" i="10" s="1"/>
  <c r="B25" i="10"/>
  <c r="X24" i="10"/>
  <c r="Z24" i="10" s="1"/>
  <c r="T24" i="10"/>
  <c r="P24" i="10"/>
  <c r="H24" i="10"/>
  <c r="N24" i="10" s="1"/>
  <c r="D24" i="10"/>
  <c r="L24" i="10" s="1"/>
  <c r="B24" i="10"/>
  <c r="Z23" i="10"/>
  <c r="T23" i="10"/>
  <c r="X23" i="10" s="1"/>
  <c r="P23" i="10"/>
  <c r="L23" i="10"/>
  <c r="H23" i="10"/>
  <c r="N23" i="10" s="1"/>
  <c r="D23" i="10"/>
  <c r="B23" i="10"/>
  <c r="X22" i="10"/>
  <c r="Z22" i="10" s="1"/>
  <c r="T22" i="10"/>
  <c r="P22" i="10"/>
  <c r="N22" i="10"/>
  <c r="H22" i="10"/>
  <c r="D22" i="10"/>
  <c r="L22" i="10" s="1"/>
  <c r="B22" i="10"/>
  <c r="Z21" i="10"/>
  <c r="T21" i="10"/>
  <c r="P21" i="10"/>
  <c r="X21" i="10" s="1"/>
  <c r="H21" i="10"/>
  <c r="D21" i="10"/>
  <c r="B21" i="10"/>
  <c r="T20" i="10"/>
  <c r="P20" i="10"/>
  <c r="X20" i="10" s="1"/>
  <c r="H20" i="10"/>
  <c r="D20" i="10"/>
  <c r="L20" i="10" s="1"/>
  <c r="N20" i="10" s="1"/>
  <c r="B20" i="10"/>
  <c r="T19" i="10"/>
  <c r="P19" i="10"/>
  <c r="X19" i="10" s="1"/>
  <c r="H19" i="10"/>
  <c r="L19" i="10" s="1"/>
  <c r="D19" i="10"/>
  <c r="B19" i="10"/>
  <c r="T18" i="10"/>
  <c r="P18" i="10"/>
  <c r="L18" i="10"/>
  <c r="N18" i="10" s="1"/>
  <c r="H18" i="10"/>
  <c r="D18" i="10"/>
  <c r="B18" i="10"/>
  <c r="X17" i="10"/>
  <c r="T17" i="10"/>
  <c r="P17" i="10"/>
  <c r="N17" i="10"/>
  <c r="H17" i="10"/>
  <c r="D17" i="10"/>
  <c r="L17" i="10" s="1"/>
  <c r="B17" i="10"/>
  <c r="X16" i="10"/>
  <c r="Z16" i="10" s="1"/>
  <c r="T16" i="10"/>
  <c r="P16" i="10"/>
  <c r="H16" i="10"/>
  <c r="D16" i="10"/>
  <c r="L16" i="10" s="1"/>
  <c r="B16" i="10"/>
  <c r="Z15" i="10"/>
  <c r="T15" i="10"/>
  <c r="X15" i="10" s="1"/>
  <c r="P15" i="10"/>
  <c r="L15" i="10"/>
  <c r="H15" i="10"/>
  <c r="N15" i="10" s="1"/>
  <c r="D15" i="10"/>
  <c r="B15" i="10"/>
  <c r="X14" i="10"/>
  <c r="Z14" i="10" s="1"/>
  <c r="T14" i="10"/>
  <c r="P14" i="10"/>
  <c r="N14" i="10"/>
  <c r="H14" i="10"/>
  <c r="D14" i="10"/>
  <c r="L14" i="10" s="1"/>
  <c r="B14" i="10"/>
  <c r="T13" i="10"/>
  <c r="P13" i="10"/>
  <c r="H13" i="10"/>
  <c r="D13" i="10"/>
  <c r="B13" i="10"/>
  <c r="D4" i="10"/>
  <c r="X99" i="9"/>
  <c r="Z99" i="9" s="1"/>
  <c r="N99" i="9"/>
  <c r="L99" i="9"/>
  <c r="Z95" i="9"/>
  <c r="T95" i="9"/>
  <c r="P95" i="9"/>
  <c r="X95" i="9" s="1"/>
  <c r="L95" i="9"/>
  <c r="H95" i="9"/>
  <c r="N95" i="9" s="1"/>
  <c r="D95" i="9"/>
  <c r="X93" i="9"/>
  <c r="Z93" i="9" s="1"/>
  <c r="N93" i="9"/>
  <c r="L93" i="9"/>
  <c r="B93" i="9"/>
  <c r="T92" i="9"/>
  <c r="P92" i="9"/>
  <c r="H92" i="9"/>
  <c r="D92" i="9"/>
  <c r="L92" i="9" s="1"/>
  <c r="B92" i="9"/>
  <c r="Z91" i="9"/>
  <c r="X91" i="9"/>
  <c r="N91" i="9"/>
  <c r="L91" i="9"/>
  <c r="B91" i="9"/>
  <c r="T90" i="9"/>
  <c r="Z90" i="9" s="1"/>
  <c r="P90" i="9"/>
  <c r="X90" i="9" s="1"/>
  <c r="N90" i="9"/>
  <c r="L90" i="9"/>
  <c r="H90" i="9"/>
  <c r="D90" i="9"/>
  <c r="B90" i="9"/>
  <c r="Z89" i="9"/>
  <c r="X89" i="9"/>
  <c r="L89" i="9"/>
  <c r="N89" i="9" s="1"/>
  <c r="B89" i="9"/>
  <c r="X88" i="9"/>
  <c r="Z88" i="9" s="1"/>
  <c r="T88" i="9"/>
  <c r="P88" i="9"/>
  <c r="H88" i="9"/>
  <c r="L88" i="9" s="1"/>
  <c r="D88" i="9"/>
  <c r="B88" i="9"/>
  <c r="X87" i="9"/>
  <c r="Z87" i="9" s="1"/>
  <c r="N87" i="9"/>
  <c r="L87" i="9"/>
  <c r="B87" i="9"/>
  <c r="Z86" i="9"/>
  <c r="X86" i="9"/>
  <c r="N86" i="9"/>
  <c r="L86" i="9"/>
  <c r="B86" i="9"/>
  <c r="Z85" i="9"/>
  <c r="X85" i="9"/>
  <c r="L85" i="9"/>
  <c r="N85" i="9" s="1"/>
  <c r="B85" i="9"/>
  <c r="Z84" i="9"/>
  <c r="X84" i="9"/>
  <c r="N84" i="9"/>
  <c r="L84" i="9"/>
  <c r="B84" i="9"/>
  <c r="Z83" i="9"/>
  <c r="X83" i="9"/>
  <c r="N83" i="9"/>
  <c r="L83" i="9"/>
  <c r="B83" i="9"/>
  <c r="X82" i="9"/>
  <c r="Z82" i="9" s="1"/>
  <c r="N82" i="9"/>
  <c r="L82" i="9"/>
  <c r="B82" i="9"/>
  <c r="X81" i="9"/>
  <c r="T81" i="9"/>
  <c r="P81" i="9"/>
  <c r="H81" i="9"/>
  <c r="D81" i="9"/>
  <c r="L81" i="9" s="1"/>
  <c r="N81" i="9" s="1"/>
  <c r="B81" i="9"/>
  <c r="Z80" i="9"/>
  <c r="X80" i="9"/>
  <c r="N80" i="9"/>
  <c r="L80" i="9"/>
  <c r="B80" i="9"/>
  <c r="Z79" i="9"/>
  <c r="X79" i="9"/>
  <c r="N79" i="9"/>
  <c r="L79" i="9"/>
  <c r="B79" i="9"/>
  <c r="X78" i="9"/>
  <c r="Z78" i="9" s="1"/>
  <c r="L78" i="9"/>
  <c r="N78" i="9" s="1"/>
  <c r="B78" i="9"/>
  <c r="X77" i="9"/>
  <c r="Z77" i="9" s="1"/>
  <c r="N77" i="9"/>
  <c r="L77" i="9"/>
  <c r="B77" i="9"/>
  <c r="T76" i="9"/>
  <c r="P76" i="9"/>
  <c r="H76" i="9"/>
  <c r="N76" i="9" s="1"/>
  <c r="D76" i="9"/>
  <c r="L76" i="9" s="1"/>
  <c r="B76" i="9"/>
  <c r="Z75" i="9"/>
  <c r="X75" i="9"/>
  <c r="N75" i="9"/>
  <c r="L75" i="9"/>
  <c r="B75" i="9"/>
  <c r="T74" i="9"/>
  <c r="Z74" i="9" s="1"/>
  <c r="P74" i="9"/>
  <c r="X74" i="9" s="1"/>
  <c r="N74" i="9"/>
  <c r="L74" i="9"/>
  <c r="H74" i="9"/>
  <c r="D74" i="9"/>
  <c r="B74" i="9"/>
  <c r="Z73" i="9"/>
  <c r="X73" i="9"/>
  <c r="L73" i="9"/>
  <c r="N73" i="9" s="1"/>
  <c r="B73" i="9"/>
  <c r="Z72" i="9"/>
  <c r="X72" i="9"/>
  <c r="N72" i="9"/>
  <c r="L72" i="9"/>
  <c r="B72" i="9"/>
  <c r="T71" i="9"/>
  <c r="P71" i="9"/>
  <c r="H71" i="9"/>
  <c r="D71" i="9"/>
  <c r="L71" i="9" s="1"/>
  <c r="N71" i="9" s="1"/>
  <c r="B71" i="9"/>
  <c r="Z70" i="9"/>
  <c r="X70" i="9"/>
  <c r="L70" i="9"/>
  <c r="N70" i="9" s="1"/>
  <c r="B70" i="9"/>
  <c r="X69" i="9"/>
  <c r="Z69" i="9" s="1"/>
  <c r="T69" i="9"/>
  <c r="P69" i="9"/>
  <c r="L69" i="9"/>
  <c r="H69" i="9"/>
  <c r="D69" i="9"/>
  <c r="B69" i="9"/>
  <c r="Z68" i="9"/>
  <c r="X68" i="9"/>
  <c r="N68" i="9"/>
  <c r="L68" i="9"/>
  <c r="B68" i="9"/>
  <c r="X67" i="9"/>
  <c r="T67" i="9"/>
  <c r="P67" i="9"/>
  <c r="L67" i="9"/>
  <c r="H67" i="9"/>
  <c r="D67" i="9"/>
  <c r="B67" i="9"/>
  <c r="X66" i="9"/>
  <c r="Z66" i="9" s="1"/>
  <c r="N66" i="9"/>
  <c r="L66" i="9"/>
  <c r="B66" i="9"/>
  <c r="X65" i="9"/>
  <c r="T65" i="9"/>
  <c r="P65" i="9"/>
  <c r="N65" i="9"/>
  <c r="H65" i="9"/>
  <c r="D65" i="9"/>
  <c r="L65" i="9" s="1"/>
  <c r="B65" i="9"/>
  <c r="Z64" i="9"/>
  <c r="X64" i="9"/>
  <c r="N64" i="9"/>
  <c r="L64" i="9"/>
  <c r="B64" i="9"/>
  <c r="T63" i="9"/>
  <c r="Z63" i="9" s="1"/>
  <c r="P63" i="9"/>
  <c r="X63" i="9" s="1"/>
  <c r="H63" i="9"/>
  <c r="N63" i="9" s="1"/>
  <c r="D63" i="9"/>
  <c r="B63" i="9"/>
  <c r="Z62" i="9"/>
  <c r="X62" i="9"/>
  <c r="N62" i="9"/>
  <c r="L62" i="9"/>
  <c r="B62" i="9"/>
  <c r="T61" i="9"/>
  <c r="P61" i="9"/>
  <c r="H61" i="9"/>
  <c r="N61" i="9" s="1"/>
  <c r="D61" i="9"/>
  <c r="L61" i="9" s="1"/>
  <c r="B61" i="9"/>
  <c r="Z60" i="9"/>
  <c r="X60" i="9"/>
  <c r="N60" i="9"/>
  <c r="L60" i="9"/>
  <c r="B60" i="9"/>
  <c r="T59" i="9"/>
  <c r="Z59" i="9" s="1"/>
  <c r="P59" i="9"/>
  <c r="X59" i="9" s="1"/>
  <c r="L59" i="9"/>
  <c r="H59" i="9"/>
  <c r="N59" i="9" s="1"/>
  <c r="D59" i="9"/>
  <c r="B59" i="9"/>
  <c r="Z58" i="9"/>
  <c r="X58" i="9"/>
  <c r="N58" i="9"/>
  <c r="L58" i="9"/>
  <c r="B58" i="9"/>
  <c r="X57" i="9"/>
  <c r="Z57" i="9" s="1"/>
  <c r="L57" i="9"/>
  <c r="N57" i="9" s="1"/>
  <c r="B57" i="9"/>
  <c r="T56" i="9"/>
  <c r="P56" i="9"/>
  <c r="X56" i="9" s="1"/>
  <c r="Z56" i="9" s="1"/>
  <c r="N56" i="9"/>
  <c r="L56" i="9"/>
  <c r="H56" i="9"/>
  <c r="D56" i="9"/>
  <c r="B56" i="9"/>
  <c r="X55" i="9"/>
  <c r="Z55" i="9" s="1"/>
  <c r="L55" i="9"/>
  <c r="N55" i="9" s="1"/>
  <c r="B55" i="9"/>
  <c r="Z54" i="9"/>
  <c r="X54" i="9"/>
  <c r="T54" i="9"/>
  <c r="P54" i="9"/>
  <c r="H54" i="9"/>
  <c r="D54" i="9"/>
  <c r="L54" i="9" s="1"/>
  <c r="N54" i="9" s="1"/>
  <c r="B54" i="9"/>
  <c r="X53" i="9"/>
  <c r="Z53" i="9" s="1"/>
  <c r="R53" i="9"/>
  <c r="N53" i="9"/>
  <c r="L53" i="9"/>
  <c r="B53" i="9"/>
  <c r="T52" i="9"/>
  <c r="P52" i="9"/>
  <c r="X52" i="9" s="1"/>
  <c r="Z52" i="9" s="1"/>
  <c r="N52" i="9"/>
  <c r="H52" i="9"/>
  <c r="F52" i="9"/>
  <c r="D52" i="9"/>
  <c r="L52" i="9" s="1"/>
  <c r="B52" i="9"/>
  <c r="Z51" i="9"/>
  <c r="X51" i="9"/>
  <c r="N51" i="9"/>
  <c r="L51" i="9"/>
  <c r="B51" i="9"/>
  <c r="Z50" i="9"/>
  <c r="T50" i="9"/>
  <c r="P50" i="9"/>
  <c r="X50" i="9" s="1"/>
  <c r="N50" i="9"/>
  <c r="H50" i="9"/>
  <c r="L50" i="9" s="1"/>
  <c r="D50" i="9"/>
  <c r="B50" i="9"/>
  <c r="Z49" i="9"/>
  <c r="X49" i="9"/>
  <c r="N49" i="9"/>
  <c r="L49" i="9"/>
  <c r="B49" i="9"/>
  <c r="Z48" i="9"/>
  <c r="X48" i="9"/>
  <c r="N48" i="9"/>
  <c r="L48" i="9"/>
  <c r="B48" i="9"/>
  <c r="Z47" i="9"/>
  <c r="X47" i="9"/>
  <c r="N47" i="9"/>
  <c r="L47" i="9"/>
  <c r="B47" i="9"/>
  <c r="Z46" i="9"/>
  <c r="X46" i="9"/>
  <c r="N46" i="9"/>
  <c r="L46" i="9"/>
  <c r="B46" i="9"/>
  <c r="Z45" i="9"/>
  <c r="X45" i="9"/>
  <c r="R45" i="9"/>
  <c r="N45" i="9"/>
  <c r="L45" i="9"/>
  <c r="B45" i="9"/>
  <c r="Z44" i="9"/>
  <c r="X44" i="9"/>
  <c r="N44" i="9"/>
  <c r="L44" i="9"/>
  <c r="B44" i="9"/>
  <c r="X43" i="9"/>
  <c r="T43" i="9"/>
  <c r="P43" i="9"/>
  <c r="H43" i="9"/>
  <c r="N43" i="9" s="1"/>
  <c r="D43" i="9"/>
  <c r="L43" i="9" s="1"/>
  <c r="B43" i="9"/>
  <c r="Z42" i="9"/>
  <c r="X42" i="9"/>
  <c r="N42" i="9"/>
  <c r="L42" i="9"/>
  <c r="B42" i="9"/>
  <c r="X41" i="9"/>
  <c r="Z41" i="9" s="1"/>
  <c r="N41" i="9"/>
  <c r="L41" i="9"/>
  <c r="B41" i="9"/>
  <c r="Z40" i="9"/>
  <c r="X40" i="9"/>
  <c r="N40" i="9"/>
  <c r="L40" i="9"/>
  <c r="B40" i="9"/>
  <c r="Z39" i="9"/>
  <c r="X39" i="9"/>
  <c r="N39" i="9"/>
  <c r="L39" i="9"/>
  <c r="B39" i="9"/>
  <c r="Z38" i="9"/>
  <c r="X38" i="9"/>
  <c r="N38" i="9"/>
  <c r="L38" i="9"/>
  <c r="B38" i="9"/>
  <c r="X37" i="9"/>
  <c r="Z37" i="9" s="1"/>
  <c r="N37" i="9"/>
  <c r="L37" i="9"/>
  <c r="B37" i="9"/>
  <c r="Z36" i="9"/>
  <c r="X36" i="9"/>
  <c r="N36" i="9"/>
  <c r="L36" i="9"/>
  <c r="B36" i="9"/>
  <c r="X35" i="9"/>
  <c r="Z35" i="9" s="1"/>
  <c r="N35" i="9"/>
  <c r="L35" i="9"/>
  <c r="B35" i="9"/>
  <c r="Z34" i="9"/>
  <c r="X34" i="9"/>
  <c r="N34" i="9"/>
  <c r="L34" i="9"/>
  <c r="B34" i="9"/>
  <c r="T33" i="9"/>
  <c r="P33" i="9"/>
  <c r="X33" i="9" s="1"/>
  <c r="H33" i="9"/>
  <c r="N33" i="9" s="1"/>
  <c r="D33" i="9"/>
  <c r="L33" i="9" s="1"/>
  <c r="B33" i="9"/>
  <c r="T32" i="9" a="1"/>
  <c r="T32" i="9" s="1"/>
  <c r="P32" i="9" a="1"/>
  <c r="P32" i="9" s="1"/>
  <c r="H32" i="9" a="1"/>
  <c r="H32" i="9" s="1"/>
  <c r="D32" i="9" a="1"/>
  <c r="D32" i="9" s="1"/>
  <c r="L32" i="9" s="1"/>
  <c r="Z28" i="9"/>
  <c r="X28" i="9"/>
  <c r="N28" i="9"/>
  <c r="L28" i="9"/>
  <c r="B28" i="9"/>
  <c r="X27" i="9"/>
  <c r="Z27" i="9" s="1"/>
  <c r="L27" i="9"/>
  <c r="N27" i="9" s="1"/>
  <c r="B27" i="9"/>
  <c r="Z26" i="9"/>
  <c r="X26" i="9"/>
  <c r="N26" i="9"/>
  <c r="L26" i="9"/>
  <c r="B26" i="9"/>
  <c r="X25" i="9"/>
  <c r="T25" i="9"/>
  <c r="Z25" i="9" s="1"/>
  <c r="P25" i="9"/>
  <c r="L25" i="9"/>
  <c r="H25" i="9"/>
  <c r="D25" i="9"/>
  <c r="T23" i="9"/>
  <c r="P23" i="9"/>
  <c r="X23" i="9" s="1"/>
  <c r="Z23" i="9" s="1"/>
  <c r="L23" i="9"/>
  <c r="N23" i="9" s="1"/>
  <c r="H23" i="9"/>
  <c r="D23" i="9"/>
  <c r="B23" i="9"/>
  <c r="T22" i="9"/>
  <c r="Z22" i="9" s="1"/>
  <c r="P22" i="9"/>
  <c r="N22" i="9"/>
  <c r="H22" i="9"/>
  <c r="D22" i="9"/>
  <c r="L22" i="9" s="1"/>
  <c r="B22" i="9"/>
  <c r="X21" i="9"/>
  <c r="T21" i="9"/>
  <c r="Z21" i="9" s="1"/>
  <c r="P21" i="9"/>
  <c r="L21" i="9"/>
  <c r="H21" i="9"/>
  <c r="N21" i="9" s="1"/>
  <c r="D21" i="9"/>
  <c r="B21" i="9"/>
  <c r="Z20" i="9"/>
  <c r="T20" i="9"/>
  <c r="X20" i="9" s="1"/>
  <c r="P20" i="9"/>
  <c r="N20" i="9"/>
  <c r="L20" i="9"/>
  <c r="H20" i="9"/>
  <c r="D20" i="9"/>
  <c r="B20" i="9"/>
  <c r="X19" i="9"/>
  <c r="Z19" i="9" s="1"/>
  <c r="T19" i="9"/>
  <c r="P19" i="9"/>
  <c r="N19" i="9"/>
  <c r="H19" i="9"/>
  <c r="D19" i="9"/>
  <c r="L19" i="9" s="1"/>
  <c r="B19" i="9"/>
  <c r="Z18" i="9"/>
  <c r="T18" i="9"/>
  <c r="P18" i="9"/>
  <c r="X18" i="9" s="1"/>
  <c r="H18" i="9"/>
  <c r="N18" i="9" s="1"/>
  <c r="D18" i="9"/>
  <c r="B18" i="9"/>
  <c r="X17" i="9"/>
  <c r="T17" i="9"/>
  <c r="Z17" i="9" s="1"/>
  <c r="P17" i="9"/>
  <c r="L17" i="9"/>
  <c r="H17" i="9"/>
  <c r="N17" i="9" s="1"/>
  <c r="D17" i="9"/>
  <c r="B17" i="9"/>
  <c r="Z16" i="9"/>
  <c r="X16" i="9"/>
  <c r="T16" i="9"/>
  <c r="P16" i="9"/>
  <c r="N16" i="9"/>
  <c r="H16" i="9"/>
  <c r="L16" i="9" s="1"/>
  <c r="D16" i="9"/>
  <c r="B16" i="9"/>
  <c r="Z15" i="9"/>
  <c r="T15" i="9"/>
  <c r="P15" i="9"/>
  <c r="X15" i="9" s="1"/>
  <c r="N15" i="9"/>
  <c r="L15" i="9"/>
  <c r="H15" i="9"/>
  <c r="D15" i="9"/>
  <c r="B15" i="9"/>
  <c r="T14" i="9"/>
  <c r="P14" i="9"/>
  <c r="N14" i="9"/>
  <c r="H14" i="9"/>
  <c r="D14" i="9"/>
  <c r="L14" i="9" s="1"/>
  <c r="B14" i="9"/>
  <c r="X13" i="9"/>
  <c r="T13" i="9"/>
  <c r="Z13" i="9" s="1"/>
  <c r="P13" i="9"/>
  <c r="P12" i="9" s="1"/>
  <c r="R90" i="9" s="1"/>
  <c r="L13" i="9"/>
  <c r="H13" i="9"/>
  <c r="N13" i="9" s="1"/>
  <c r="D13" i="9"/>
  <c r="D12" i="9" s="1"/>
  <c r="B13" i="9"/>
  <c r="D4" i="9"/>
  <c r="X259" i="8"/>
  <c r="Z259" i="8" s="1"/>
  <c r="N259" i="8"/>
  <c r="L259" i="8"/>
  <c r="T255" i="8"/>
  <c r="P255" i="8"/>
  <c r="H255" i="8"/>
  <c r="N255" i="8" s="1"/>
  <c r="D255" i="8"/>
  <c r="L255" i="8" s="1"/>
  <c r="B255" i="8"/>
  <c r="T254" i="8"/>
  <c r="P254" i="8"/>
  <c r="X254" i="8" s="1"/>
  <c r="Z254" i="8" s="1"/>
  <c r="N254" i="8"/>
  <c r="H254" i="8"/>
  <c r="D254" i="8"/>
  <c r="L254" i="8" s="1"/>
  <c r="B254" i="8"/>
  <c r="X253" i="8"/>
  <c r="T253" i="8"/>
  <c r="Z253" i="8" s="1"/>
  <c r="P253" i="8"/>
  <c r="H253" i="8"/>
  <c r="N253" i="8" s="1"/>
  <c r="D253" i="8"/>
  <c r="L253" i="8" s="1"/>
  <c r="B253" i="8"/>
  <c r="Z252" i="8"/>
  <c r="X252" i="8"/>
  <c r="T252" i="8"/>
  <c r="P252" i="8"/>
  <c r="H252" i="8"/>
  <c r="L252" i="8" s="1"/>
  <c r="N252" i="8" s="1"/>
  <c r="D252" i="8"/>
  <c r="B252" i="8"/>
  <c r="X251" i="8"/>
  <c r="T251" i="8"/>
  <c r="Z251" i="8" s="1"/>
  <c r="P251" i="8"/>
  <c r="L251" i="8"/>
  <c r="H251" i="8"/>
  <c r="N251" i="8" s="1"/>
  <c r="D251" i="8"/>
  <c r="B251" i="8"/>
  <c r="T250" i="8"/>
  <c r="P250" i="8"/>
  <c r="X250" i="8" s="1"/>
  <c r="Z250" i="8" s="1"/>
  <c r="N250" i="8"/>
  <c r="L250" i="8"/>
  <c r="H250" i="8"/>
  <c r="D250" i="8"/>
  <c r="B250" i="8"/>
  <c r="T249" i="8"/>
  <c r="P249" i="8"/>
  <c r="L249" i="8"/>
  <c r="H249" i="8"/>
  <c r="N249" i="8" s="1"/>
  <c r="D249" i="8"/>
  <c r="D248" i="8" s="1"/>
  <c r="B249" i="8"/>
  <c r="Z246" i="8"/>
  <c r="X246" i="8"/>
  <c r="N246" i="8"/>
  <c r="L246" i="8"/>
  <c r="B246" i="8"/>
  <c r="T245" i="8"/>
  <c r="P245" i="8"/>
  <c r="X245" i="8" s="1"/>
  <c r="H245" i="8"/>
  <c r="N245" i="8" s="1"/>
  <c r="D245" i="8"/>
  <c r="L245" i="8" s="1"/>
  <c r="B245" i="8"/>
  <c r="Z244" i="8"/>
  <c r="X244" i="8"/>
  <c r="N244" i="8"/>
  <c r="L244" i="8"/>
  <c r="B244" i="8"/>
  <c r="X243" i="8"/>
  <c r="Z243" i="8" s="1"/>
  <c r="L243" i="8"/>
  <c r="N243" i="8" s="1"/>
  <c r="B243" i="8"/>
  <c r="Z242" i="8"/>
  <c r="X242" i="8"/>
  <c r="N242" i="8"/>
  <c r="L242" i="8"/>
  <c r="B242" i="8"/>
  <c r="T241" i="8"/>
  <c r="P241" i="8"/>
  <c r="H241" i="8"/>
  <c r="D241" i="8"/>
  <c r="L241" i="8" s="1"/>
  <c r="B241" i="8"/>
  <c r="Z240" i="8"/>
  <c r="X240" i="8"/>
  <c r="N240" i="8"/>
  <c r="L240" i="8"/>
  <c r="B240" i="8"/>
  <c r="T239" i="8"/>
  <c r="P239" i="8"/>
  <c r="X239" i="8" s="1"/>
  <c r="L239" i="8"/>
  <c r="H239" i="8"/>
  <c r="N239" i="8" s="1"/>
  <c r="D239" i="8"/>
  <c r="B239" i="8"/>
  <c r="Z238" i="8"/>
  <c r="X238" i="8"/>
  <c r="N238" i="8"/>
  <c r="L238" i="8"/>
  <c r="B238" i="8"/>
  <c r="X237" i="8"/>
  <c r="Z237" i="8" s="1"/>
  <c r="N237" i="8"/>
  <c r="L237" i="8"/>
  <c r="B237" i="8"/>
  <c r="T236" i="8"/>
  <c r="X236" i="8" s="1"/>
  <c r="Z236" i="8" s="1"/>
  <c r="P236" i="8"/>
  <c r="N236" i="8"/>
  <c r="H236" i="8"/>
  <c r="D236" i="8"/>
  <c r="L236" i="8" s="1"/>
  <c r="B236" i="8"/>
  <c r="X235" i="8"/>
  <c r="Z235" i="8" s="1"/>
  <c r="L235" i="8"/>
  <c r="N235" i="8" s="1"/>
  <c r="B235" i="8"/>
  <c r="Z234" i="8"/>
  <c r="X234" i="8"/>
  <c r="N234" i="8"/>
  <c r="L234" i="8"/>
  <c r="B234" i="8"/>
  <c r="X233" i="8"/>
  <c r="Z233" i="8" s="1"/>
  <c r="N233" i="8"/>
  <c r="L233" i="8"/>
  <c r="B233" i="8"/>
  <c r="Z232" i="8"/>
  <c r="X232" i="8"/>
  <c r="N232" i="8"/>
  <c r="L232" i="8"/>
  <c r="B232" i="8"/>
  <c r="X231" i="8"/>
  <c r="Z231" i="8" s="1"/>
  <c r="L231" i="8"/>
  <c r="N231" i="8" s="1"/>
  <c r="B231" i="8"/>
  <c r="Z230" i="8"/>
  <c r="X230" i="8"/>
  <c r="N230" i="8"/>
  <c r="L230" i="8"/>
  <c r="B230" i="8"/>
  <c r="Z229" i="8"/>
  <c r="X229" i="8"/>
  <c r="N229" i="8"/>
  <c r="L229" i="8"/>
  <c r="B229" i="8"/>
  <c r="T228" i="8"/>
  <c r="P228" i="8"/>
  <c r="N228" i="8"/>
  <c r="L228" i="8"/>
  <c r="H228" i="8"/>
  <c r="D228" i="8"/>
  <c r="B228" i="8"/>
  <c r="X227" i="8"/>
  <c r="Z227" i="8" s="1"/>
  <c r="L227" i="8"/>
  <c r="N227" i="8" s="1"/>
  <c r="B227" i="8"/>
  <c r="Z226" i="8"/>
  <c r="X226" i="8"/>
  <c r="N226" i="8"/>
  <c r="L226" i="8"/>
  <c r="B226" i="8"/>
  <c r="T225" i="8"/>
  <c r="P225" i="8"/>
  <c r="X225" i="8" s="1"/>
  <c r="H225" i="8"/>
  <c r="D225" i="8"/>
  <c r="L225" i="8" s="1"/>
  <c r="B225" i="8"/>
  <c r="Z224" i="8"/>
  <c r="X224" i="8"/>
  <c r="N224" i="8"/>
  <c r="L224" i="8"/>
  <c r="B224" i="8"/>
  <c r="X223" i="8"/>
  <c r="Z223" i="8" s="1"/>
  <c r="L223" i="8"/>
  <c r="N223" i="8" s="1"/>
  <c r="B223" i="8"/>
  <c r="Z222" i="8"/>
  <c r="X222" i="8"/>
  <c r="N222" i="8"/>
  <c r="L222" i="8"/>
  <c r="B222" i="8"/>
  <c r="Z221" i="8"/>
  <c r="X221" i="8"/>
  <c r="L221" i="8"/>
  <c r="N221" i="8" s="1"/>
  <c r="B221" i="8"/>
  <c r="T220" i="8"/>
  <c r="P220" i="8"/>
  <c r="X220" i="8" s="1"/>
  <c r="N220" i="8"/>
  <c r="L220" i="8"/>
  <c r="H220" i="8"/>
  <c r="D220" i="8"/>
  <c r="B220" i="8"/>
  <c r="X219" i="8"/>
  <c r="Z219" i="8" s="1"/>
  <c r="L219" i="8"/>
  <c r="N219" i="8" s="1"/>
  <c r="B219" i="8"/>
  <c r="Z218" i="8"/>
  <c r="X218" i="8"/>
  <c r="N218" i="8"/>
  <c r="L218" i="8"/>
  <c r="B218" i="8"/>
  <c r="Z217" i="8"/>
  <c r="X217" i="8"/>
  <c r="N217" i="8"/>
  <c r="L217" i="8"/>
  <c r="B217" i="8"/>
  <c r="T216" i="8"/>
  <c r="P216" i="8"/>
  <c r="X216" i="8" s="1"/>
  <c r="N216" i="8"/>
  <c r="L216" i="8"/>
  <c r="H216" i="8"/>
  <c r="D216" i="8"/>
  <c r="B216" i="8"/>
  <c r="X215" i="8"/>
  <c r="Z215" i="8" s="1"/>
  <c r="L215" i="8"/>
  <c r="N215" i="8" s="1"/>
  <c r="B215" i="8"/>
  <c r="Z214" i="8"/>
  <c r="X214" i="8"/>
  <c r="N214" i="8"/>
  <c r="L214" i="8"/>
  <c r="B214" i="8"/>
  <c r="Z213" i="8"/>
  <c r="X213" i="8"/>
  <c r="N213" i="8"/>
  <c r="L213" i="8"/>
  <c r="B213" i="8"/>
  <c r="Z212" i="8"/>
  <c r="X212" i="8"/>
  <c r="N212" i="8"/>
  <c r="L212" i="8"/>
  <c r="B212" i="8"/>
  <c r="X211" i="8"/>
  <c r="T211" i="8"/>
  <c r="Z211" i="8" s="1"/>
  <c r="P211" i="8"/>
  <c r="H211" i="8"/>
  <c r="D211" i="8"/>
  <c r="L211" i="8" s="1"/>
  <c r="B211" i="8"/>
  <c r="Z210" i="8"/>
  <c r="X210" i="8"/>
  <c r="N210" i="8"/>
  <c r="L210" i="8"/>
  <c r="B210" i="8"/>
  <c r="T209" i="8"/>
  <c r="P209" i="8"/>
  <c r="X209" i="8" s="1"/>
  <c r="H209" i="8"/>
  <c r="D209" i="8"/>
  <c r="L209" i="8" s="1"/>
  <c r="B209" i="8"/>
  <c r="Z208" i="8"/>
  <c r="X208" i="8"/>
  <c r="N208" i="8"/>
  <c r="L208" i="8"/>
  <c r="B208" i="8"/>
  <c r="T207" i="8"/>
  <c r="P207" i="8"/>
  <c r="X207" i="8" s="1"/>
  <c r="L207" i="8"/>
  <c r="H207" i="8"/>
  <c r="N207" i="8" s="1"/>
  <c r="D207" i="8"/>
  <c r="B207" i="8"/>
  <c r="Z206" i="8"/>
  <c r="X206" i="8"/>
  <c r="N206" i="8"/>
  <c r="L206" i="8"/>
  <c r="B206" i="8"/>
  <c r="Z205" i="8"/>
  <c r="X205" i="8"/>
  <c r="N205" i="8"/>
  <c r="L205" i="8"/>
  <c r="B205" i="8"/>
  <c r="Z204" i="8"/>
  <c r="T204" i="8"/>
  <c r="X204" i="8" s="1"/>
  <c r="P204" i="8"/>
  <c r="H204" i="8"/>
  <c r="D204" i="8"/>
  <c r="L204" i="8" s="1"/>
  <c r="N204" i="8" s="1"/>
  <c r="B204" i="8"/>
  <c r="X203" i="8"/>
  <c r="Z203" i="8" s="1"/>
  <c r="L203" i="8"/>
  <c r="N203" i="8" s="1"/>
  <c r="B203" i="8"/>
  <c r="Z202" i="8"/>
  <c r="T202" i="8"/>
  <c r="P202" i="8"/>
  <c r="X202" i="8" s="1"/>
  <c r="H202" i="8"/>
  <c r="D202" i="8"/>
  <c r="L202" i="8" s="1"/>
  <c r="B202" i="8"/>
  <c r="Z201" i="8"/>
  <c r="X201" i="8"/>
  <c r="L201" i="8"/>
  <c r="N201" i="8" s="1"/>
  <c r="B201" i="8"/>
  <c r="T200" i="8"/>
  <c r="P200" i="8"/>
  <c r="X200" i="8" s="1"/>
  <c r="N200" i="8"/>
  <c r="L200" i="8"/>
  <c r="H200" i="8"/>
  <c r="D200" i="8"/>
  <c r="B200" i="8"/>
  <c r="X199" i="8"/>
  <c r="Z199" i="8" s="1"/>
  <c r="L199" i="8"/>
  <c r="N199" i="8" s="1"/>
  <c r="B199" i="8"/>
  <c r="Z198" i="8"/>
  <c r="X198" i="8"/>
  <c r="N198" i="8"/>
  <c r="L198" i="8"/>
  <c r="B198" i="8"/>
  <c r="T197" i="8"/>
  <c r="P197" i="8"/>
  <c r="X197" i="8" s="1"/>
  <c r="H197" i="8"/>
  <c r="D197" i="8"/>
  <c r="L197" i="8" s="1"/>
  <c r="B197" i="8"/>
  <c r="Z196" i="8"/>
  <c r="X196" i="8"/>
  <c r="N196" i="8"/>
  <c r="L196" i="8"/>
  <c r="B196" i="8"/>
  <c r="T195" i="8"/>
  <c r="Z195" i="8" s="1"/>
  <c r="P195" i="8"/>
  <c r="X195" i="8" s="1"/>
  <c r="L195" i="8"/>
  <c r="H195" i="8"/>
  <c r="N195" i="8" s="1"/>
  <c r="D195" i="8"/>
  <c r="B195" i="8"/>
  <c r="Z194" i="8"/>
  <c r="X194" i="8"/>
  <c r="N194" i="8"/>
  <c r="L194" i="8"/>
  <c r="B194" i="8"/>
  <c r="X193" i="8"/>
  <c r="T193" i="8"/>
  <c r="Z193" i="8" s="1"/>
  <c r="P193" i="8"/>
  <c r="L193" i="8"/>
  <c r="H193" i="8"/>
  <c r="D193" i="8"/>
  <c r="B193" i="8"/>
  <c r="Z192" i="8"/>
  <c r="X192" i="8"/>
  <c r="N192" i="8"/>
  <c r="L192" i="8"/>
  <c r="B192" i="8"/>
  <c r="X191" i="8"/>
  <c r="T191" i="8"/>
  <c r="P191" i="8"/>
  <c r="H191" i="8"/>
  <c r="N191" i="8" s="1"/>
  <c r="D191" i="8"/>
  <c r="L191" i="8" s="1"/>
  <c r="B191" i="8"/>
  <c r="Z190" i="8"/>
  <c r="X190" i="8"/>
  <c r="N190" i="8"/>
  <c r="L190" i="8"/>
  <c r="B190" i="8"/>
  <c r="Z189" i="8"/>
  <c r="X189" i="8"/>
  <c r="N189" i="8"/>
  <c r="L189" i="8"/>
  <c r="B189" i="8"/>
  <c r="T188" i="8"/>
  <c r="P188" i="8"/>
  <c r="X188" i="8" s="1"/>
  <c r="N188" i="8"/>
  <c r="L188" i="8"/>
  <c r="H188" i="8"/>
  <c r="D188" i="8"/>
  <c r="B188" i="8"/>
  <c r="X187" i="8"/>
  <c r="Z187" i="8" s="1"/>
  <c r="L187" i="8"/>
  <c r="N187" i="8" s="1"/>
  <c r="B187" i="8"/>
  <c r="Z186" i="8"/>
  <c r="X186" i="8"/>
  <c r="N186" i="8"/>
  <c r="L186" i="8"/>
  <c r="B186" i="8"/>
  <c r="T185" i="8"/>
  <c r="P185" i="8"/>
  <c r="X185" i="8" s="1"/>
  <c r="H185" i="8"/>
  <c r="D185" i="8"/>
  <c r="L185" i="8" s="1"/>
  <c r="B185" i="8"/>
  <c r="Z184" i="8"/>
  <c r="X184" i="8"/>
  <c r="N184" i="8"/>
  <c r="L184" i="8"/>
  <c r="B184" i="8"/>
  <c r="T183" i="8"/>
  <c r="P183" i="8"/>
  <c r="X183" i="8" s="1"/>
  <c r="L183" i="8"/>
  <c r="H183" i="8"/>
  <c r="N183" i="8" s="1"/>
  <c r="D183" i="8"/>
  <c r="B183" i="8"/>
  <c r="Z182" i="8"/>
  <c r="X182" i="8"/>
  <c r="N182" i="8"/>
  <c r="L182" i="8"/>
  <c r="B182" i="8"/>
  <c r="X181" i="8"/>
  <c r="Z181" i="8" s="1"/>
  <c r="N181" i="8"/>
  <c r="L181" i="8"/>
  <c r="B181" i="8"/>
  <c r="T180" i="8"/>
  <c r="X180" i="8" s="1"/>
  <c r="Z180" i="8" s="1"/>
  <c r="P180" i="8"/>
  <c r="N180" i="8"/>
  <c r="H180" i="8"/>
  <c r="D180" i="8"/>
  <c r="L180" i="8" s="1"/>
  <c r="B180" i="8"/>
  <c r="X179" i="8"/>
  <c r="Z179" i="8" s="1"/>
  <c r="L179" i="8"/>
  <c r="N179" i="8" s="1"/>
  <c r="B179" i="8"/>
  <c r="Z178" i="8"/>
  <c r="T178" i="8"/>
  <c r="P178" i="8"/>
  <c r="X178" i="8" s="1"/>
  <c r="H178" i="8"/>
  <c r="D178" i="8"/>
  <c r="L178" i="8" s="1"/>
  <c r="B178" i="8"/>
  <c r="Z177" i="8"/>
  <c r="X177" i="8"/>
  <c r="L177" i="8"/>
  <c r="N177" i="8" s="1"/>
  <c r="B177" i="8"/>
  <c r="Z176" i="8"/>
  <c r="X176" i="8"/>
  <c r="N176" i="8"/>
  <c r="L176" i="8"/>
  <c r="B176" i="8"/>
  <c r="X175" i="8"/>
  <c r="Z175" i="8" s="1"/>
  <c r="L175" i="8"/>
  <c r="N175" i="8" s="1"/>
  <c r="B175" i="8"/>
  <c r="Z174" i="8"/>
  <c r="X174" i="8"/>
  <c r="N174" i="8"/>
  <c r="L174" i="8"/>
  <c r="B174" i="8"/>
  <c r="X173" i="8"/>
  <c r="Z173" i="8" s="1"/>
  <c r="N173" i="8"/>
  <c r="L173" i="8"/>
  <c r="B173" i="8"/>
  <c r="Z172" i="8"/>
  <c r="X172" i="8"/>
  <c r="N172" i="8"/>
  <c r="L172" i="8"/>
  <c r="B172" i="8"/>
  <c r="X171" i="8"/>
  <c r="Z171" i="8" s="1"/>
  <c r="L171" i="8"/>
  <c r="N171" i="8" s="1"/>
  <c r="B171" i="8"/>
  <c r="Z170" i="8"/>
  <c r="X170" i="8"/>
  <c r="T170" i="8"/>
  <c r="P170" i="8"/>
  <c r="H170" i="8"/>
  <c r="L170" i="8" s="1"/>
  <c r="N170" i="8" s="1"/>
  <c r="D170" i="8"/>
  <c r="B170" i="8"/>
  <c r="X169" i="8"/>
  <c r="Z169" i="8" s="1"/>
  <c r="N169" i="8"/>
  <c r="L169" i="8"/>
  <c r="B169" i="8"/>
  <c r="Z168" i="8"/>
  <c r="X168" i="8"/>
  <c r="N168" i="8"/>
  <c r="L168" i="8"/>
  <c r="B168" i="8"/>
  <c r="X167" i="8"/>
  <c r="Z167" i="8" s="1"/>
  <c r="L167" i="8"/>
  <c r="N167" i="8" s="1"/>
  <c r="B167" i="8"/>
  <c r="Z166" i="8"/>
  <c r="X166" i="8"/>
  <c r="N166" i="8"/>
  <c r="L166" i="8"/>
  <c r="B166" i="8"/>
  <c r="Z165" i="8"/>
  <c r="X165" i="8"/>
  <c r="N165" i="8"/>
  <c r="L165" i="8"/>
  <c r="B165" i="8"/>
  <c r="Z164" i="8"/>
  <c r="X164" i="8"/>
  <c r="N164" i="8"/>
  <c r="L164" i="8"/>
  <c r="B164" i="8"/>
  <c r="X163" i="8"/>
  <c r="Z163" i="8" s="1"/>
  <c r="L163" i="8"/>
  <c r="N163" i="8" s="1"/>
  <c r="B163" i="8"/>
  <c r="Z162" i="8"/>
  <c r="X162" i="8"/>
  <c r="N162" i="8"/>
  <c r="L162" i="8"/>
  <c r="B162" i="8"/>
  <c r="X161" i="8"/>
  <c r="Z161" i="8" s="1"/>
  <c r="N161" i="8"/>
  <c r="L161" i="8"/>
  <c r="B161" i="8"/>
  <c r="Z160" i="8"/>
  <c r="X160" i="8"/>
  <c r="N160" i="8"/>
  <c r="L160" i="8"/>
  <c r="B160" i="8"/>
  <c r="T159" i="8"/>
  <c r="Z159" i="8" s="1"/>
  <c r="P159" i="8"/>
  <c r="X159" i="8" s="1"/>
  <c r="L159" i="8"/>
  <c r="H159" i="8"/>
  <c r="N159" i="8" s="1"/>
  <c r="D159" i="8"/>
  <c r="B159" i="8"/>
  <c r="Z158" i="8"/>
  <c r="T158" i="8" a="1"/>
  <c r="T158" i="8"/>
  <c r="P158" i="8" a="1"/>
  <c r="P158" i="8" s="1"/>
  <c r="X158" i="8" s="1"/>
  <c r="H158" i="8" a="1"/>
  <c r="H158" i="8"/>
  <c r="D158" i="8" a="1"/>
  <c r="D158" i="8" s="1"/>
  <c r="L158" i="8" s="1"/>
  <c r="N158" i="8" s="1"/>
  <c r="Z154" i="8"/>
  <c r="X154" i="8"/>
  <c r="N154" i="8"/>
  <c r="L154" i="8"/>
  <c r="B154" i="8"/>
  <c r="X153" i="8"/>
  <c r="Z153" i="8" s="1"/>
  <c r="N153" i="8"/>
  <c r="L153" i="8"/>
  <c r="B153" i="8"/>
  <c r="Z152" i="8"/>
  <c r="X152" i="8"/>
  <c r="N152" i="8"/>
  <c r="L152" i="8"/>
  <c r="B152" i="8"/>
  <c r="X151" i="8"/>
  <c r="Z151" i="8" s="1"/>
  <c r="N151" i="8"/>
  <c r="L151" i="8"/>
  <c r="B151" i="8"/>
  <c r="Z150" i="8"/>
  <c r="X150" i="8"/>
  <c r="N150" i="8"/>
  <c r="L150" i="8"/>
  <c r="B150" i="8"/>
  <c r="X149" i="8"/>
  <c r="Z149" i="8" s="1"/>
  <c r="N149" i="8"/>
  <c r="L149" i="8"/>
  <c r="B149" i="8"/>
  <c r="Z148" i="8"/>
  <c r="X148" i="8"/>
  <c r="N148" i="8"/>
  <c r="L148" i="8"/>
  <c r="B148" i="8"/>
  <c r="X147" i="8"/>
  <c r="Z147" i="8" s="1"/>
  <c r="L147" i="8"/>
  <c r="N147" i="8" s="1"/>
  <c r="B147" i="8"/>
  <c r="Z146" i="8"/>
  <c r="X146" i="8"/>
  <c r="N146" i="8"/>
  <c r="L146" i="8"/>
  <c r="B146" i="8"/>
  <c r="X145" i="8"/>
  <c r="Z145" i="8" s="1"/>
  <c r="N145" i="8"/>
  <c r="L145" i="8"/>
  <c r="B145" i="8"/>
  <c r="Z144" i="8"/>
  <c r="X144" i="8"/>
  <c r="N144" i="8"/>
  <c r="L144" i="8"/>
  <c r="B144" i="8"/>
  <c r="X143" i="8"/>
  <c r="Z143" i="8" s="1"/>
  <c r="L143" i="8"/>
  <c r="N143" i="8" s="1"/>
  <c r="B143" i="8"/>
  <c r="Z142" i="8"/>
  <c r="X142" i="8"/>
  <c r="N142" i="8"/>
  <c r="L142" i="8"/>
  <c r="B142" i="8"/>
  <c r="X141" i="8"/>
  <c r="Z141" i="8" s="1"/>
  <c r="L141" i="8"/>
  <c r="N141" i="8" s="1"/>
  <c r="B141" i="8"/>
  <c r="Z140" i="8"/>
  <c r="X140" i="8"/>
  <c r="N140" i="8"/>
  <c r="L140" i="8"/>
  <c r="B140" i="8"/>
  <c r="X139" i="8"/>
  <c r="Z139" i="8" s="1"/>
  <c r="N139" i="8"/>
  <c r="L139" i="8"/>
  <c r="B139" i="8"/>
  <c r="Z138" i="8"/>
  <c r="X138" i="8"/>
  <c r="N138" i="8"/>
  <c r="L138" i="8"/>
  <c r="B138" i="8"/>
  <c r="X137" i="8"/>
  <c r="Z137" i="8" s="1"/>
  <c r="N137" i="8"/>
  <c r="L137" i="8"/>
  <c r="B137" i="8"/>
  <c r="Z136" i="8"/>
  <c r="X136" i="8"/>
  <c r="N136" i="8"/>
  <c r="L136" i="8"/>
  <c r="B136" i="8"/>
  <c r="X135" i="8"/>
  <c r="Z135" i="8" s="1"/>
  <c r="L135" i="8"/>
  <c r="N135" i="8" s="1"/>
  <c r="B135" i="8"/>
  <c r="Z134" i="8"/>
  <c r="X134" i="8"/>
  <c r="N134" i="8"/>
  <c r="L134" i="8"/>
  <c r="B134" i="8"/>
  <c r="X133" i="8"/>
  <c r="Z133" i="8" s="1"/>
  <c r="L133" i="8"/>
  <c r="N133" i="8" s="1"/>
  <c r="B133" i="8"/>
  <c r="Z132" i="8"/>
  <c r="X132" i="8"/>
  <c r="N132" i="8"/>
  <c r="L132" i="8"/>
  <c r="B132" i="8"/>
  <c r="X131" i="8"/>
  <c r="Z131" i="8" s="1"/>
  <c r="L131" i="8"/>
  <c r="N131" i="8" s="1"/>
  <c r="B131" i="8"/>
  <c r="Z130" i="8"/>
  <c r="X130" i="8"/>
  <c r="N130" i="8"/>
  <c r="L130" i="8"/>
  <c r="B130" i="8"/>
  <c r="X129" i="8"/>
  <c r="Z129" i="8" s="1"/>
  <c r="L129" i="8"/>
  <c r="N129" i="8" s="1"/>
  <c r="B129" i="8"/>
  <c r="Z128" i="8"/>
  <c r="X128" i="8"/>
  <c r="N128" i="8"/>
  <c r="L128" i="8"/>
  <c r="B128" i="8"/>
  <c r="X127" i="8"/>
  <c r="Z127" i="8" s="1"/>
  <c r="L127" i="8"/>
  <c r="N127" i="8" s="1"/>
  <c r="B127" i="8"/>
  <c r="Z126" i="8"/>
  <c r="X126" i="8"/>
  <c r="N126" i="8"/>
  <c r="L126" i="8"/>
  <c r="B126" i="8"/>
  <c r="X125" i="8"/>
  <c r="Z125" i="8" s="1"/>
  <c r="L125" i="8"/>
  <c r="N125" i="8" s="1"/>
  <c r="B125" i="8"/>
  <c r="Z124" i="8"/>
  <c r="X124" i="8"/>
  <c r="N124" i="8"/>
  <c r="L124" i="8"/>
  <c r="B124" i="8"/>
  <c r="X123" i="8"/>
  <c r="Z123" i="8" s="1"/>
  <c r="L123" i="8"/>
  <c r="N123" i="8" s="1"/>
  <c r="B123" i="8"/>
  <c r="Z122" i="8"/>
  <c r="X122" i="8"/>
  <c r="N122" i="8"/>
  <c r="L122" i="8"/>
  <c r="B122" i="8"/>
  <c r="X121" i="8"/>
  <c r="Z121" i="8" s="1"/>
  <c r="L121" i="8"/>
  <c r="N121" i="8" s="1"/>
  <c r="B121" i="8"/>
  <c r="Z120" i="8"/>
  <c r="X120" i="8"/>
  <c r="N120" i="8"/>
  <c r="L120" i="8"/>
  <c r="B120" i="8"/>
  <c r="X119" i="8"/>
  <c r="Z119" i="8" s="1"/>
  <c r="L119" i="8"/>
  <c r="N119" i="8" s="1"/>
  <c r="B119" i="8"/>
  <c r="Z118" i="8"/>
  <c r="X118" i="8"/>
  <c r="N118" i="8"/>
  <c r="L118" i="8"/>
  <c r="B118" i="8"/>
  <c r="X117" i="8"/>
  <c r="Z117" i="8" s="1"/>
  <c r="L117" i="8"/>
  <c r="N117" i="8" s="1"/>
  <c r="B117" i="8"/>
  <c r="Z116" i="8"/>
  <c r="X116" i="8"/>
  <c r="N116" i="8"/>
  <c r="L116" i="8"/>
  <c r="B116" i="8"/>
  <c r="X115" i="8"/>
  <c r="Z115" i="8" s="1"/>
  <c r="L115" i="8"/>
  <c r="N115" i="8" s="1"/>
  <c r="B115" i="8"/>
  <c r="Z114" i="8"/>
  <c r="X114" i="8"/>
  <c r="N114" i="8"/>
  <c r="L114" i="8"/>
  <c r="B114" i="8"/>
  <c r="X113" i="8"/>
  <c r="Z113" i="8" s="1"/>
  <c r="L113" i="8"/>
  <c r="N113" i="8" s="1"/>
  <c r="B113" i="8"/>
  <c r="Z112" i="8"/>
  <c r="X112" i="8"/>
  <c r="N112" i="8"/>
  <c r="L112" i="8"/>
  <c r="B112" i="8"/>
  <c r="X111" i="8"/>
  <c r="Z111" i="8" s="1"/>
  <c r="L111" i="8"/>
  <c r="N111" i="8" s="1"/>
  <c r="B111" i="8"/>
  <c r="Z110" i="8"/>
  <c r="X110" i="8"/>
  <c r="N110" i="8"/>
  <c r="L110" i="8"/>
  <c r="B110" i="8"/>
  <c r="X109" i="8"/>
  <c r="Z109" i="8" s="1"/>
  <c r="L109" i="8"/>
  <c r="N109" i="8" s="1"/>
  <c r="B109" i="8"/>
  <c r="Z108" i="8"/>
  <c r="X108" i="8"/>
  <c r="N108" i="8"/>
  <c r="L108" i="8"/>
  <c r="B108" i="8"/>
  <c r="X107" i="8"/>
  <c r="Z107" i="8" s="1"/>
  <c r="L107" i="8"/>
  <c r="N107" i="8" s="1"/>
  <c r="B107" i="8"/>
  <c r="Z106" i="8"/>
  <c r="X106" i="8"/>
  <c r="N106" i="8"/>
  <c r="L106" i="8"/>
  <c r="B106" i="8"/>
  <c r="X105" i="8"/>
  <c r="Z105" i="8" s="1"/>
  <c r="L105" i="8"/>
  <c r="N105" i="8" s="1"/>
  <c r="B105" i="8"/>
  <c r="Z104" i="8"/>
  <c r="X104" i="8"/>
  <c r="N104" i="8"/>
  <c r="L104" i="8"/>
  <c r="B104" i="8"/>
  <c r="X103" i="8"/>
  <c r="Z103" i="8" s="1"/>
  <c r="L103" i="8"/>
  <c r="N103" i="8" s="1"/>
  <c r="B103" i="8"/>
  <c r="Z102" i="8"/>
  <c r="X102" i="8"/>
  <c r="N102" i="8"/>
  <c r="L102" i="8"/>
  <c r="B102" i="8"/>
  <c r="X101" i="8"/>
  <c r="Z101" i="8" s="1"/>
  <c r="L101" i="8"/>
  <c r="N101" i="8" s="1"/>
  <c r="B101" i="8"/>
  <c r="Z100" i="8"/>
  <c r="X100" i="8"/>
  <c r="N100" i="8"/>
  <c r="L100" i="8"/>
  <c r="B100" i="8"/>
  <c r="Z99" i="8"/>
  <c r="X99" i="8"/>
  <c r="N99" i="8"/>
  <c r="L99" i="8"/>
  <c r="B99" i="8"/>
  <c r="Z98" i="8"/>
  <c r="X98" i="8"/>
  <c r="T98" i="8"/>
  <c r="P98" i="8"/>
  <c r="H98" i="8"/>
  <c r="L98" i="8" s="1"/>
  <c r="N98" i="8" s="1"/>
  <c r="D98" i="8"/>
  <c r="Z96" i="8"/>
  <c r="T96" i="8"/>
  <c r="X96" i="8" s="1"/>
  <c r="P96" i="8"/>
  <c r="N96" i="8"/>
  <c r="H96" i="8"/>
  <c r="L96" i="8" s="1"/>
  <c r="D96" i="8"/>
  <c r="B96" i="8"/>
  <c r="X95" i="8"/>
  <c r="Z95" i="8" s="1"/>
  <c r="T95" i="8"/>
  <c r="P95" i="8"/>
  <c r="N95" i="8"/>
  <c r="H95" i="8"/>
  <c r="D95" i="8"/>
  <c r="L95" i="8" s="1"/>
  <c r="B95" i="8"/>
  <c r="T94" i="8"/>
  <c r="P94" i="8"/>
  <c r="X94" i="8" s="1"/>
  <c r="Z94" i="8" s="1"/>
  <c r="H94" i="8"/>
  <c r="D94" i="8"/>
  <c r="L94" i="8" s="1"/>
  <c r="B94" i="8"/>
  <c r="X93" i="8"/>
  <c r="T93" i="8"/>
  <c r="Z93" i="8" s="1"/>
  <c r="P93" i="8"/>
  <c r="L93" i="8"/>
  <c r="H93" i="8"/>
  <c r="N93" i="8" s="1"/>
  <c r="D93" i="8"/>
  <c r="B93" i="8"/>
  <c r="T92" i="8"/>
  <c r="X92" i="8" s="1"/>
  <c r="Z92" i="8" s="1"/>
  <c r="P92" i="8"/>
  <c r="H92" i="8"/>
  <c r="L92" i="8" s="1"/>
  <c r="N92" i="8" s="1"/>
  <c r="D92" i="8"/>
  <c r="B92" i="8"/>
  <c r="T91" i="8"/>
  <c r="P91" i="8"/>
  <c r="X91" i="8" s="1"/>
  <c r="Z91" i="8" s="1"/>
  <c r="L91" i="8"/>
  <c r="N91" i="8" s="1"/>
  <c r="H91" i="8"/>
  <c r="D91" i="8"/>
  <c r="B91" i="8"/>
  <c r="T90" i="8"/>
  <c r="P90" i="8"/>
  <c r="N90" i="8"/>
  <c r="H90" i="8"/>
  <c r="D90" i="8"/>
  <c r="L90" i="8" s="1"/>
  <c r="B90" i="8"/>
  <c r="X89" i="8"/>
  <c r="T89" i="8"/>
  <c r="Z89" i="8" s="1"/>
  <c r="P89" i="8"/>
  <c r="L89" i="8"/>
  <c r="H89" i="8"/>
  <c r="N89" i="8" s="1"/>
  <c r="D89" i="8"/>
  <c r="B89" i="8"/>
  <c r="Z88" i="8"/>
  <c r="T88" i="8"/>
  <c r="X88" i="8" s="1"/>
  <c r="P88" i="8"/>
  <c r="H88" i="8"/>
  <c r="L88" i="8" s="1"/>
  <c r="N88" i="8" s="1"/>
  <c r="D88" i="8"/>
  <c r="B88" i="8"/>
  <c r="X87" i="8"/>
  <c r="Z87" i="8" s="1"/>
  <c r="T87" i="8"/>
  <c r="P87" i="8"/>
  <c r="H87" i="8"/>
  <c r="D87" i="8"/>
  <c r="L87" i="8" s="1"/>
  <c r="N87" i="8" s="1"/>
  <c r="B87" i="8"/>
  <c r="Z86" i="8"/>
  <c r="T86" i="8"/>
  <c r="P86" i="8"/>
  <c r="X86" i="8" s="1"/>
  <c r="H86" i="8"/>
  <c r="N86" i="8" s="1"/>
  <c r="D86" i="8"/>
  <c r="L86" i="8" s="1"/>
  <c r="B86" i="8"/>
  <c r="X85" i="8"/>
  <c r="T85" i="8"/>
  <c r="Z85" i="8" s="1"/>
  <c r="P85" i="8"/>
  <c r="L85" i="8"/>
  <c r="H85" i="8"/>
  <c r="N85" i="8" s="1"/>
  <c r="D85" i="8"/>
  <c r="B85" i="8"/>
  <c r="T84" i="8"/>
  <c r="X84" i="8" s="1"/>
  <c r="Z84" i="8" s="1"/>
  <c r="P84" i="8"/>
  <c r="N84" i="8"/>
  <c r="H84" i="8"/>
  <c r="L84" i="8" s="1"/>
  <c r="D84" i="8"/>
  <c r="B84" i="8"/>
  <c r="T83" i="8"/>
  <c r="P83" i="8"/>
  <c r="X83" i="8" s="1"/>
  <c r="Z83" i="8" s="1"/>
  <c r="L83" i="8"/>
  <c r="N83" i="8" s="1"/>
  <c r="H83" i="8"/>
  <c r="D83" i="8"/>
  <c r="B83" i="8"/>
  <c r="T82" i="8"/>
  <c r="P82" i="8"/>
  <c r="X82" i="8" s="1"/>
  <c r="H82" i="8"/>
  <c r="D82" i="8"/>
  <c r="L82" i="8" s="1"/>
  <c r="N82" i="8" s="1"/>
  <c r="B82" i="8"/>
  <c r="X81" i="8"/>
  <c r="T81" i="8"/>
  <c r="P81" i="8"/>
  <c r="L81" i="8"/>
  <c r="H81" i="8"/>
  <c r="N81" i="8" s="1"/>
  <c r="D81" i="8"/>
  <c r="B81" i="8"/>
  <c r="T80" i="8"/>
  <c r="X80" i="8" s="1"/>
  <c r="Z80" i="8" s="1"/>
  <c r="P80" i="8"/>
  <c r="H80" i="8"/>
  <c r="L80" i="8" s="1"/>
  <c r="N80" i="8" s="1"/>
  <c r="D80" i="8"/>
  <c r="B80" i="8"/>
  <c r="X79" i="8"/>
  <c r="Z79" i="8" s="1"/>
  <c r="T79" i="8"/>
  <c r="P79" i="8"/>
  <c r="H79" i="8"/>
  <c r="D79" i="8"/>
  <c r="L79" i="8" s="1"/>
  <c r="N79" i="8" s="1"/>
  <c r="B79" i="8"/>
  <c r="T78" i="8"/>
  <c r="P78" i="8"/>
  <c r="X78" i="8" s="1"/>
  <c r="Z78" i="8" s="1"/>
  <c r="H78" i="8"/>
  <c r="D78" i="8"/>
  <c r="L78" i="8" s="1"/>
  <c r="B78" i="8"/>
  <c r="X77" i="8"/>
  <c r="T77" i="8"/>
  <c r="Z77" i="8" s="1"/>
  <c r="P77" i="8"/>
  <c r="L77" i="8"/>
  <c r="H77" i="8"/>
  <c r="N77" i="8" s="1"/>
  <c r="D77" i="8"/>
  <c r="B77" i="8"/>
  <c r="T76" i="8"/>
  <c r="X76" i="8" s="1"/>
  <c r="Z76" i="8" s="1"/>
  <c r="P76" i="8"/>
  <c r="N76" i="8"/>
  <c r="H76" i="8"/>
  <c r="L76" i="8" s="1"/>
  <c r="D76" i="8"/>
  <c r="B76" i="8"/>
  <c r="T75" i="8"/>
  <c r="P75" i="8"/>
  <c r="X75" i="8" s="1"/>
  <c r="Z75" i="8" s="1"/>
  <c r="L75" i="8"/>
  <c r="N75" i="8" s="1"/>
  <c r="H75" i="8"/>
  <c r="D75" i="8"/>
  <c r="B75" i="8"/>
  <c r="T74" i="8"/>
  <c r="P74" i="8"/>
  <c r="X74" i="8" s="1"/>
  <c r="H74" i="8"/>
  <c r="D74" i="8"/>
  <c r="L74" i="8" s="1"/>
  <c r="N74" i="8" s="1"/>
  <c r="B74" i="8"/>
  <c r="X73" i="8"/>
  <c r="T73" i="8"/>
  <c r="P73" i="8"/>
  <c r="L73" i="8"/>
  <c r="H73" i="8"/>
  <c r="N73" i="8" s="1"/>
  <c r="D73" i="8"/>
  <c r="B73" i="8"/>
  <c r="T72" i="8"/>
  <c r="X72" i="8" s="1"/>
  <c r="Z72" i="8" s="1"/>
  <c r="P72" i="8"/>
  <c r="N72" i="8"/>
  <c r="H72" i="8"/>
  <c r="L72" i="8" s="1"/>
  <c r="D72" i="8"/>
  <c r="B72" i="8"/>
  <c r="X71" i="8"/>
  <c r="Z71" i="8" s="1"/>
  <c r="T71" i="8"/>
  <c r="P71" i="8"/>
  <c r="H71" i="8"/>
  <c r="D71" i="8"/>
  <c r="L71" i="8" s="1"/>
  <c r="N71" i="8" s="1"/>
  <c r="B71" i="8"/>
  <c r="T70" i="8"/>
  <c r="P70" i="8"/>
  <c r="X70" i="8" s="1"/>
  <c r="Z70" i="8" s="1"/>
  <c r="H70" i="8"/>
  <c r="D70" i="8"/>
  <c r="B70" i="8"/>
  <c r="X69" i="8"/>
  <c r="T69" i="8"/>
  <c r="Z69" i="8" s="1"/>
  <c r="P69" i="8"/>
  <c r="L69" i="8"/>
  <c r="H69" i="8"/>
  <c r="N69" i="8" s="1"/>
  <c r="D69" i="8"/>
  <c r="B69" i="8"/>
  <c r="T68" i="8"/>
  <c r="X68" i="8" s="1"/>
  <c r="Z68" i="8" s="1"/>
  <c r="P68" i="8"/>
  <c r="H68" i="8"/>
  <c r="L68" i="8" s="1"/>
  <c r="N68" i="8" s="1"/>
  <c r="D68" i="8"/>
  <c r="B68" i="8"/>
  <c r="T67" i="8"/>
  <c r="P67" i="8"/>
  <c r="X67" i="8" s="1"/>
  <c r="Z67" i="8" s="1"/>
  <c r="L67" i="8"/>
  <c r="N67" i="8" s="1"/>
  <c r="H67" i="8"/>
  <c r="D67" i="8"/>
  <c r="B67" i="8"/>
  <c r="T66" i="8"/>
  <c r="Z66" i="8" s="1"/>
  <c r="P66" i="8"/>
  <c r="X66" i="8" s="1"/>
  <c r="N66" i="8"/>
  <c r="H66" i="8"/>
  <c r="D66" i="8"/>
  <c r="L66" i="8" s="1"/>
  <c r="B66" i="8"/>
  <c r="X65" i="8"/>
  <c r="T65" i="8"/>
  <c r="Z65" i="8" s="1"/>
  <c r="P65" i="8"/>
  <c r="L65" i="8"/>
  <c r="H65" i="8"/>
  <c r="N65" i="8" s="1"/>
  <c r="D65" i="8"/>
  <c r="B65" i="8"/>
  <c r="Z64" i="8"/>
  <c r="T64" i="8"/>
  <c r="X64" i="8" s="1"/>
  <c r="P64" i="8"/>
  <c r="H64" i="8"/>
  <c r="L64" i="8" s="1"/>
  <c r="N64" i="8" s="1"/>
  <c r="D64" i="8"/>
  <c r="B64" i="8"/>
  <c r="X63" i="8"/>
  <c r="Z63" i="8" s="1"/>
  <c r="T63" i="8"/>
  <c r="P63" i="8"/>
  <c r="H63" i="8"/>
  <c r="D63" i="8"/>
  <c r="L63" i="8" s="1"/>
  <c r="N63" i="8" s="1"/>
  <c r="B63" i="8"/>
  <c r="T62" i="8"/>
  <c r="P62" i="8"/>
  <c r="X62" i="8" s="1"/>
  <c r="Z62" i="8" s="1"/>
  <c r="H62" i="8"/>
  <c r="D62" i="8"/>
  <c r="L62" i="8" s="1"/>
  <c r="B62" i="8"/>
  <c r="X61" i="8"/>
  <c r="T61" i="8"/>
  <c r="Z61" i="8" s="1"/>
  <c r="P61" i="8"/>
  <c r="L61" i="8"/>
  <c r="H61" i="8"/>
  <c r="N61" i="8" s="1"/>
  <c r="D61" i="8"/>
  <c r="B61" i="8"/>
  <c r="Z60" i="8"/>
  <c r="X60" i="8"/>
  <c r="T60" i="8"/>
  <c r="P60" i="8"/>
  <c r="H60" i="8"/>
  <c r="L60" i="8" s="1"/>
  <c r="N60" i="8" s="1"/>
  <c r="D60" i="8"/>
  <c r="B60" i="8"/>
  <c r="T59" i="8"/>
  <c r="P59" i="8"/>
  <c r="X59" i="8" s="1"/>
  <c r="Z59" i="8" s="1"/>
  <c r="L59" i="8"/>
  <c r="N59" i="8" s="1"/>
  <c r="H59" i="8"/>
  <c r="D59" i="8"/>
  <c r="B59" i="8"/>
  <c r="T58" i="8"/>
  <c r="Z58" i="8" s="1"/>
  <c r="P58" i="8"/>
  <c r="X58" i="8" s="1"/>
  <c r="H58" i="8"/>
  <c r="D58" i="8"/>
  <c r="L58" i="8" s="1"/>
  <c r="N58" i="8" s="1"/>
  <c r="B58" i="8"/>
  <c r="X57" i="8"/>
  <c r="T57" i="8"/>
  <c r="Z57" i="8" s="1"/>
  <c r="P57" i="8"/>
  <c r="L57" i="8"/>
  <c r="H57" i="8"/>
  <c r="N57" i="8" s="1"/>
  <c r="D57" i="8"/>
  <c r="B57" i="8"/>
  <c r="T56" i="8"/>
  <c r="X56" i="8" s="1"/>
  <c r="Z56" i="8" s="1"/>
  <c r="P56" i="8"/>
  <c r="N56" i="8"/>
  <c r="L56" i="8"/>
  <c r="H56" i="8"/>
  <c r="D56" i="8"/>
  <c r="B56" i="8"/>
  <c r="X55" i="8"/>
  <c r="Z55" i="8" s="1"/>
  <c r="T55" i="8"/>
  <c r="P55" i="8"/>
  <c r="H55" i="8"/>
  <c r="D55" i="8"/>
  <c r="L55" i="8" s="1"/>
  <c r="N55" i="8" s="1"/>
  <c r="B55" i="8"/>
  <c r="T54" i="8"/>
  <c r="P54" i="8"/>
  <c r="X54" i="8" s="1"/>
  <c r="Z54" i="8" s="1"/>
  <c r="H54" i="8"/>
  <c r="D54" i="8"/>
  <c r="L54" i="8" s="1"/>
  <c r="B54" i="8"/>
  <c r="X53" i="8"/>
  <c r="T53" i="8"/>
  <c r="Z53" i="8" s="1"/>
  <c r="P53" i="8"/>
  <c r="L53" i="8"/>
  <c r="H53" i="8"/>
  <c r="N53" i="8" s="1"/>
  <c r="D53" i="8"/>
  <c r="B53" i="8"/>
  <c r="Z52" i="8"/>
  <c r="X52" i="8"/>
  <c r="T52" i="8"/>
  <c r="P52" i="8"/>
  <c r="N52" i="8"/>
  <c r="H52" i="8"/>
  <c r="L52" i="8" s="1"/>
  <c r="D52" i="8"/>
  <c r="B52" i="8"/>
  <c r="T51" i="8"/>
  <c r="P51" i="8"/>
  <c r="X51" i="8" s="1"/>
  <c r="Z51" i="8" s="1"/>
  <c r="N51" i="8"/>
  <c r="L51" i="8"/>
  <c r="H51" i="8"/>
  <c r="D51" i="8"/>
  <c r="B51" i="8"/>
  <c r="T50" i="8"/>
  <c r="P50" i="8"/>
  <c r="X50" i="8" s="1"/>
  <c r="N50" i="8"/>
  <c r="H50" i="8"/>
  <c r="D50" i="8"/>
  <c r="L50" i="8" s="1"/>
  <c r="B50" i="8"/>
  <c r="X49" i="8"/>
  <c r="T49" i="8"/>
  <c r="Z49" i="8" s="1"/>
  <c r="P49" i="8"/>
  <c r="L49" i="8"/>
  <c r="H49" i="8"/>
  <c r="N49" i="8" s="1"/>
  <c r="D49" i="8"/>
  <c r="B49" i="8"/>
  <c r="T48" i="8"/>
  <c r="X48" i="8" s="1"/>
  <c r="Z48" i="8" s="1"/>
  <c r="P48" i="8"/>
  <c r="N48" i="8"/>
  <c r="L48" i="8"/>
  <c r="H48" i="8"/>
  <c r="D48" i="8"/>
  <c r="B48" i="8"/>
  <c r="X47" i="8"/>
  <c r="Z47" i="8" s="1"/>
  <c r="T47" i="8"/>
  <c r="P47" i="8"/>
  <c r="N47" i="8"/>
  <c r="H47" i="8"/>
  <c r="D47" i="8"/>
  <c r="L47" i="8" s="1"/>
  <c r="B47" i="8"/>
  <c r="T46" i="8"/>
  <c r="P46" i="8"/>
  <c r="X46" i="8" s="1"/>
  <c r="Z46" i="8" s="1"/>
  <c r="H46" i="8"/>
  <c r="D46" i="8"/>
  <c r="L46" i="8" s="1"/>
  <c r="B46" i="8"/>
  <c r="X45" i="8"/>
  <c r="T45" i="8"/>
  <c r="Z45" i="8" s="1"/>
  <c r="P45" i="8"/>
  <c r="L45" i="8"/>
  <c r="H45" i="8"/>
  <c r="N45" i="8" s="1"/>
  <c r="D45" i="8"/>
  <c r="B45" i="8"/>
  <c r="Z44" i="8"/>
  <c r="X44" i="8"/>
  <c r="T44" i="8"/>
  <c r="P44" i="8"/>
  <c r="N44" i="8"/>
  <c r="H44" i="8"/>
  <c r="L44" i="8" s="1"/>
  <c r="D44" i="8"/>
  <c r="B44" i="8"/>
  <c r="T43" i="8"/>
  <c r="P43" i="8"/>
  <c r="X43" i="8" s="1"/>
  <c r="Z43" i="8" s="1"/>
  <c r="N43" i="8"/>
  <c r="L43" i="8"/>
  <c r="H43" i="8"/>
  <c r="D43" i="8"/>
  <c r="B43" i="8"/>
  <c r="T42" i="8"/>
  <c r="P42" i="8"/>
  <c r="X42" i="8" s="1"/>
  <c r="H42" i="8"/>
  <c r="D42" i="8"/>
  <c r="L42" i="8" s="1"/>
  <c r="N42" i="8" s="1"/>
  <c r="B42" i="8"/>
  <c r="X41" i="8"/>
  <c r="T41" i="8"/>
  <c r="P41" i="8"/>
  <c r="L41" i="8"/>
  <c r="H41" i="8"/>
  <c r="N41" i="8" s="1"/>
  <c r="D41" i="8"/>
  <c r="B41" i="8"/>
  <c r="T40" i="8"/>
  <c r="X40" i="8" s="1"/>
  <c r="Z40" i="8" s="1"/>
  <c r="P40" i="8"/>
  <c r="N40" i="8"/>
  <c r="L40" i="8"/>
  <c r="H40" i="8"/>
  <c r="D40" i="8"/>
  <c r="B40" i="8"/>
  <c r="X39" i="8"/>
  <c r="Z39" i="8" s="1"/>
  <c r="T39" i="8"/>
  <c r="P39" i="8"/>
  <c r="H39" i="8"/>
  <c r="D39" i="8"/>
  <c r="L39" i="8" s="1"/>
  <c r="N39" i="8" s="1"/>
  <c r="B39" i="8"/>
  <c r="T38" i="8"/>
  <c r="P38" i="8"/>
  <c r="X38" i="8" s="1"/>
  <c r="Z38" i="8" s="1"/>
  <c r="H38" i="8"/>
  <c r="D38" i="8"/>
  <c r="L38" i="8" s="1"/>
  <c r="B38" i="8"/>
  <c r="X37" i="8"/>
  <c r="T37" i="8"/>
  <c r="Z37" i="8" s="1"/>
  <c r="P37" i="8"/>
  <c r="L37" i="8"/>
  <c r="H37" i="8"/>
  <c r="N37" i="8" s="1"/>
  <c r="D37" i="8"/>
  <c r="B37" i="8"/>
  <c r="Z36" i="8"/>
  <c r="X36" i="8"/>
  <c r="T36" i="8"/>
  <c r="P36" i="8"/>
  <c r="H36" i="8"/>
  <c r="L36" i="8" s="1"/>
  <c r="N36" i="8" s="1"/>
  <c r="D36" i="8"/>
  <c r="B36" i="8"/>
  <c r="T35" i="8"/>
  <c r="P35" i="8"/>
  <c r="X35" i="8" s="1"/>
  <c r="Z35" i="8" s="1"/>
  <c r="N35" i="8"/>
  <c r="L35" i="8"/>
  <c r="H35" i="8"/>
  <c r="D35" i="8"/>
  <c r="B35" i="8"/>
  <c r="T34" i="8"/>
  <c r="P34" i="8"/>
  <c r="H34" i="8"/>
  <c r="D34" i="8"/>
  <c r="L34" i="8" s="1"/>
  <c r="N34" i="8" s="1"/>
  <c r="B34" i="8"/>
  <c r="X33" i="8"/>
  <c r="T33" i="8"/>
  <c r="Z33" i="8" s="1"/>
  <c r="P33" i="8"/>
  <c r="L33" i="8"/>
  <c r="H33" i="8"/>
  <c r="N33" i="8" s="1"/>
  <c r="D33" i="8"/>
  <c r="B33" i="8"/>
  <c r="T32" i="8"/>
  <c r="X32" i="8" s="1"/>
  <c r="Z32" i="8" s="1"/>
  <c r="P32" i="8"/>
  <c r="N32" i="8"/>
  <c r="L32" i="8"/>
  <c r="H32" i="8"/>
  <c r="D32" i="8"/>
  <c r="B32" i="8"/>
  <c r="X31" i="8"/>
  <c r="Z31" i="8" s="1"/>
  <c r="T31" i="8"/>
  <c r="P31" i="8"/>
  <c r="H31" i="8"/>
  <c r="D31" i="8"/>
  <c r="L31" i="8" s="1"/>
  <c r="N31" i="8" s="1"/>
  <c r="B31" i="8"/>
  <c r="T30" i="8"/>
  <c r="P30" i="8"/>
  <c r="X30" i="8" s="1"/>
  <c r="Z30" i="8" s="1"/>
  <c r="H30" i="8"/>
  <c r="D30" i="8"/>
  <c r="L30" i="8" s="1"/>
  <c r="B30" i="8"/>
  <c r="X29" i="8"/>
  <c r="T29" i="8"/>
  <c r="Z29" i="8" s="1"/>
  <c r="P29" i="8"/>
  <c r="L29" i="8"/>
  <c r="H29" i="8"/>
  <c r="N29" i="8" s="1"/>
  <c r="D29" i="8"/>
  <c r="B29" i="8"/>
  <c r="Z28" i="8"/>
  <c r="X28" i="8"/>
  <c r="T28" i="8"/>
  <c r="P28" i="8"/>
  <c r="H28" i="8"/>
  <c r="L28" i="8" s="1"/>
  <c r="N28" i="8" s="1"/>
  <c r="D28" i="8"/>
  <c r="B28" i="8"/>
  <c r="T27" i="8"/>
  <c r="P27" i="8"/>
  <c r="X27" i="8" s="1"/>
  <c r="Z27" i="8" s="1"/>
  <c r="L27" i="8"/>
  <c r="N27" i="8" s="1"/>
  <c r="H27" i="8"/>
  <c r="D27" i="8"/>
  <c r="B27" i="8"/>
  <c r="T26" i="8"/>
  <c r="P26" i="8"/>
  <c r="X26" i="8" s="1"/>
  <c r="H26" i="8"/>
  <c r="D26" i="8"/>
  <c r="L26" i="8" s="1"/>
  <c r="N26" i="8" s="1"/>
  <c r="B26" i="8"/>
  <c r="X25" i="8"/>
  <c r="T25" i="8"/>
  <c r="Z25" i="8" s="1"/>
  <c r="P25" i="8"/>
  <c r="L25" i="8"/>
  <c r="H25" i="8"/>
  <c r="N25" i="8" s="1"/>
  <c r="D25" i="8"/>
  <c r="B25" i="8"/>
  <c r="Z24" i="8"/>
  <c r="T24" i="8"/>
  <c r="X24" i="8" s="1"/>
  <c r="P24" i="8"/>
  <c r="N24" i="8"/>
  <c r="L24" i="8"/>
  <c r="H24" i="8"/>
  <c r="D24" i="8"/>
  <c r="B24" i="8"/>
  <c r="X23" i="8"/>
  <c r="Z23" i="8" s="1"/>
  <c r="T23" i="8"/>
  <c r="P23" i="8"/>
  <c r="H23" i="8"/>
  <c r="D23" i="8"/>
  <c r="L23" i="8" s="1"/>
  <c r="N23" i="8" s="1"/>
  <c r="B23" i="8"/>
  <c r="T22" i="8"/>
  <c r="P22" i="8"/>
  <c r="X22" i="8" s="1"/>
  <c r="Z22" i="8" s="1"/>
  <c r="H22" i="8"/>
  <c r="D22" i="8"/>
  <c r="B22" i="8"/>
  <c r="X21" i="8"/>
  <c r="T21" i="8"/>
  <c r="Z21" i="8" s="1"/>
  <c r="P21" i="8"/>
  <c r="L21" i="8"/>
  <c r="H21" i="8"/>
  <c r="D21" i="8"/>
  <c r="B21" i="8"/>
  <c r="Z20" i="8"/>
  <c r="X20" i="8"/>
  <c r="T20" i="8"/>
  <c r="P20" i="8"/>
  <c r="N20" i="8"/>
  <c r="H20" i="8"/>
  <c r="L20" i="8" s="1"/>
  <c r="D20" i="8"/>
  <c r="B20" i="8"/>
  <c r="T19" i="8"/>
  <c r="P19" i="8"/>
  <c r="X19" i="8" s="1"/>
  <c r="Z19" i="8" s="1"/>
  <c r="L19" i="8"/>
  <c r="N19" i="8" s="1"/>
  <c r="H19" i="8"/>
  <c r="D19" i="8"/>
  <c r="B19" i="8"/>
  <c r="T18" i="8"/>
  <c r="P18" i="8"/>
  <c r="H18" i="8"/>
  <c r="D18" i="8"/>
  <c r="L18" i="8" s="1"/>
  <c r="N18" i="8" s="1"/>
  <c r="B18" i="8"/>
  <c r="X17" i="8"/>
  <c r="T17" i="8"/>
  <c r="Z17" i="8" s="1"/>
  <c r="P17" i="8"/>
  <c r="L17" i="8"/>
  <c r="H17" i="8"/>
  <c r="N17" i="8" s="1"/>
  <c r="D17" i="8"/>
  <c r="B17" i="8"/>
  <c r="T16" i="8"/>
  <c r="X16" i="8" s="1"/>
  <c r="Z16" i="8" s="1"/>
  <c r="P16" i="8"/>
  <c r="N16" i="8"/>
  <c r="L16" i="8"/>
  <c r="H16" i="8"/>
  <c r="D16" i="8"/>
  <c r="B16" i="8"/>
  <c r="X15" i="8"/>
  <c r="Z15" i="8" s="1"/>
  <c r="T15" i="8"/>
  <c r="P15" i="8"/>
  <c r="H15" i="8"/>
  <c r="D15" i="8"/>
  <c r="L15" i="8" s="1"/>
  <c r="N15" i="8" s="1"/>
  <c r="B15" i="8"/>
  <c r="T14" i="8"/>
  <c r="P14" i="8"/>
  <c r="X14" i="8" s="1"/>
  <c r="Z14" i="8" s="1"/>
  <c r="H14" i="8"/>
  <c r="D14" i="8"/>
  <c r="L14" i="8" s="1"/>
  <c r="B14" i="8"/>
  <c r="X13" i="8"/>
  <c r="T13" i="8"/>
  <c r="Z13" i="8" s="1"/>
  <c r="P13" i="8"/>
  <c r="L13" i="8"/>
  <c r="H13" i="8"/>
  <c r="N13" i="8" s="1"/>
  <c r="D13" i="8"/>
  <c r="B13" i="8"/>
  <c r="D4" i="8"/>
  <c r="Z235" i="7"/>
  <c r="X235" i="7"/>
  <c r="L235" i="7"/>
  <c r="N235" i="7" s="1"/>
  <c r="X231" i="7"/>
  <c r="T231" i="7"/>
  <c r="Z231" i="7" s="1"/>
  <c r="P231" i="7"/>
  <c r="L231" i="7"/>
  <c r="H231" i="7"/>
  <c r="N231" i="7" s="1"/>
  <c r="D231" i="7"/>
  <c r="B231" i="7"/>
  <c r="T230" i="7"/>
  <c r="P230" i="7"/>
  <c r="X230" i="7" s="1"/>
  <c r="Z230" i="7" s="1"/>
  <c r="N230" i="7"/>
  <c r="L230" i="7"/>
  <c r="H230" i="7"/>
  <c r="D230" i="7"/>
  <c r="B230" i="7"/>
  <c r="T229" i="7"/>
  <c r="P229" i="7"/>
  <c r="X229" i="7" s="1"/>
  <c r="L229" i="7"/>
  <c r="H229" i="7"/>
  <c r="N229" i="7" s="1"/>
  <c r="D229" i="7"/>
  <c r="B229" i="7"/>
  <c r="Z228" i="7"/>
  <c r="T228" i="7"/>
  <c r="P228" i="7"/>
  <c r="X228" i="7" s="1"/>
  <c r="H228" i="7"/>
  <c r="D228" i="7"/>
  <c r="B228" i="7"/>
  <c r="T227" i="7"/>
  <c r="P227" i="7"/>
  <c r="H227" i="7"/>
  <c r="D227" i="7"/>
  <c r="B227" i="7"/>
  <c r="Z224" i="7"/>
  <c r="X224" i="7"/>
  <c r="N224" i="7"/>
  <c r="L224" i="7"/>
  <c r="B224" i="7"/>
  <c r="X223" i="7"/>
  <c r="T223" i="7"/>
  <c r="Z223" i="7" s="1"/>
  <c r="P223" i="7"/>
  <c r="H223" i="7"/>
  <c r="D223" i="7"/>
  <c r="L223" i="7" s="1"/>
  <c r="B223" i="7"/>
  <c r="Z222" i="7"/>
  <c r="X222" i="7"/>
  <c r="N222" i="7"/>
  <c r="L222" i="7"/>
  <c r="B222" i="7"/>
  <c r="Z221" i="7"/>
  <c r="X221" i="7"/>
  <c r="L221" i="7"/>
  <c r="N221" i="7" s="1"/>
  <c r="B221" i="7"/>
  <c r="Z220" i="7"/>
  <c r="X220" i="7"/>
  <c r="N220" i="7"/>
  <c r="L220" i="7"/>
  <c r="B220" i="7"/>
  <c r="X219" i="7"/>
  <c r="T219" i="7"/>
  <c r="P219" i="7"/>
  <c r="H219" i="7"/>
  <c r="D219" i="7"/>
  <c r="B219" i="7"/>
  <c r="Z218" i="7"/>
  <c r="X218" i="7"/>
  <c r="N218" i="7"/>
  <c r="L218" i="7"/>
  <c r="B218" i="7"/>
  <c r="T217" i="7"/>
  <c r="P217" i="7"/>
  <c r="H217" i="7"/>
  <c r="N217" i="7" s="1"/>
  <c r="D217" i="7"/>
  <c r="L217" i="7" s="1"/>
  <c r="B217" i="7"/>
  <c r="Z216" i="7"/>
  <c r="X216" i="7"/>
  <c r="N216" i="7"/>
  <c r="L216" i="7"/>
  <c r="B216" i="7"/>
  <c r="X215" i="7"/>
  <c r="Z215" i="7" s="1"/>
  <c r="N215" i="7"/>
  <c r="L215" i="7"/>
  <c r="B215" i="7"/>
  <c r="Z214" i="7"/>
  <c r="X214" i="7"/>
  <c r="T214" i="7"/>
  <c r="P214" i="7"/>
  <c r="H214" i="7"/>
  <c r="L214" i="7" s="1"/>
  <c r="N214" i="7" s="1"/>
  <c r="D214" i="7"/>
  <c r="B214" i="7"/>
  <c r="X213" i="7"/>
  <c r="Z213" i="7" s="1"/>
  <c r="N213" i="7"/>
  <c r="L213" i="7"/>
  <c r="B213" i="7"/>
  <c r="Z212" i="7"/>
  <c r="X212" i="7"/>
  <c r="N212" i="7"/>
  <c r="L212" i="7"/>
  <c r="B212" i="7"/>
  <c r="X211" i="7"/>
  <c r="Z211" i="7" s="1"/>
  <c r="L211" i="7"/>
  <c r="N211" i="7" s="1"/>
  <c r="B211" i="7"/>
  <c r="Z210" i="7"/>
  <c r="X210" i="7"/>
  <c r="N210" i="7"/>
  <c r="L210" i="7"/>
  <c r="B210" i="7"/>
  <c r="Z209" i="7"/>
  <c r="X209" i="7"/>
  <c r="L209" i="7"/>
  <c r="N209" i="7" s="1"/>
  <c r="B209" i="7"/>
  <c r="Z208" i="7"/>
  <c r="X208" i="7"/>
  <c r="N208" i="7"/>
  <c r="L208" i="7"/>
  <c r="B208" i="7"/>
  <c r="X207" i="7"/>
  <c r="Z207" i="7" s="1"/>
  <c r="N207" i="7"/>
  <c r="L207" i="7"/>
  <c r="B207" i="7"/>
  <c r="T206" i="7"/>
  <c r="P206" i="7"/>
  <c r="X206" i="7" s="1"/>
  <c r="Z206" i="7" s="1"/>
  <c r="H206" i="7"/>
  <c r="D206" i="7"/>
  <c r="L206" i="7" s="1"/>
  <c r="N206" i="7" s="1"/>
  <c r="B206" i="7"/>
  <c r="Z205" i="7"/>
  <c r="X205" i="7"/>
  <c r="L205" i="7"/>
  <c r="N205" i="7" s="1"/>
  <c r="B205" i="7"/>
  <c r="Z204" i="7"/>
  <c r="X204" i="7"/>
  <c r="N204" i="7"/>
  <c r="L204" i="7"/>
  <c r="B204" i="7"/>
  <c r="X203" i="7"/>
  <c r="T203" i="7"/>
  <c r="P203" i="7"/>
  <c r="H203" i="7"/>
  <c r="D203" i="7"/>
  <c r="B203" i="7"/>
  <c r="Z202" i="7"/>
  <c r="X202" i="7"/>
  <c r="N202" i="7"/>
  <c r="L202" i="7"/>
  <c r="B202" i="7"/>
  <c r="Z201" i="7"/>
  <c r="X201" i="7"/>
  <c r="L201" i="7"/>
  <c r="N201" i="7" s="1"/>
  <c r="B201" i="7"/>
  <c r="Z200" i="7"/>
  <c r="X200" i="7"/>
  <c r="N200" i="7"/>
  <c r="L200" i="7"/>
  <c r="B200" i="7"/>
  <c r="X199" i="7"/>
  <c r="Z199" i="7" s="1"/>
  <c r="L199" i="7"/>
  <c r="N199" i="7" s="1"/>
  <c r="B199" i="7"/>
  <c r="Z198" i="7"/>
  <c r="T198" i="7"/>
  <c r="P198" i="7"/>
  <c r="X198" i="7" s="1"/>
  <c r="H198" i="7"/>
  <c r="D198" i="7"/>
  <c r="L198" i="7" s="1"/>
  <c r="N198" i="7" s="1"/>
  <c r="B198" i="7"/>
  <c r="Z197" i="7"/>
  <c r="X197" i="7"/>
  <c r="L197" i="7"/>
  <c r="N197" i="7" s="1"/>
  <c r="B197" i="7"/>
  <c r="Z196" i="7"/>
  <c r="X196" i="7"/>
  <c r="N196" i="7"/>
  <c r="L196" i="7"/>
  <c r="B196" i="7"/>
  <c r="X195" i="7"/>
  <c r="Z195" i="7" s="1"/>
  <c r="N195" i="7"/>
  <c r="L195" i="7"/>
  <c r="B195" i="7"/>
  <c r="Z194" i="7"/>
  <c r="T194" i="7"/>
  <c r="P194" i="7"/>
  <c r="X194" i="7" s="1"/>
  <c r="H194" i="7"/>
  <c r="D194" i="7"/>
  <c r="L194" i="7" s="1"/>
  <c r="N194" i="7" s="1"/>
  <c r="B194" i="7"/>
  <c r="Z193" i="7"/>
  <c r="X193" i="7"/>
  <c r="L193" i="7"/>
  <c r="N193" i="7" s="1"/>
  <c r="B193" i="7"/>
  <c r="Z192" i="7"/>
  <c r="X192" i="7"/>
  <c r="N192" i="7"/>
  <c r="L192" i="7"/>
  <c r="B192" i="7"/>
  <c r="X191" i="7"/>
  <c r="Z191" i="7" s="1"/>
  <c r="N191" i="7"/>
  <c r="L191" i="7"/>
  <c r="B191" i="7"/>
  <c r="Z190" i="7"/>
  <c r="X190" i="7"/>
  <c r="N190" i="7"/>
  <c r="L190" i="7"/>
  <c r="B190" i="7"/>
  <c r="X189" i="7"/>
  <c r="T189" i="7"/>
  <c r="Z189" i="7" s="1"/>
  <c r="P189" i="7"/>
  <c r="L189" i="7"/>
  <c r="H189" i="7"/>
  <c r="D189" i="7"/>
  <c r="B189" i="7"/>
  <c r="Z188" i="7"/>
  <c r="X188" i="7"/>
  <c r="N188" i="7"/>
  <c r="L188" i="7"/>
  <c r="B188" i="7"/>
  <c r="X187" i="7"/>
  <c r="T187" i="7"/>
  <c r="Z187" i="7" s="1"/>
  <c r="P187" i="7"/>
  <c r="H187" i="7"/>
  <c r="D187" i="7"/>
  <c r="B187" i="7"/>
  <c r="Z186" i="7"/>
  <c r="X186" i="7"/>
  <c r="N186" i="7"/>
  <c r="L186" i="7"/>
  <c r="B186" i="7"/>
  <c r="T185" i="7"/>
  <c r="P185" i="7"/>
  <c r="H185" i="7"/>
  <c r="D185" i="7"/>
  <c r="L185" i="7" s="1"/>
  <c r="B185" i="7"/>
  <c r="Z184" i="7"/>
  <c r="X184" i="7"/>
  <c r="N184" i="7"/>
  <c r="L184" i="7"/>
  <c r="B184" i="7"/>
  <c r="Z183" i="7"/>
  <c r="X183" i="7"/>
  <c r="L183" i="7"/>
  <c r="N183" i="7" s="1"/>
  <c r="B183" i="7"/>
  <c r="Z182" i="7"/>
  <c r="X182" i="7"/>
  <c r="T182" i="7"/>
  <c r="P182" i="7"/>
  <c r="H182" i="7"/>
  <c r="D182" i="7"/>
  <c r="L182" i="7" s="1"/>
  <c r="N182" i="7" s="1"/>
  <c r="B182" i="7"/>
  <c r="X181" i="7"/>
  <c r="Z181" i="7" s="1"/>
  <c r="N181" i="7"/>
  <c r="L181" i="7"/>
  <c r="B181" i="7"/>
  <c r="T180" i="7"/>
  <c r="P180" i="7"/>
  <c r="X180" i="7" s="1"/>
  <c r="Z180" i="7" s="1"/>
  <c r="N180" i="7"/>
  <c r="H180" i="7"/>
  <c r="D180" i="7"/>
  <c r="L180" i="7" s="1"/>
  <c r="B180" i="7"/>
  <c r="X179" i="7"/>
  <c r="Z179" i="7" s="1"/>
  <c r="L179" i="7"/>
  <c r="N179" i="7" s="1"/>
  <c r="B179" i="7"/>
  <c r="Z178" i="7"/>
  <c r="T178" i="7"/>
  <c r="P178" i="7"/>
  <c r="X178" i="7" s="1"/>
  <c r="H178" i="7"/>
  <c r="L178" i="7" s="1"/>
  <c r="N178" i="7" s="1"/>
  <c r="D178" i="7"/>
  <c r="B178" i="7"/>
  <c r="Z177" i="7"/>
  <c r="X177" i="7"/>
  <c r="L177" i="7"/>
  <c r="N177" i="7" s="1"/>
  <c r="B177" i="7"/>
  <c r="Z176" i="7"/>
  <c r="X176" i="7"/>
  <c r="N176" i="7"/>
  <c r="L176" i="7"/>
  <c r="B176" i="7"/>
  <c r="X175" i="7"/>
  <c r="T175" i="7"/>
  <c r="P175" i="7"/>
  <c r="H175" i="7"/>
  <c r="D175" i="7"/>
  <c r="L175" i="7" s="1"/>
  <c r="B175" i="7"/>
  <c r="Z174" i="7"/>
  <c r="X174" i="7"/>
  <c r="N174" i="7"/>
  <c r="L174" i="7"/>
  <c r="B174" i="7"/>
  <c r="T173" i="7"/>
  <c r="P173" i="7"/>
  <c r="X173" i="7" s="1"/>
  <c r="H173" i="7"/>
  <c r="D173" i="7"/>
  <c r="L173" i="7" s="1"/>
  <c r="B173" i="7"/>
  <c r="Z172" i="7"/>
  <c r="X172" i="7"/>
  <c r="N172" i="7"/>
  <c r="L172" i="7"/>
  <c r="B172" i="7"/>
  <c r="T171" i="7"/>
  <c r="P171" i="7"/>
  <c r="X171" i="7" s="1"/>
  <c r="L171" i="7"/>
  <c r="H171" i="7"/>
  <c r="D171" i="7"/>
  <c r="B171" i="7"/>
  <c r="Z170" i="7"/>
  <c r="X170" i="7"/>
  <c r="N170" i="7"/>
  <c r="L170" i="7"/>
  <c r="B170" i="7"/>
  <c r="X169" i="7"/>
  <c r="T169" i="7"/>
  <c r="Z169" i="7" s="1"/>
  <c r="P169" i="7"/>
  <c r="H169" i="7"/>
  <c r="N169" i="7" s="1"/>
  <c r="D169" i="7"/>
  <c r="B169" i="7"/>
  <c r="Z168" i="7"/>
  <c r="X168" i="7"/>
  <c r="N168" i="7"/>
  <c r="L168" i="7"/>
  <c r="B168" i="7"/>
  <c r="Z167" i="7"/>
  <c r="X167" i="7"/>
  <c r="N167" i="7"/>
  <c r="L167" i="7"/>
  <c r="B167" i="7"/>
  <c r="Z166" i="7"/>
  <c r="T166" i="7"/>
  <c r="P166" i="7"/>
  <c r="X166" i="7" s="1"/>
  <c r="N166" i="7"/>
  <c r="H166" i="7"/>
  <c r="L166" i="7" s="1"/>
  <c r="D166" i="7"/>
  <c r="B166" i="7"/>
  <c r="Z165" i="7"/>
  <c r="X165" i="7"/>
  <c r="L165" i="7"/>
  <c r="N165" i="7" s="1"/>
  <c r="B165" i="7"/>
  <c r="Z164" i="7"/>
  <c r="X164" i="7"/>
  <c r="N164" i="7"/>
  <c r="L164" i="7"/>
  <c r="B164" i="7"/>
  <c r="T163" i="7"/>
  <c r="P163" i="7"/>
  <c r="H163" i="7"/>
  <c r="D163" i="7"/>
  <c r="L163" i="7" s="1"/>
  <c r="B163" i="7"/>
  <c r="Z162" i="7"/>
  <c r="X162" i="7"/>
  <c r="N162" i="7"/>
  <c r="L162" i="7"/>
  <c r="B162" i="7"/>
  <c r="T161" i="7"/>
  <c r="P161" i="7"/>
  <c r="X161" i="7" s="1"/>
  <c r="H161" i="7"/>
  <c r="D161" i="7"/>
  <c r="L161" i="7" s="1"/>
  <c r="B161" i="7"/>
  <c r="Z160" i="7"/>
  <c r="X160" i="7"/>
  <c r="N160" i="7"/>
  <c r="L160" i="7"/>
  <c r="B160" i="7"/>
  <c r="X159" i="7"/>
  <c r="Z159" i="7" s="1"/>
  <c r="L159" i="7"/>
  <c r="N159" i="7" s="1"/>
  <c r="B159" i="7"/>
  <c r="Z158" i="7"/>
  <c r="X158" i="7"/>
  <c r="T158" i="7"/>
  <c r="P158" i="7"/>
  <c r="H158" i="7"/>
  <c r="D158" i="7"/>
  <c r="L158" i="7" s="1"/>
  <c r="N158" i="7" s="1"/>
  <c r="B158" i="7"/>
  <c r="X157" i="7"/>
  <c r="Z157" i="7" s="1"/>
  <c r="N157" i="7"/>
  <c r="L157" i="7"/>
  <c r="B157" i="7"/>
  <c r="T156" i="7"/>
  <c r="P156" i="7"/>
  <c r="X156" i="7" s="1"/>
  <c r="Z156" i="7" s="1"/>
  <c r="N156" i="7"/>
  <c r="H156" i="7"/>
  <c r="D156" i="7"/>
  <c r="L156" i="7" s="1"/>
  <c r="B156" i="7"/>
  <c r="X155" i="7"/>
  <c r="Z155" i="7" s="1"/>
  <c r="L155" i="7"/>
  <c r="N155" i="7" s="1"/>
  <c r="B155" i="7"/>
  <c r="Z154" i="7"/>
  <c r="X154" i="7"/>
  <c r="N154" i="7"/>
  <c r="L154" i="7"/>
  <c r="B154" i="7"/>
  <c r="X153" i="7"/>
  <c r="Z153" i="7" s="1"/>
  <c r="N153" i="7"/>
  <c r="L153" i="7"/>
  <c r="B153" i="7"/>
  <c r="Z152" i="7"/>
  <c r="X152" i="7"/>
  <c r="N152" i="7"/>
  <c r="L152" i="7"/>
  <c r="B152" i="7"/>
  <c r="X151" i="7"/>
  <c r="Z151" i="7" s="1"/>
  <c r="L151" i="7"/>
  <c r="N151" i="7" s="1"/>
  <c r="B151" i="7"/>
  <c r="Z150" i="7"/>
  <c r="X150" i="7"/>
  <c r="N150" i="7"/>
  <c r="L150" i="7"/>
  <c r="B150" i="7"/>
  <c r="Z149" i="7"/>
  <c r="X149" i="7"/>
  <c r="L149" i="7"/>
  <c r="N149" i="7" s="1"/>
  <c r="B149" i="7"/>
  <c r="T148" i="7"/>
  <c r="P148" i="7"/>
  <c r="X148" i="7" s="1"/>
  <c r="Z148" i="7" s="1"/>
  <c r="N148" i="7"/>
  <c r="L148" i="7"/>
  <c r="H148" i="7"/>
  <c r="D148" i="7"/>
  <c r="B148" i="7"/>
  <c r="X147" i="7"/>
  <c r="Z147" i="7" s="1"/>
  <c r="L147" i="7"/>
  <c r="N147" i="7" s="1"/>
  <c r="B147" i="7"/>
  <c r="Z146" i="7"/>
  <c r="X146" i="7"/>
  <c r="N146" i="7"/>
  <c r="L146" i="7"/>
  <c r="B146" i="7"/>
  <c r="Z145" i="7"/>
  <c r="X145" i="7"/>
  <c r="L145" i="7"/>
  <c r="N145" i="7" s="1"/>
  <c r="B145" i="7"/>
  <c r="Z144" i="7"/>
  <c r="X144" i="7"/>
  <c r="N144" i="7"/>
  <c r="L144" i="7"/>
  <c r="B144" i="7"/>
  <c r="Z143" i="7"/>
  <c r="X143" i="7"/>
  <c r="N143" i="7"/>
  <c r="L143" i="7"/>
  <c r="B143" i="7"/>
  <c r="Z142" i="7"/>
  <c r="X142" i="7"/>
  <c r="N142" i="7"/>
  <c r="L142" i="7"/>
  <c r="B142" i="7"/>
  <c r="X141" i="7"/>
  <c r="Z141" i="7" s="1"/>
  <c r="N141" i="7"/>
  <c r="L141" i="7"/>
  <c r="B141" i="7"/>
  <c r="Z140" i="7"/>
  <c r="X140" i="7"/>
  <c r="N140" i="7"/>
  <c r="L140" i="7"/>
  <c r="B140" i="7"/>
  <c r="X139" i="7"/>
  <c r="Z139" i="7" s="1"/>
  <c r="L139" i="7"/>
  <c r="N139" i="7" s="1"/>
  <c r="B139" i="7"/>
  <c r="Z138" i="7"/>
  <c r="X138" i="7"/>
  <c r="N138" i="7"/>
  <c r="L138" i="7"/>
  <c r="B138" i="7"/>
  <c r="T137" i="7"/>
  <c r="P137" i="7"/>
  <c r="L137" i="7"/>
  <c r="H137" i="7"/>
  <c r="D137" i="7"/>
  <c r="B137" i="7"/>
  <c r="T136" i="7" a="1"/>
  <c r="T136" i="7" s="1"/>
  <c r="P136" i="7" a="1"/>
  <c r="P136" i="7" s="1"/>
  <c r="H136" i="7" a="1"/>
  <c r="H136" i="7" s="1"/>
  <c r="D136" i="7" a="1"/>
  <c r="D136" i="7" s="1"/>
  <c r="L136" i="7" s="1"/>
  <c r="N136" i="7" s="1"/>
  <c r="Z132" i="7"/>
  <c r="X132" i="7"/>
  <c r="N132" i="7"/>
  <c r="L132" i="7"/>
  <c r="B132" i="7"/>
  <c r="X131" i="7"/>
  <c r="Z131" i="7" s="1"/>
  <c r="L131" i="7"/>
  <c r="N131" i="7" s="1"/>
  <c r="B131" i="7"/>
  <c r="Z130" i="7"/>
  <c r="X130" i="7"/>
  <c r="N130" i="7"/>
  <c r="L130" i="7"/>
  <c r="B130" i="7"/>
  <c r="X129" i="7"/>
  <c r="Z129" i="7" s="1"/>
  <c r="N129" i="7"/>
  <c r="L129" i="7"/>
  <c r="B129" i="7"/>
  <c r="Z128" i="7"/>
  <c r="X128" i="7"/>
  <c r="N128" i="7"/>
  <c r="L128" i="7"/>
  <c r="B128" i="7"/>
  <c r="X127" i="7"/>
  <c r="Z127" i="7" s="1"/>
  <c r="L127" i="7"/>
  <c r="N127" i="7" s="1"/>
  <c r="B127" i="7"/>
  <c r="X126" i="7"/>
  <c r="Z126" i="7" s="1"/>
  <c r="N126" i="7"/>
  <c r="L126" i="7"/>
  <c r="B126" i="7"/>
  <c r="Z125" i="7"/>
  <c r="X125" i="7"/>
  <c r="L125" i="7"/>
  <c r="N125" i="7" s="1"/>
  <c r="B125" i="7"/>
  <c r="Z124" i="7"/>
  <c r="X124" i="7"/>
  <c r="N124" i="7"/>
  <c r="L124" i="7"/>
  <c r="B124" i="7"/>
  <c r="Z123" i="7"/>
  <c r="X123" i="7"/>
  <c r="N123" i="7"/>
  <c r="L123" i="7"/>
  <c r="B123" i="7"/>
  <c r="Z122" i="7"/>
  <c r="X122" i="7"/>
  <c r="N122" i="7"/>
  <c r="L122" i="7"/>
  <c r="B122" i="7"/>
  <c r="Z121" i="7"/>
  <c r="X121" i="7"/>
  <c r="N121" i="7"/>
  <c r="L121" i="7"/>
  <c r="B121" i="7"/>
  <c r="Z120" i="7"/>
  <c r="X120" i="7"/>
  <c r="N120" i="7"/>
  <c r="L120" i="7"/>
  <c r="B120" i="7"/>
  <c r="X119" i="7"/>
  <c r="Z119" i="7" s="1"/>
  <c r="L119" i="7"/>
  <c r="N119" i="7" s="1"/>
  <c r="B119" i="7"/>
  <c r="Z118" i="7"/>
  <c r="X118" i="7"/>
  <c r="N118" i="7"/>
  <c r="L118" i="7"/>
  <c r="B118" i="7"/>
  <c r="Z117" i="7"/>
  <c r="X117" i="7"/>
  <c r="L117" i="7"/>
  <c r="N117" i="7" s="1"/>
  <c r="B117" i="7"/>
  <c r="Z116" i="7"/>
  <c r="X116" i="7"/>
  <c r="N116" i="7"/>
  <c r="L116" i="7"/>
  <c r="B116" i="7"/>
  <c r="X115" i="7"/>
  <c r="Z115" i="7" s="1"/>
  <c r="L115" i="7"/>
  <c r="N115" i="7" s="1"/>
  <c r="B115" i="7"/>
  <c r="Z114" i="7"/>
  <c r="X114" i="7"/>
  <c r="L114" i="7"/>
  <c r="N114" i="7" s="1"/>
  <c r="B114" i="7"/>
  <c r="Z113" i="7"/>
  <c r="X113" i="7"/>
  <c r="N113" i="7"/>
  <c r="L113" i="7"/>
  <c r="B113" i="7"/>
  <c r="Z112" i="7"/>
  <c r="X112" i="7"/>
  <c r="N112" i="7"/>
  <c r="L112" i="7"/>
  <c r="B112" i="7"/>
  <c r="X111" i="7"/>
  <c r="Z111" i="7" s="1"/>
  <c r="L111" i="7"/>
  <c r="N111" i="7" s="1"/>
  <c r="B111" i="7"/>
  <c r="Z110" i="7"/>
  <c r="X110" i="7"/>
  <c r="N110" i="7"/>
  <c r="L110" i="7"/>
  <c r="B110" i="7"/>
  <c r="Z109" i="7"/>
  <c r="X109" i="7"/>
  <c r="L109" i="7"/>
  <c r="N109" i="7" s="1"/>
  <c r="B109" i="7"/>
  <c r="Z108" i="7"/>
  <c r="X108" i="7"/>
  <c r="N108" i="7"/>
  <c r="L108" i="7"/>
  <c r="B108" i="7"/>
  <c r="X107" i="7"/>
  <c r="Z107" i="7" s="1"/>
  <c r="L107" i="7"/>
  <c r="N107" i="7" s="1"/>
  <c r="B107" i="7"/>
  <c r="Z106" i="7"/>
  <c r="X106" i="7"/>
  <c r="L106" i="7"/>
  <c r="N106" i="7" s="1"/>
  <c r="B106" i="7"/>
  <c r="X105" i="7"/>
  <c r="Z105" i="7" s="1"/>
  <c r="N105" i="7"/>
  <c r="L105" i="7"/>
  <c r="B105" i="7"/>
  <c r="Z104" i="7"/>
  <c r="X104" i="7"/>
  <c r="N104" i="7"/>
  <c r="L104" i="7"/>
  <c r="B104" i="7"/>
  <c r="X103" i="7"/>
  <c r="Z103" i="7" s="1"/>
  <c r="L103" i="7"/>
  <c r="N103" i="7" s="1"/>
  <c r="B103" i="7"/>
  <c r="Z102" i="7"/>
  <c r="X102" i="7"/>
  <c r="N102" i="7"/>
  <c r="L102" i="7"/>
  <c r="B102" i="7"/>
  <c r="Z101" i="7"/>
  <c r="X101" i="7"/>
  <c r="L101" i="7"/>
  <c r="N101" i="7" s="1"/>
  <c r="B101" i="7"/>
  <c r="Z100" i="7"/>
  <c r="X100" i="7"/>
  <c r="N100" i="7"/>
  <c r="L100" i="7"/>
  <c r="B100" i="7"/>
  <c r="X99" i="7"/>
  <c r="Z99" i="7" s="1"/>
  <c r="L99" i="7"/>
  <c r="N99" i="7" s="1"/>
  <c r="B99" i="7"/>
  <c r="Z98" i="7"/>
  <c r="X98" i="7"/>
  <c r="N98" i="7"/>
  <c r="L98" i="7"/>
  <c r="B98" i="7"/>
  <c r="X97" i="7"/>
  <c r="Z97" i="7" s="1"/>
  <c r="N97" i="7"/>
  <c r="L97" i="7"/>
  <c r="B97" i="7"/>
  <c r="Z96" i="7"/>
  <c r="X96" i="7"/>
  <c r="N96" i="7"/>
  <c r="L96" i="7"/>
  <c r="B96" i="7"/>
  <c r="X95" i="7"/>
  <c r="Z95" i="7" s="1"/>
  <c r="L95" i="7"/>
  <c r="N95" i="7" s="1"/>
  <c r="B95" i="7"/>
  <c r="X94" i="7"/>
  <c r="Z94" i="7" s="1"/>
  <c r="N94" i="7"/>
  <c r="L94" i="7"/>
  <c r="B94" i="7"/>
  <c r="Z93" i="7"/>
  <c r="X93" i="7"/>
  <c r="L93" i="7"/>
  <c r="N93" i="7" s="1"/>
  <c r="B93" i="7"/>
  <c r="Z92" i="7"/>
  <c r="X92" i="7"/>
  <c r="N92" i="7"/>
  <c r="L92" i="7"/>
  <c r="B92" i="7"/>
  <c r="X91" i="7"/>
  <c r="Z91" i="7" s="1"/>
  <c r="L91" i="7"/>
  <c r="N91" i="7" s="1"/>
  <c r="B91" i="7"/>
  <c r="Z90" i="7"/>
  <c r="X90" i="7"/>
  <c r="N90" i="7"/>
  <c r="L90" i="7"/>
  <c r="B90" i="7"/>
  <c r="X89" i="7"/>
  <c r="Z89" i="7" s="1"/>
  <c r="N89" i="7"/>
  <c r="L89" i="7"/>
  <c r="B89" i="7"/>
  <c r="Z88" i="7"/>
  <c r="X88" i="7"/>
  <c r="N88" i="7"/>
  <c r="L88" i="7"/>
  <c r="B88" i="7"/>
  <c r="X87" i="7"/>
  <c r="Z87" i="7" s="1"/>
  <c r="L87" i="7"/>
  <c r="N87" i="7" s="1"/>
  <c r="B87" i="7"/>
  <c r="Z86" i="7"/>
  <c r="X86" i="7"/>
  <c r="N86" i="7"/>
  <c r="L86" i="7"/>
  <c r="B86" i="7"/>
  <c r="X85" i="7"/>
  <c r="Z85" i="7" s="1"/>
  <c r="L85" i="7"/>
  <c r="N85" i="7" s="1"/>
  <c r="B85" i="7"/>
  <c r="Z84" i="7"/>
  <c r="X84" i="7"/>
  <c r="N84" i="7"/>
  <c r="L84" i="7"/>
  <c r="B84" i="7"/>
  <c r="T83" i="7"/>
  <c r="P83" i="7"/>
  <c r="X83" i="7" s="1"/>
  <c r="N83" i="7"/>
  <c r="L83" i="7"/>
  <c r="H83" i="7"/>
  <c r="D83" i="7"/>
  <c r="T81" i="7"/>
  <c r="Z81" i="7" s="1"/>
  <c r="P81" i="7"/>
  <c r="X81" i="7" s="1"/>
  <c r="L81" i="7"/>
  <c r="H81" i="7"/>
  <c r="N81" i="7" s="1"/>
  <c r="D81" i="7"/>
  <c r="B81" i="7"/>
  <c r="X80" i="7"/>
  <c r="T80" i="7"/>
  <c r="Z80" i="7" s="1"/>
  <c r="P80" i="7"/>
  <c r="N80" i="7"/>
  <c r="L80" i="7"/>
  <c r="H80" i="7"/>
  <c r="D80" i="7"/>
  <c r="B80" i="7"/>
  <c r="T79" i="7"/>
  <c r="P79" i="7"/>
  <c r="X79" i="7" s="1"/>
  <c r="Z79" i="7" s="1"/>
  <c r="N79" i="7"/>
  <c r="L79" i="7"/>
  <c r="H79" i="7"/>
  <c r="D79" i="7"/>
  <c r="B79" i="7"/>
  <c r="T78" i="7"/>
  <c r="Z78" i="7" s="1"/>
  <c r="P78" i="7"/>
  <c r="X78" i="7" s="1"/>
  <c r="H78" i="7"/>
  <c r="D78" i="7"/>
  <c r="B78" i="7"/>
  <c r="T77" i="7"/>
  <c r="P77" i="7"/>
  <c r="X77" i="7" s="1"/>
  <c r="L77" i="7"/>
  <c r="H77" i="7"/>
  <c r="N77" i="7" s="1"/>
  <c r="D77" i="7"/>
  <c r="B77" i="7"/>
  <c r="X76" i="7"/>
  <c r="T76" i="7"/>
  <c r="Z76" i="7" s="1"/>
  <c r="P76" i="7"/>
  <c r="N76" i="7"/>
  <c r="L76" i="7"/>
  <c r="H76" i="7"/>
  <c r="D76" i="7"/>
  <c r="B76" i="7"/>
  <c r="T75" i="7"/>
  <c r="P75" i="7"/>
  <c r="X75" i="7" s="1"/>
  <c r="Z75" i="7" s="1"/>
  <c r="N75" i="7"/>
  <c r="L75" i="7"/>
  <c r="H75" i="7"/>
  <c r="D75" i="7"/>
  <c r="B75" i="7"/>
  <c r="T74" i="7"/>
  <c r="P74" i="7"/>
  <c r="X74" i="7" s="1"/>
  <c r="H74" i="7"/>
  <c r="D74" i="7"/>
  <c r="B74" i="7"/>
  <c r="T73" i="7"/>
  <c r="Z73" i="7" s="1"/>
  <c r="P73" i="7"/>
  <c r="X73" i="7" s="1"/>
  <c r="L73" i="7"/>
  <c r="H73" i="7"/>
  <c r="N73" i="7" s="1"/>
  <c r="D73" i="7"/>
  <c r="B73" i="7"/>
  <c r="X72" i="7"/>
  <c r="T72" i="7"/>
  <c r="Z72" i="7" s="1"/>
  <c r="P72" i="7"/>
  <c r="N72" i="7"/>
  <c r="L72" i="7"/>
  <c r="H72" i="7"/>
  <c r="D72" i="7"/>
  <c r="B72" i="7"/>
  <c r="T71" i="7"/>
  <c r="P71" i="7"/>
  <c r="X71" i="7" s="1"/>
  <c r="Z71" i="7" s="1"/>
  <c r="N71" i="7"/>
  <c r="L71" i="7"/>
  <c r="H71" i="7"/>
  <c r="D71" i="7"/>
  <c r="B71" i="7"/>
  <c r="T70" i="7"/>
  <c r="Z70" i="7" s="1"/>
  <c r="P70" i="7"/>
  <c r="X70" i="7" s="1"/>
  <c r="H70" i="7"/>
  <c r="D70" i="7"/>
  <c r="B70" i="7"/>
  <c r="T69" i="7"/>
  <c r="P69" i="7"/>
  <c r="X69" i="7" s="1"/>
  <c r="L69" i="7"/>
  <c r="H69" i="7"/>
  <c r="D69" i="7"/>
  <c r="B69" i="7"/>
  <c r="X68" i="7"/>
  <c r="T68" i="7"/>
  <c r="Z68" i="7" s="1"/>
  <c r="P68" i="7"/>
  <c r="N68" i="7"/>
  <c r="L68" i="7"/>
  <c r="H68" i="7"/>
  <c r="D68" i="7"/>
  <c r="B68" i="7"/>
  <c r="T67" i="7"/>
  <c r="P67" i="7"/>
  <c r="X67" i="7" s="1"/>
  <c r="Z67" i="7" s="1"/>
  <c r="N67" i="7"/>
  <c r="L67" i="7"/>
  <c r="H67" i="7"/>
  <c r="D67" i="7"/>
  <c r="B67" i="7"/>
  <c r="T66" i="7"/>
  <c r="Z66" i="7" s="1"/>
  <c r="P66" i="7"/>
  <c r="X66" i="7" s="1"/>
  <c r="H66" i="7"/>
  <c r="D66" i="7"/>
  <c r="B66" i="7"/>
  <c r="T65" i="7"/>
  <c r="P65" i="7"/>
  <c r="X65" i="7" s="1"/>
  <c r="L65" i="7"/>
  <c r="H65" i="7"/>
  <c r="D65" i="7"/>
  <c r="B65" i="7"/>
  <c r="X64" i="7"/>
  <c r="T64" i="7"/>
  <c r="Z64" i="7" s="1"/>
  <c r="P64" i="7"/>
  <c r="N64" i="7"/>
  <c r="L64" i="7"/>
  <c r="H64" i="7"/>
  <c r="D64" i="7"/>
  <c r="B64" i="7"/>
  <c r="T63" i="7"/>
  <c r="P63" i="7"/>
  <c r="X63" i="7" s="1"/>
  <c r="Z63" i="7" s="1"/>
  <c r="N63" i="7"/>
  <c r="L63" i="7"/>
  <c r="H63" i="7"/>
  <c r="D63" i="7"/>
  <c r="B63" i="7"/>
  <c r="T62" i="7"/>
  <c r="Z62" i="7" s="1"/>
  <c r="P62" i="7"/>
  <c r="X62" i="7" s="1"/>
  <c r="H62" i="7"/>
  <c r="D62" i="7"/>
  <c r="B62" i="7"/>
  <c r="T61" i="7"/>
  <c r="P61" i="7"/>
  <c r="X61" i="7" s="1"/>
  <c r="L61" i="7"/>
  <c r="H61" i="7"/>
  <c r="N61" i="7" s="1"/>
  <c r="D61" i="7"/>
  <c r="B61" i="7"/>
  <c r="X60" i="7"/>
  <c r="T60" i="7"/>
  <c r="Z60" i="7" s="1"/>
  <c r="P60" i="7"/>
  <c r="N60" i="7"/>
  <c r="L60" i="7"/>
  <c r="H60" i="7"/>
  <c r="D60" i="7"/>
  <c r="B60" i="7"/>
  <c r="T59" i="7"/>
  <c r="P59" i="7"/>
  <c r="X59" i="7" s="1"/>
  <c r="Z59" i="7" s="1"/>
  <c r="N59" i="7"/>
  <c r="L59" i="7"/>
  <c r="H59" i="7"/>
  <c r="D59" i="7"/>
  <c r="B59" i="7"/>
  <c r="T58" i="7"/>
  <c r="Z58" i="7" s="1"/>
  <c r="P58" i="7"/>
  <c r="X58" i="7" s="1"/>
  <c r="N58" i="7"/>
  <c r="H58" i="7"/>
  <c r="D58" i="7"/>
  <c r="B58" i="7"/>
  <c r="T57" i="7"/>
  <c r="P57" i="7"/>
  <c r="X57" i="7" s="1"/>
  <c r="L57" i="7"/>
  <c r="H57" i="7"/>
  <c r="D57" i="7"/>
  <c r="B57" i="7"/>
  <c r="X56" i="7"/>
  <c r="T56" i="7"/>
  <c r="Z56" i="7" s="1"/>
  <c r="P56" i="7"/>
  <c r="N56" i="7"/>
  <c r="L56" i="7"/>
  <c r="H56" i="7"/>
  <c r="D56" i="7"/>
  <c r="B56" i="7"/>
  <c r="T55" i="7"/>
  <c r="P55" i="7"/>
  <c r="X55" i="7" s="1"/>
  <c r="Z55" i="7" s="1"/>
  <c r="N55" i="7"/>
  <c r="L55" i="7"/>
  <c r="H55" i="7"/>
  <c r="D55" i="7"/>
  <c r="B55" i="7"/>
  <c r="T54" i="7"/>
  <c r="P54" i="7"/>
  <c r="X54" i="7" s="1"/>
  <c r="H54" i="7"/>
  <c r="D54" i="7"/>
  <c r="B54" i="7"/>
  <c r="T53" i="7"/>
  <c r="P53" i="7"/>
  <c r="X53" i="7" s="1"/>
  <c r="L53" i="7"/>
  <c r="H53" i="7"/>
  <c r="D53" i="7"/>
  <c r="B53" i="7"/>
  <c r="X52" i="7"/>
  <c r="T52" i="7"/>
  <c r="Z52" i="7" s="1"/>
  <c r="P52" i="7"/>
  <c r="N52" i="7"/>
  <c r="L52" i="7"/>
  <c r="H52" i="7"/>
  <c r="D52" i="7"/>
  <c r="B52" i="7"/>
  <c r="T51" i="7"/>
  <c r="P51" i="7"/>
  <c r="X51" i="7" s="1"/>
  <c r="Z51" i="7" s="1"/>
  <c r="N51" i="7"/>
  <c r="L51" i="7"/>
  <c r="H51" i="7"/>
  <c r="D51" i="7"/>
  <c r="B51" i="7"/>
  <c r="T50" i="7"/>
  <c r="P50" i="7"/>
  <c r="X50" i="7" s="1"/>
  <c r="H50" i="7"/>
  <c r="D50" i="7"/>
  <c r="B50" i="7"/>
  <c r="T49" i="7"/>
  <c r="P49" i="7"/>
  <c r="X49" i="7" s="1"/>
  <c r="L49" i="7"/>
  <c r="H49" i="7"/>
  <c r="N49" i="7" s="1"/>
  <c r="D49" i="7"/>
  <c r="B49" i="7"/>
  <c r="X48" i="7"/>
  <c r="T48" i="7"/>
  <c r="Z48" i="7" s="1"/>
  <c r="P48" i="7"/>
  <c r="N48" i="7"/>
  <c r="L48" i="7"/>
  <c r="H48" i="7"/>
  <c r="D48" i="7"/>
  <c r="B48" i="7"/>
  <c r="T47" i="7"/>
  <c r="P47" i="7"/>
  <c r="X47" i="7" s="1"/>
  <c r="Z47" i="7" s="1"/>
  <c r="N47" i="7"/>
  <c r="L47" i="7"/>
  <c r="H47" i="7"/>
  <c r="D47" i="7"/>
  <c r="B47" i="7"/>
  <c r="T46" i="7"/>
  <c r="Z46" i="7" s="1"/>
  <c r="P46" i="7"/>
  <c r="X46" i="7" s="1"/>
  <c r="N46" i="7"/>
  <c r="H46" i="7"/>
  <c r="D46" i="7"/>
  <c r="B46" i="7"/>
  <c r="T45" i="7"/>
  <c r="P45" i="7"/>
  <c r="X45" i="7" s="1"/>
  <c r="N45" i="7"/>
  <c r="L45" i="7"/>
  <c r="H45" i="7"/>
  <c r="D45" i="7"/>
  <c r="B45" i="7"/>
  <c r="T44" i="7"/>
  <c r="Z44" i="7" s="1"/>
  <c r="P44" i="7"/>
  <c r="X44" i="7" s="1"/>
  <c r="N44" i="7"/>
  <c r="L44" i="7"/>
  <c r="H44" i="7"/>
  <c r="D44" i="7"/>
  <c r="B44" i="7"/>
  <c r="T43" i="7"/>
  <c r="P43" i="7"/>
  <c r="H43" i="7"/>
  <c r="D43" i="7"/>
  <c r="L43" i="7" s="1"/>
  <c r="N43" i="7" s="1"/>
  <c r="B43" i="7"/>
  <c r="X42" i="7"/>
  <c r="Z42" i="7" s="1"/>
  <c r="T42" i="7"/>
  <c r="P42" i="7"/>
  <c r="H42" i="7"/>
  <c r="N42" i="7" s="1"/>
  <c r="D42" i="7"/>
  <c r="L42" i="7" s="1"/>
  <c r="B42" i="7"/>
  <c r="Z41" i="7"/>
  <c r="X41" i="7"/>
  <c r="T41" i="7"/>
  <c r="P41" i="7"/>
  <c r="H41" i="7"/>
  <c r="N41" i="7" s="1"/>
  <c r="D41" i="7"/>
  <c r="L41" i="7" s="1"/>
  <c r="B41" i="7"/>
  <c r="Z40" i="7"/>
  <c r="X40" i="7"/>
  <c r="T40" i="7"/>
  <c r="P40" i="7"/>
  <c r="H40" i="7"/>
  <c r="N40" i="7" s="1"/>
  <c r="D40" i="7"/>
  <c r="L40" i="7" s="1"/>
  <c r="B40" i="7"/>
  <c r="T39" i="7"/>
  <c r="P39" i="7"/>
  <c r="X39" i="7" s="1"/>
  <c r="Z39" i="7" s="1"/>
  <c r="H39" i="7"/>
  <c r="D39" i="7"/>
  <c r="B39" i="7"/>
  <c r="T38" i="7"/>
  <c r="Z38" i="7" s="1"/>
  <c r="P38" i="7"/>
  <c r="X38" i="7" s="1"/>
  <c r="N38" i="7"/>
  <c r="L38" i="7"/>
  <c r="H38" i="7"/>
  <c r="D38" i="7"/>
  <c r="B38" i="7"/>
  <c r="T37" i="7"/>
  <c r="P37" i="7"/>
  <c r="X37" i="7" s="1"/>
  <c r="N37" i="7"/>
  <c r="L37" i="7"/>
  <c r="H37" i="7"/>
  <c r="D37" i="7"/>
  <c r="B37" i="7"/>
  <c r="T36" i="7"/>
  <c r="Z36" i="7" s="1"/>
  <c r="P36" i="7"/>
  <c r="X36" i="7" s="1"/>
  <c r="N36" i="7"/>
  <c r="L36" i="7"/>
  <c r="H36" i="7"/>
  <c r="D36" i="7"/>
  <c r="B36" i="7"/>
  <c r="T35" i="7"/>
  <c r="P35" i="7"/>
  <c r="H35" i="7"/>
  <c r="D35" i="7"/>
  <c r="L35" i="7" s="1"/>
  <c r="N35" i="7" s="1"/>
  <c r="B35" i="7"/>
  <c r="X34" i="7"/>
  <c r="Z34" i="7" s="1"/>
  <c r="T34" i="7"/>
  <c r="P34" i="7"/>
  <c r="H34" i="7"/>
  <c r="N34" i="7" s="1"/>
  <c r="D34" i="7"/>
  <c r="L34" i="7" s="1"/>
  <c r="B34" i="7"/>
  <c r="Z33" i="7"/>
  <c r="X33" i="7"/>
  <c r="T33" i="7"/>
  <c r="P33" i="7"/>
  <c r="H33" i="7"/>
  <c r="N33" i="7" s="1"/>
  <c r="D33" i="7"/>
  <c r="L33" i="7" s="1"/>
  <c r="B33" i="7"/>
  <c r="Z32" i="7"/>
  <c r="X32" i="7"/>
  <c r="T32" i="7"/>
  <c r="P32" i="7"/>
  <c r="H32" i="7"/>
  <c r="N32" i="7" s="1"/>
  <c r="D32" i="7"/>
  <c r="L32" i="7" s="1"/>
  <c r="B32" i="7"/>
  <c r="T31" i="7"/>
  <c r="P31" i="7"/>
  <c r="X31" i="7" s="1"/>
  <c r="Z31" i="7" s="1"/>
  <c r="H31" i="7"/>
  <c r="D31" i="7"/>
  <c r="B31" i="7"/>
  <c r="T30" i="7"/>
  <c r="Z30" i="7" s="1"/>
  <c r="P30" i="7"/>
  <c r="X30" i="7" s="1"/>
  <c r="L30" i="7"/>
  <c r="N30" i="7" s="1"/>
  <c r="H30" i="7"/>
  <c r="D30" i="7"/>
  <c r="B30" i="7"/>
  <c r="T29" i="7"/>
  <c r="Z29" i="7" s="1"/>
  <c r="P29" i="7"/>
  <c r="X29" i="7" s="1"/>
  <c r="N29" i="7"/>
  <c r="L29" i="7"/>
  <c r="H29" i="7"/>
  <c r="D29" i="7"/>
  <c r="B29" i="7"/>
  <c r="T28" i="7"/>
  <c r="Z28" i="7" s="1"/>
  <c r="P28" i="7"/>
  <c r="X28" i="7" s="1"/>
  <c r="N28" i="7"/>
  <c r="L28" i="7"/>
  <c r="H28" i="7"/>
  <c r="D28" i="7"/>
  <c r="B28" i="7"/>
  <c r="T27" i="7"/>
  <c r="P27" i="7"/>
  <c r="H27" i="7"/>
  <c r="D27" i="7"/>
  <c r="L27" i="7" s="1"/>
  <c r="N27" i="7" s="1"/>
  <c r="B27" i="7"/>
  <c r="X26" i="7"/>
  <c r="Z26" i="7" s="1"/>
  <c r="T26" i="7"/>
  <c r="P26" i="7"/>
  <c r="H26" i="7"/>
  <c r="D26" i="7"/>
  <c r="L26" i="7" s="1"/>
  <c r="B26" i="7"/>
  <c r="Z25" i="7"/>
  <c r="X25" i="7"/>
  <c r="T25" i="7"/>
  <c r="P25" i="7"/>
  <c r="H25" i="7"/>
  <c r="N25" i="7" s="1"/>
  <c r="D25" i="7"/>
  <c r="L25" i="7" s="1"/>
  <c r="B25" i="7"/>
  <c r="Z24" i="7"/>
  <c r="X24" i="7"/>
  <c r="T24" i="7"/>
  <c r="P24" i="7"/>
  <c r="H24" i="7"/>
  <c r="N24" i="7" s="1"/>
  <c r="D24" i="7"/>
  <c r="L24" i="7" s="1"/>
  <c r="B24" i="7"/>
  <c r="T23" i="7"/>
  <c r="P23" i="7"/>
  <c r="X23" i="7" s="1"/>
  <c r="Z23" i="7" s="1"/>
  <c r="H23" i="7"/>
  <c r="D23" i="7"/>
  <c r="B23" i="7"/>
  <c r="T22" i="7"/>
  <c r="Z22" i="7" s="1"/>
  <c r="P22" i="7"/>
  <c r="X22" i="7" s="1"/>
  <c r="L22" i="7"/>
  <c r="N22" i="7" s="1"/>
  <c r="H22" i="7"/>
  <c r="D22" i="7"/>
  <c r="B22" i="7"/>
  <c r="T21" i="7"/>
  <c r="Z21" i="7" s="1"/>
  <c r="P21" i="7"/>
  <c r="X21" i="7" s="1"/>
  <c r="N21" i="7"/>
  <c r="L21" i="7"/>
  <c r="H21" i="7"/>
  <c r="D21" i="7"/>
  <c r="B21" i="7"/>
  <c r="T20" i="7"/>
  <c r="P20" i="7"/>
  <c r="X20" i="7" s="1"/>
  <c r="N20" i="7"/>
  <c r="L20" i="7"/>
  <c r="H20" i="7"/>
  <c r="D20" i="7"/>
  <c r="B20" i="7"/>
  <c r="T19" i="7"/>
  <c r="P19" i="7"/>
  <c r="H19" i="7"/>
  <c r="D19" i="7"/>
  <c r="L19" i="7" s="1"/>
  <c r="N19" i="7" s="1"/>
  <c r="B19" i="7"/>
  <c r="X18" i="7"/>
  <c r="Z18" i="7" s="1"/>
  <c r="T18" i="7"/>
  <c r="P18" i="7"/>
  <c r="H18" i="7"/>
  <c r="N18" i="7" s="1"/>
  <c r="D18" i="7"/>
  <c r="L18" i="7" s="1"/>
  <c r="B18" i="7"/>
  <c r="Z17" i="7"/>
  <c r="X17" i="7"/>
  <c r="T17" i="7"/>
  <c r="P17" i="7"/>
  <c r="H17" i="7"/>
  <c r="N17" i="7" s="1"/>
  <c r="D17" i="7"/>
  <c r="L17" i="7" s="1"/>
  <c r="B17" i="7"/>
  <c r="Z16" i="7"/>
  <c r="X16" i="7"/>
  <c r="T16" i="7"/>
  <c r="P16" i="7"/>
  <c r="H16" i="7"/>
  <c r="D16" i="7"/>
  <c r="L16" i="7" s="1"/>
  <c r="B16" i="7"/>
  <c r="T15" i="7"/>
  <c r="P15" i="7"/>
  <c r="X15" i="7" s="1"/>
  <c r="Z15" i="7" s="1"/>
  <c r="H15" i="7"/>
  <c r="D15" i="7"/>
  <c r="B15" i="7"/>
  <c r="T14" i="7"/>
  <c r="P14" i="7"/>
  <c r="X14" i="7" s="1"/>
  <c r="L14" i="7"/>
  <c r="N14" i="7" s="1"/>
  <c r="H14" i="7"/>
  <c r="D14" i="7"/>
  <c r="B14" i="7"/>
  <c r="T13" i="7"/>
  <c r="Z13" i="7" s="1"/>
  <c r="P13" i="7"/>
  <c r="X13" i="7" s="1"/>
  <c r="N13" i="7"/>
  <c r="L13" i="7"/>
  <c r="H13" i="7"/>
  <c r="D13" i="7"/>
  <c r="B13" i="7"/>
  <c r="D4" i="7"/>
  <c r="X245" i="6"/>
  <c r="Z245" i="6" s="1"/>
  <c r="N245" i="6"/>
  <c r="L245" i="6"/>
  <c r="T241" i="6"/>
  <c r="P241" i="6"/>
  <c r="X241" i="6" s="1"/>
  <c r="H241" i="6"/>
  <c r="D241" i="6"/>
  <c r="L241" i="6" s="1"/>
  <c r="N241" i="6" s="1"/>
  <c r="B241" i="6"/>
  <c r="X240" i="6"/>
  <c r="Z240" i="6" s="1"/>
  <c r="T240" i="6"/>
  <c r="P240" i="6"/>
  <c r="H240" i="6"/>
  <c r="D240" i="6"/>
  <c r="B240" i="6"/>
  <c r="T239" i="6"/>
  <c r="P239" i="6"/>
  <c r="H239" i="6"/>
  <c r="N239" i="6" s="1"/>
  <c r="D239" i="6"/>
  <c r="L239" i="6" s="1"/>
  <c r="B239" i="6"/>
  <c r="T238" i="6"/>
  <c r="P238" i="6"/>
  <c r="X238" i="6" s="1"/>
  <c r="Z238" i="6" s="1"/>
  <c r="L238" i="6"/>
  <c r="N238" i="6" s="1"/>
  <c r="H238" i="6"/>
  <c r="D238" i="6"/>
  <c r="B238" i="6"/>
  <c r="X237" i="6"/>
  <c r="T237" i="6"/>
  <c r="Z237" i="6" s="1"/>
  <c r="P237" i="6"/>
  <c r="H237" i="6"/>
  <c r="D237" i="6"/>
  <c r="D236" i="6" s="1"/>
  <c r="B237" i="6"/>
  <c r="P236" i="6"/>
  <c r="X234" i="6"/>
  <c r="Z234" i="6" s="1"/>
  <c r="L234" i="6"/>
  <c r="N234" i="6" s="1"/>
  <c r="B234" i="6"/>
  <c r="Z233" i="6"/>
  <c r="T233" i="6"/>
  <c r="P233" i="6"/>
  <c r="X233" i="6" s="1"/>
  <c r="L233" i="6"/>
  <c r="H233" i="6"/>
  <c r="N233" i="6" s="1"/>
  <c r="D233" i="6"/>
  <c r="B233" i="6"/>
  <c r="Z232" i="6"/>
  <c r="X232" i="6"/>
  <c r="N232" i="6"/>
  <c r="L232" i="6"/>
  <c r="B232" i="6"/>
  <c r="X231" i="6"/>
  <c r="Z231" i="6" s="1"/>
  <c r="N231" i="6"/>
  <c r="L231" i="6"/>
  <c r="B231" i="6"/>
  <c r="X230" i="6"/>
  <c r="Z230" i="6" s="1"/>
  <c r="N230" i="6"/>
  <c r="L230" i="6"/>
  <c r="B230" i="6"/>
  <c r="Z229" i="6"/>
  <c r="T229" i="6"/>
  <c r="P229" i="6"/>
  <c r="X229" i="6" s="1"/>
  <c r="L229" i="6"/>
  <c r="H229" i="6"/>
  <c r="N229" i="6" s="1"/>
  <c r="D229" i="6"/>
  <c r="B229" i="6"/>
  <c r="Z228" i="6"/>
  <c r="X228" i="6"/>
  <c r="N228" i="6"/>
  <c r="L228" i="6"/>
  <c r="B228" i="6"/>
  <c r="X227" i="6"/>
  <c r="T227" i="6"/>
  <c r="Z227" i="6" s="1"/>
  <c r="P227" i="6"/>
  <c r="H227" i="6"/>
  <c r="N227" i="6" s="1"/>
  <c r="D227" i="6"/>
  <c r="B227" i="6"/>
  <c r="X226" i="6"/>
  <c r="Z226" i="6" s="1"/>
  <c r="L226" i="6"/>
  <c r="N226" i="6" s="1"/>
  <c r="B226" i="6"/>
  <c r="X225" i="6"/>
  <c r="Z225" i="6" s="1"/>
  <c r="N225" i="6"/>
  <c r="L225" i="6"/>
  <c r="B225" i="6"/>
  <c r="T224" i="6"/>
  <c r="P224" i="6"/>
  <c r="H224" i="6"/>
  <c r="N224" i="6" s="1"/>
  <c r="D224" i="6"/>
  <c r="L224" i="6" s="1"/>
  <c r="B224" i="6"/>
  <c r="Z223" i="6"/>
  <c r="X223" i="6"/>
  <c r="L223" i="6"/>
  <c r="N223" i="6" s="1"/>
  <c r="B223" i="6"/>
  <c r="X222" i="6"/>
  <c r="Z222" i="6" s="1"/>
  <c r="L222" i="6"/>
  <c r="N222" i="6" s="1"/>
  <c r="B222" i="6"/>
  <c r="X221" i="6"/>
  <c r="Z221" i="6" s="1"/>
  <c r="N221" i="6"/>
  <c r="L221" i="6"/>
  <c r="B221" i="6"/>
  <c r="Z220" i="6"/>
  <c r="X220" i="6"/>
  <c r="N220" i="6"/>
  <c r="L220" i="6"/>
  <c r="B220" i="6"/>
  <c r="X219" i="6"/>
  <c r="Z219" i="6" s="1"/>
  <c r="N219" i="6"/>
  <c r="L219" i="6"/>
  <c r="B219" i="6"/>
  <c r="X218" i="6"/>
  <c r="Z218" i="6" s="1"/>
  <c r="L218" i="6"/>
  <c r="N218" i="6" s="1"/>
  <c r="B218" i="6"/>
  <c r="Z217" i="6"/>
  <c r="X217" i="6"/>
  <c r="N217" i="6"/>
  <c r="L217" i="6"/>
  <c r="B217" i="6"/>
  <c r="T216" i="6"/>
  <c r="P216" i="6"/>
  <c r="X216" i="6" s="1"/>
  <c r="Z216" i="6" s="1"/>
  <c r="L216" i="6"/>
  <c r="N216" i="6" s="1"/>
  <c r="H216" i="6"/>
  <c r="D216" i="6"/>
  <c r="B216" i="6"/>
  <c r="X215" i="6"/>
  <c r="Z215" i="6" s="1"/>
  <c r="N215" i="6"/>
  <c r="L215" i="6"/>
  <c r="B215" i="6"/>
  <c r="X214" i="6"/>
  <c r="Z214" i="6" s="1"/>
  <c r="L214" i="6"/>
  <c r="N214" i="6" s="1"/>
  <c r="B214" i="6"/>
  <c r="T213" i="6"/>
  <c r="P213" i="6"/>
  <c r="X213" i="6" s="1"/>
  <c r="Z213" i="6" s="1"/>
  <c r="L213" i="6"/>
  <c r="H213" i="6"/>
  <c r="N213" i="6" s="1"/>
  <c r="D213" i="6"/>
  <c r="B213" i="6"/>
  <c r="Z212" i="6"/>
  <c r="X212" i="6"/>
  <c r="N212" i="6"/>
  <c r="L212" i="6"/>
  <c r="B212" i="6"/>
  <c r="X211" i="6"/>
  <c r="Z211" i="6" s="1"/>
  <c r="N211" i="6"/>
  <c r="L211" i="6"/>
  <c r="B211" i="6"/>
  <c r="X210" i="6"/>
  <c r="Z210" i="6" s="1"/>
  <c r="L210" i="6"/>
  <c r="N210" i="6" s="1"/>
  <c r="B210" i="6"/>
  <c r="Z209" i="6"/>
  <c r="X209" i="6"/>
  <c r="N209" i="6"/>
  <c r="L209" i="6"/>
  <c r="B209" i="6"/>
  <c r="Z208" i="6"/>
  <c r="X208" i="6"/>
  <c r="N208" i="6"/>
  <c r="L208" i="6"/>
  <c r="B208" i="6"/>
  <c r="T207" i="6"/>
  <c r="P207" i="6"/>
  <c r="X207" i="6" s="1"/>
  <c r="H207" i="6"/>
  <c r="D207" i="6"/>
  <c r="L207" i="6" s="1"/>
  <c r="N207" i="6" s="1"/>
  <c r="B207" i="6"/>
  <c r="X206" i="6"/>
  <c r="Z206" i="6" s="1"/>
  <c r="L206" i="6"/>
  <c r="N206" i="6" s="1"/>
  <c r="B206" i="6"/>
  <c r="Z205" i="6"/>
  <c r="X205" i="6"/>
  <c r="N205" i="6"/>
  <c r="L205" i="6"/>
  <c r="B205" i="6"/>
  <c r="Z204" i="6"/>
  <c r="X204" i="6"/>
  <c r="N204" i="6"/>
  <c r="L204" i="6"/>
  <c r="B204" i="6"/>
  <c r="T203" i="6"/>
  <c r="Z203" i="6" s="1"/>
  <c r="P203" i="6"/>
  <c r="X203" i="6" s="1"/>
  <c r="N203" i="6"/>
  <c r="H203" i="6"/>
  <c r="D203" i="6"/>
  <c r="L203" i="6" s="1"/>
  <c r="B203" i="6"/>
  <c r="X202" i="6"/>
  <c r="Z202" i="6" s="1"/>
  <c r="L202" i="6"/>
  <c r="N202" i="6" s="1"/>
  <c r="B202" i="6"/>
  <c r="Z201" i="6"/>
  <c r="X201" i="6"/>
  <c r="L201" i="6"/>
  <c r="N201" i="6" s="1"/>
  <c r="B201" i="6"/>
  <c r="Z200" i="6"/>
  <c r="X200" i="6"/>
  <c r="N200" i="6"/>
  <c r="L200" i="6"/>
  <c r="B200" i="6"/>
  <c r="Z199" i="6"/>
  <c r="X199" i="6"/>
  <c r="N199" i="6"/>
  <c r="L199" i="6"/>
  <c r="B199" i="6"/>
  <c r="T198" i="6"/>
  <c r="P198" i="6"/>
  <c r="X198" i="6" s="1"/>
  <c r="H198" i="6"/>
  <c r="D198" i="6"/>
  <c r="L198" i="6" s="1"/>
  <c r="N198" i="6" s="1"/>
  <c r="B198" i="6"/>
  <c r="Z197" i="6"/>
  <c r="X197" i="6"/>
  <c r="L197" i="6"/>
  <c r="N197" i="6" s="1"/>
  <c r="B197" i="6"/>
  <c r="T196" i="6"/>
  <c r="P196" i="6"/>
  <c r="X196" i="6" s="1"/>
  <c r="Z196" i="6" s="1"/>
  <c r="L196" i="6"/>
  <c r="N196" i="6" s="1"/>
  <c r="H196" i="6"/>
  <c r="D196" i="6"/>
  <c r="B196" i="6"/>
  <c r="X195" i="6"/>
  <c r="Z195" i="6" s="1"/>
  <c r="N195" i="6"/>
  <c r="L195" i="6"/>
  <c r="B195" i="6"/>
  <c r="X194" i="6"/>
  <c r="Z194" i="6" s="1"/>
  <c r="T194" i="6"/>
  <c r="P194" i="6"/>
  <c r="H194" i="6"/>
  <c r="D194" i="6"/>
  <c r="B194" i="6"/>
  <c r="Z193" i="6"/>
  <c r="X193" i="6"/>
  <c r="N193" i="6"/>
  <c r="L193" i="6"/>
  <c r="B193" i="6"/>
  <c r="Z192" i="6"/>
  <c r="X192" i="6"/>
  <c r="N192" i="6"/>
  <c r="L192" i="6"/>
  <c r="B192" i="6"/>
  <c r="X191" i="6"/>
  <c r="T191" i="6"/>
  <c r="Z191" i="6" s="1"/>
  <c r="P191" i="6"/>
  <c r="H191" i="6"/>
  <c r="D191" i="6"/>
  <c r="B191" i="6"/>
  <c r="X190" i="6"/>
  <c r="Z190" i="6" s="1"/>
  <c r="L190" i="6"/>
  <c r="N190" i="6" s="1"/>
  <c r="B190" i="6"/>
  <c r="T189" i="6"/>
  <c r="P189" i="6"/>
  <c r="H189" i="6"/>
  <c r="D189" i="6"/>
  <c r="L189" i="6" s="1"/>
  <c r="B189" i="6"/>
  <c r="Z188" i="6"/>
  <c r="X188" i="6"/>
  <c r="N188" i="6"/>
  <c r="L188" i="6"/>
  <c r="B188" i="6"/>
  <c r="T187" i="6"/>
  <c r="Z187" i="6" s="1"/>
  <c r="P187" i="6"/>
  <c r="X187" i="6" s="1"/>
  <c r="N187" i="6"/>
  <c r="H187" i="6"/>
  <c r="D187" i="6"/>
  <c r="L187" i="6" s="1"/>
  <c r="B187" i="6"/>
  <c r="X186" i="6"/>
  <c r="Z186" i="6" s="1"/>
  <c r="L186" i="6"/>
  <c r="N186" i="6" s="1"/>
  <c r="B186" i="6"/>
  <c r="T185" i="6"/>
  <c r="P185" i="6"/>
  <c r="X185" i="6" s="1"/>
  <c r="Z185" i="6" s="1"/>
  <c r="L185" i="6"/>
  <c r="J185" i="6"/>
  <c r="H185" i="6"/>
  <c r="N185" i="6" s="1"/>
  <c r="D185" i="6"/>
  <c r="B185" i="6"/>
  <c r="Z184" i="6"/>
  <c r="X184" i="6"/>
  <c r="N184" i="6"/>
  <c r="L184" i="6"/>
  <c r="B184" i="6"/>
  <c r="X183" i="6"/>
  <c r="Z183" i="6" s="1"/>
  <c r="N183" i="6"/>
  <c r="L183" i="6"/>
  <c r="B183" i="6"/>
  <c r="X182" i="6"/>
  <c r="Z182" i="6" s="1"/>
  <c r="T182" i="6"/>
  <c r="P182" i="6"/>
  <c r="H182" i="6"/>
  <c r="D182" i="6"/>
  <c r="B182" i="6"/>
  <c r="X181" i="6"/>
  <c r="Z181" i="6" s="1"/>
  <c r="N181" i="6"/>
  <c r="L181" i="6"/>
  <c r="B181" i="6"/>
  <c r="T180" i="6"/>
  <c r="P180" i="6"/>
  <c r="H180" i="6"/>
  <c r="N180" i="6" s="1"/>
  <c r="D180" i="6"/>
  <c r="L180" i="6" s="1"/>
  <c r="B180" i="6"/>
  <c r="Z179" i="6"/>
  <c r="X179" i="6"/>
  <c r="L179" i="6"/>
  <c r="N179" i="6" s="1"/>
  <c r="B179" i="6"/>
  <c r="T178" i="6"/>
  <c r="Z178" i="6" s="1"/>
  <c r="P178" i="6"/>
  <c r="X178" i="6" s="1"/>
  <c r="H178" i="6"/>
  <c r="D178" i="6"/>
  <c r="L178" i="6" s="1"/>
  <c r="N178" i="6" s="1"/>
  <c r="B178" i="6"/>
  <c r="Z177" i="6"/>
  <c r="X177" i="6"/>
  <c r="N177" i="6"/>
  <c r="L177" i="6"/>
  <c r="B177" i="6"/>
  <c r="T176" i="6"/>
  <c r="P176" i="6"/>
  <c r="X176" i="6" s="1"/>
  <c r="Z176" i="6" s="1"/>
  <c r="N176" i="6"/>
  <c r="L176" i="6"/>
  <c r="H176" i="6"/>
  <c r="D176" i="6"/>
  <c r="B176" i="6"/>
  <c r="X175" i="6"/>
  <c r="Z175" i="6" s="1"/>
  <c r="N175" i="6"/>
  <c r="L175" i="6"/>
  <c r="B175" i="6"/>
  <c r="Z174" i="6"/>
  <c r="X174" i="6"/>
  <c r="N174" i="6"/>
  <c r="L174" i="6"/>
  <c r="B174" i="6"/>
  <c r="T173" i="6"/>
  <c r="P173" i="6"/>
  <c r="X173" i="6" s="1"/>
  <c r="Z173" i="6" s="1"/>
  <c r="L173" i="6"/>
  <c r="H173" i="6"/>
  <c r="N173" i="6" s="1"/>
  <c r="D173" i="6"/>
  <c r="B173" i="6"/>
  <c r="Z172" i="6"/>
  <c r="X172" i="6"/>
  <c r="N172" i="6"/>
  <c r="L172" i="6"/>
  <c r="B172" i="6"/>
  <c r="X171" i="6"/>
  <c r="Z171" i="6" s="1"/>
  <c r="N171" i="6"/>
  <c r="L171" i="6"/>
  <c r="B171" i="6"/>
  <c r="X170" i="6"/>
  <c r="Z170" i="6" s="1"/>
  <c r="T170" i="6"/>
  <c r="P170" i="6"/>
  <c r="H170" i="6"/>
  <c r="D170" i="6"/>
  <c r="B170" i="6"/>
  <c r="X169" i="6"/>
  <c r="Z169" i="6" s="1"/>
  <c r="N169" i="6"/>
  <c r="L169" i="6"/>
  <c r="B169" i="6"/>
  <c r="T168" i="6"/>
  <c r="P168" i="6"/>
  <c r="H168" i="6"/>
  <c r="D168" i="6"/>
  <c r="L168" i="6" s="1"/>
  <c r="B168" i="6"/>
  <c r="Z167" i="6"/>
  <c r="X167" i="6"/>
  <c r="N167" i="6"/>
  <c r="L167" i="6"/>
  <c r="B167" i="6"/>
  <c r="X166" i="6"/>
  <c r="Z166" i="6" s="1"/>
  <c r="L166" i="6"/>
  <c r="N166" i="6" s="1"/>
  <c r="B166" i="6"/>
  <c r="T165" i="6"/>
  <c r="P165" i="6"/>
  <c r="H165" i="6"/>
  <c r="D165" i="6"/>
  <c r="L165" i="6" s="1"/>
  <c r="B165" i="6"/>
  <c r="Z164" i="6"/>
  <c r="X164" i="6"/>
  <c r="N164" i="6"/>
  <c r="L164" i="6"/>
  <c r="B164" i="6"/>
  <c r="T163" i="6"/>
  <c r="P163" i="6"/>
  <c r="X163" i="6" s="1"/>
  <c r="H163" i="6"/>
  <c r="D163" i="6"/>
  <c r="L163" i="6" s="1"/>
  <c r="N163" i="6" s="1"/>
  <c r="B163" i="6"/>
  <c r="X162" i="6"/>
  <c r="Z162" i="6" s="1"/>
  <c r="N162" i="6"/>
  <c r="L162" i="6"/>
  <c r="B162" i="6"/>
  <c r="Z161" i="6"/>
  <c r="X161" i="6"/>
  <c r="L161" i="6"/>
  <c r="N161" i="6" s="1"/>
  <c r="B161" i="6"/>
  <c r="Z160" i="6"/>
  <c r="X160" i="6"/>
  <c r="N160" i="6"/>
  <c r="L160" i="6"/>
  <c r="B160" i="6"/>
  <c r="Z159" i="6"/>
  <c r="X159" i="6"/>
  <c r="L159" i="6"/>
  <c r="N159" i="6" s="1"/>
  <c r="B159" i="6"/>
  <c r="Z158" i="6"/>
  <c r="X158" i="6"/>
  <c r="L158" i="6"/>
  <c r="N158" i="6" s="1"/>
  <c r="B158" i="6"/>
  <c r="X157" i="6"/>
  <c r="Z157" i="6" s="1"/>
  <c r="N157" i="6"/>
  <c r="L157" i="6"/>
  <c r="B157" i="6"/>
  <c r="Z156" i="6"/>
  <c r="X156" i="6"/>
  <c r="N156" i="6"/>
  <c r="L156" i="6"/>
  <c r="B156" i="6"/>
  <c r="X155" i="6"/>
  <c r="T155" i="6"/>
  <c r="Z155" i="6" s="1"/>
  <c r="P155" i="6"/>
  <c r="H155" i="6"/>
  <c r="D155" i="6"/>
  <c r="B155" i="6"/>
  <c r="Z154" i="6"/>
  <c r="X154" i="6"/>
  <c r="L154" i="6"/>
  <c r="N154" i="6" s="1"/>
  <c r="B154" i="6"/>
  <c r="X153" i="6"/>
  <c r="Z153" i="6" s="1"/>
  <c r="N153" i="6"/>
  <c r="L153" i="6"/>
  <c r="B153" i="6"/>
  <c r="Z152" i="6"/>
  <c r="X152" i="6"/>
  <c r="N152" i="6"/>
  <c r="L152" i="6"/>
  <c r="B152" i="6"/>
  <c r="X151" i="6"/>
  <c r="Z151" i="6" s="1"/>
  <c r="N151" i="6"/>
  <c r="L151" i="6"/>
  <c r="B151" i="6"/>
  <c r="Z150" i="6"/>
  <c r="X150" i="6"/>
  <c r="N150" i="6"/>
  <c r="L150" i="6"/>
  <c r="B150" i="6"/>
  <c r="Z149" i="6"/>
  <c r="X149" i="6"/>
  <c r="L149" i="6"/>
  <c r="N149" i="6" s="1"/>
  <c r="B149" i="6"/>
  <c r="Z148" i="6"/>
  <c r="X148" i="6"/>
  <c r="N148" i="6"/>
  <c r="L148" i="6"/>
  <c r="B148" i="6"/>
  <c r="Z147" i="6"/>
  <c r="X147" i="6"/>
  <c r="L147" i="6"/>
  <c r="N147" i="6" s="1"/>
  <c r="B147" i="6"/>
  <c r="X146" i="6"/>
  <c r="Z146" i="6" s="1"/>
  <c r="L146" i="6"/>
  <c r="N146" i="6" s="1"/>
  <c r="B146" i="6"/>
  <c r="X145" i="6"/>
  <c r="Z145" i="6" s="1"/>
  <c r="N145" i="6"/>
  <c r="L145" i="6"/>
  <c r="B145" i="6"/>
  <c r="T144" i="6"/>
  <c r="P144" i="6"/>
  <c r="H144" i="6"/>
  <c r="D144" i="6"/>
  <c r="L144" i="6" s="1"/>
  <c r="B144" i="6"/>
  <c r="T143" i="6" a="1"/>
  <c r="T143" i="6" s="1"/>
  <c r="P143" i="6" a="1"/>
  <c r="P143" i="6" s="1"/>
  <c r="X143" i="6" s="1"/>
  <c r="H143" i="6" a="1"/>
  <c r="H143" i="6" s="1"/>
  <c r="D143" i="6" a="1"/>
  <c r="D143" i="6" s="1"/>
  <c r="L143" i="6" s="1"/>
  <c r="Z139" i="6"/>
  <c r="X139" i="6"/>
  <c r="N139" i="6"/>
  <c r="L139" i="6"/>
  <c r="B139" i="6"/>
  <c r="X138" i="6"/>
  <c r="Z138" i="6" s="1"/>
  <c r="N138" i="6"/>
  <c r="L138" i="6"/>
  <c r="B138" i="6"/>
  <c r="Z137" i="6"/>
  <c r="X137" i="6"/>
  <c r="L137" i="6"/>
  <c r="N137" i="6" s="1"/>
  <c r="B137" i="6"/>
  <c r="Z136" i="6"/>
  <c r="X136" i="6"/>
  <c r="N136" i="6"/>
  <c r="L136" i="6"/>
  <c r="B136" i="6"/>
  <c r="Z135" i="6"/>
  <c r="X135" i="6"/>
  <c r="N135" i="6"/>
  <c r="L135" i="6"/>
  <c r="B135" i="6"/>
  <c r="X134" i="6"/>
  <c r="Z134" i="6" s="1"/>
  <c r="L134" i="6"/>
  <c r="N134" i="6" s="1"/>
  <c r="B134" i="6"/>
  <c r="X133" i="6"/>
  <c r="Z133" i="6" s="1"/>
  <c r="N133" i="6"/>
  <c r="L133" i="6"/>
  <c r="B133" i="6"/>
  <c r="Z132" i="6"/>
  <c r="X132" i="6"/>
  <c r="N132" i="6"/>
  <c r="L132" i="6"/>
  <c r="B132" i="6"/>
  <c r="X131" i="6"/>
  <c r="Z131" i="6" s="1"/>
  <c r="N131" i="6"/>
  <c r="L131" i="6"/>
  <c r="B131" i="6"/>
  <c r="Z130" i="6"/>
  <c r="X130" i="6"/>
  <c r="N130" i="6"/>
  <c r="L130" i="6"/>
  <c r="B130" i="6"/>
  <c r="Z129" i="6"/>
  <c r="X129" i="6"/>
  <c r="N129" i="6"/>
  <c r="L129" i="6"/>
  <c r="B129" i="6"/>
  <c r="Z128" i="6"/>
  <c r="X128" i="6"/>
  <c r="N128" i="6"/>
  <c r="L128" i="6"/>
  <c r="B128" i="6"/>
  <c r="Z127" i="6"/>
  <c r="X127" i="6"/>
  <c r="N127" i="6"/>
  <c r="L127" i="6"/>
  <c r="B127" i="6"/>
  <c r="Z126" i="6"/>
  <c r="X126" i="6"/>
  <c r="L126" i="6"/>
  <c r="N126" i="6" s="1"/>
  <c r="B126" i="6"/>
  <c r="X125" i="6"/>
  <c r="Z125" i="6" s="1"/>
  <c r="N125" i="6"/>
  <c r="L125" i="6"/>
  <c r="B125" i="6"/>
  <c r="Z124" i="6"/>
  <c r="X124" i="6"/>
  <c r="N124" i="6"/>
  <c r="L124" i="6"/>
  <c r="B124" i="6"/>
  <c r="X123" i="6"/>
  <c r="Z123" i="6" s="1"/>
  <c r="N123" i="6"/>
  <c r="L123" i="6"/>
  <c r="B123" i="6"/>
  <c r="X122" i="6"/>
  <c r="Z122" i="6" s="1"/>
  <c r="N122" i="6"/>
  <c r="L122" i="6"/>
  <c r="B122" i="6"/>
  <c r="Z121" i="6"/>
  <c r="X121" i="6"/>
  <c r="L121" i="6"/>
  <c r="N121" i="6" s="1"/>
  <c r="B121" i="6"/>
  <c r="Z120" i="6"/>
  <c r="X120" i="6"/>
  <c r="N120" i="6"/>
  <c r="L120" i="6"/>
  <c r="B120" i="6"/>
  <c r="Z119" i="6"/>
  <c r="X119" i="6"/>
  <c r="L119" i="6"/>
  <c r="N119" i="6" s="1"/>
  <c r="B119" i="6"/>
  <c r="Z118" i="6"/>
  <c r="X118" i="6"/>
  <c r="L118" i="6"/>
  <c r="N118" i="6" s="1"/>
  <c r="B118" i="6"/>
  <c r="X117" i="6"/>
  <c r="Z117" i="6" s="1"/>
  <c r="N117" i="6"/>
  <c r="L117" i="6"/>
  <c r="B117" i="6"/>
  <c r="Z116" i="6"/>
  <c r="X116" i="6"/>
  <c r="N116" i="6"/>
  <c r="L116" i="6"/>
  <c r="B116" i="6"/>
  <c r="X115" i="6"/>
  <c r="Z115" i="6" s="1"/>
  <c r="N115" i="6"/>
  <c r="L115" i="6"/>
  <c r="B115" i="6"/>
  <c r="X114" i="6"/>
  <c r="Z114" i="6" s="1"/>
  <c r="L114" i="6"/>
  <c r="N114" i="6" s="1"/>
  <c r="B114" i="6"/>
  <c r="Z113" i="6"/>
  <c r="X113" i="6"/>
  <c r="L113" i="6"/>
  <c r="N113" i="6" s="1"/>
  <c r="B113" i="6"/>
  <c r="Z112" i="6"/>
  <c r="X112" i="6"/>
  <c r="N112" i="6"/>
  <c r="L112" i="6"/>
  <c r="B112" i="6"/>
  <c r="Z111" i="6"/>
  <c r="X111" i="6"/>
  <c r="L111" i="6"/>
  <c r="N111" i="6" s="1"/>
  <c r="B111" i="6"/>
  <c r="X110" i="6"/>
  <c r="Z110" i="6" s="1"/>
  <c r="L110" i="6"/>
  <c r="N110" i="6" s="1"/>
  <c r="B110" i="6"/>
  <c r="X109" i="6"/>
  <c r="Z109" i="6" s="1"/>
  <c r="N109" i="6"/>
  <c r="L109" i="6"/>
  <c r="B109" i="6"/>
  <c r="Z108" i="6"/>
  <c r="X108" i="6"/>
  <c r="N108" i="6"/>
  <c r="L108" i="6"/>
  <c r="B108" i="6"/>
  <c r="X107" i="6"/>
  <c r="Z107" i="6" s="1"/>
  <c r="N107" i="6"/>
  <c r="L107" i="6"/>
  <c r="B107" i="6"/>
  <c r="X106" i="6"/>
  <c r="Z106" i="6" s="1"/>
  <c r="L106" i="6"/>
  <c r="N106" i="6" s="1"/>
  <c r="B106" i="6"/>
  <c r="Z105" i="6"/>
  <c r="X105" i="6"/>
  <c r="L105" i="6"/>
  <c r="N105" i="6" s="1"/>
  <c r="B105" i="6"/>
  <c r="Z104" i="6"/>
  <c r="X104" i="6"/>
  <c r="N104" i="6"/>
  <c r="L104" i="6"/>
  <c r="B104" i="6"/>
  <c r="Z103" i="6"/>
  <c r="X103" i="6"/>
  <c r="L103" i="6"/>
  <c r="N103" i="6" s="1"/>
  <c r="B103" i="6"/>
  <c r="X102" i="6"/>
  <c r="Z102" i="6" s="1"/>
  <c r="L102" i="6"/>
  <c r="N102" i="6" s="1"/>
  <c r="B102" i="6"/>
  <c r="X101" i="6"/>
  <c r="Z101" i="6" s="1"/>
  <c r="N101" i="6"/>
  <c r="L101" i="6"/>
  <c r="B101" i="6"/>
  <c r="Z100" i="6"/>
  <c r="X100" i="6"/>
  <c r="N100" i="6"/>
  <c r="L100" i="6"/>
  <c r="B100" i="6"/>
  <c r="X99" i="6"/>
  <c r="Z99" i="6" s="1"/>
  <c r="N99" i="6"/>
  <c r="L99" i="6"/>
  <c r="B99" i="6"/>
  <c r="X98" i="6"/>
  <c r="Z98" i="6" s="1"/>
  <c r="L98" i="6"/>
  <c r="N98" i="6" s="1"/>
  <c r="B98" i="6"/>
  <c r="Z97" i="6"/>
  <c r="X97" i="6"/>
  <c r="L97" i="6"/>
  <c r="N97" i="6" s="1"/>
  <c r="B97" i="6"/>
  <c r="Z96" i="6"/>
  <c r="X96" i="6"/>
  <c r="N96" i="6"/>
  <c r="L96" i="6"/>
  <c r="B96" i="6"/>
  <c r="Z95" i="6"/>
  <c r="X95" i="6"/>
  <c r="L95" i="6"/>
  <c r="N95" i="6" s="1"/>
  <c r="B95" i="6"/>
  <c r="X94" i="6"/>
  <c r="Z94" i="6" s="1"/>
  <c r="L94" i="6"/>
  <c r="N94" i="6" s="1"/>
  <c r="B94" i="6"/>
  <c r="X93" i="6"/>
  <c r="Z93" i="6" s="1"/>
  <c r="N93" i="6"/>
  <c r="L93" i="6"/>
  <c r="B93" i="6"/>
  <c r="Z92" i="6"/>
  <c r="X92" i="6"/>
  <c r="N92" i="6"/>
  <c r="L92" i="6"/>
  <c r="B92" i="6"/>
  <c r="X91" i="6"/>
  <c r="Z91" i="6" s="1"/>
  <c r="N91" i="6"/>
  <c r="L91" i="6"/>
  <c r="B91" i="6"/>
  <c r="X90" i="6"/>
  <c r="Z90" i="6" s="1"/>
  <c r="N90" i="6"/>
  <c r="L90" i="6"/>
  <c r="B90" i="6"/>
  <c r="Z89" i="6"/>
  <c r="X89" i="6"/>
  <c r="N89" i="6"/>
  <c r="L89" i="6"/>
  <c r="B89" i="6"/>
  <c r="T88" i="6"/>
  <c r="P88" i="6"/>
  <c r="X88" i="6" s="1"/>
  <c r="Z88" i="6" s="1"/>
  <c r="L88" i="6"/>
  <c r="N88" i="6" s="1"/>
  <c r="H88" i="6"/>
  <c r="D88" i="6"/>
  <c r="T86" i="6"/>
  <c r="Z86" i="6" s="1"/>
  <c r="P86" i="6"/>
  <c r="X86" i="6" s="1"/>
  <c r="N86" i="6"/>
  <c r="L86" i="6"/>
  <c r="H86" i="6"/>
  <c r="D86" i="6"/>
  <c r="B86" i="6"/>
  <c r="T85" i="6"/>
  <c r="P85" i="6"/>
  <c r="N85" i="6"/>
  <c r="H85" i="6"/>
  <c r="D85" i="6"/>
  <c r="L85" i="6" s="1"/>
  <c r="B85" i="6"/>
  <c r="X84" i="6"/>
  <c r="Z84" i="6" s="1"/>
  <c r="T84" i="6"/>
  <c r="P84" i="6"/>
  <c r="H84" i="6"/>
  <c r="D84" i="6"/>
  <c r="L84" i="6" s="1"/>
  <c r="B84" i="6"/>
  <c r="Z83" i="6"/>
  <c r="X83" i="6"/>
  <c r="T83" i="6"/>
  <c r="P83" i="6"/>
  <c r="H83" i="6"/>
  <c r="N83" i="6" s="1"/>
  <c r="D83" i="6"/>
  <c r="L83" i="6" s="1"/>
  <c r="B83" i="6"/>
  <c r="Z82" i="6"/>
  <c r="X82" i="6"/>
  <c r="T82" i="6"/>
  <c r="P82" i="6"/>
  <c r="H82" i="6"/>
  <c r="N82" i="6" s="1"/>
  <c r="D82" i="6"/>
  <c r="L82" i="6" s="1"/>
  <c r="B82" i="6"/>
  <c r="T81" i="6"/>
  <c r="P81" i="6"/>
  <c r="X81" i="6" s="1"/>
  <c r="Z81" i="6" s="1"/>
  <c r="H81" i="6"/>
  <c r="D81" i="6"/>
  <c r="B81" i="6"/>
  <c r="T80" i="6"/>
  <c r="P80" i="6"/>
  <c r="X80" i="6" s="1"/>
  <c r="L80" i="6"/>
  <c r="N80" i="6" s="1"/>
  <c r="H80" i="6"/>
  <c r="D80" i="6"/>
  <c r="B80" i="6"/>
  <c r="T79" i="6"/>
  <c r="P79" i="6"/>
  <c r="X79" i="6" s="1"/>
  <c r="N79" i="6"/>
  <c r="L79" i="6"/>
  <c r="H79" i="6"/>
  <c r="D79" i="6"/>
  <c r="B79" i="6"/>
  <c r="T78" i="6"/>
  <c r="Z78" i="6" s="1"/>
  <c r="P78" i="6"/>
  <c r="X78" i="6" s="1"/>
  <c r="N78" i="6"/>
  <c r="L78" i="6"/>
  <c r="H78" i="6"/>
  <c r="D78" i="6"/>
  <c r="B78" i="6"/>
  <c r="T77" i="6"/>
  <c r="P77" i="6"/>
  <c r="H77" i="6"/>
  <c r="D77" i="6"/>
  <c r="L77" i="6" s="1"/>
  <c r="N77" i="6" s="1"/>
  <c r="B77" i="6"/>
  <c r="X76" i="6"/>
  <c r="Z76" i="6" s="1"/>
  <c r="T76" i="6"/>
  <c r="P76" i="6"/>
  <c r="H76" i="6"/>
  <c r="N76" i="6" s="1"/>
  <c r="D76" i="6"/>
  <c r="L76" i="6" s="1"/>
  <c r="B76" i="6"/>
  <c r="Z75" i="6"/>
  <c r="X75" i="6"/>
  <c r="T75" i="6"/>
  <c r="P75" i="6"/>
  <c r="H75" i="6"/>
  <c r="N75" i="6" s="1"/>
  <c r="D75" i="6"/>
  <c r="L75" i="6" s="1"/>
  <c r="B75" i="6"/>
  <c r="Z74" i="6"/>
  <c r="X74" i="6"/>
  <c r="T74" i="6"/>
  <c r="P74" i="6"/>
  <c r="H74" i="6"/>
  <c r="D74" i="6"/>
  <c r="L74" i="6" s="1"/>
  <c r="B74" i="6"/>
  <c r="T73" i="6"/>
  <c r="P73" i="6"/>
  <c r="X73" i="6" s="1"/>
  <c r="Z73" i="6" s="1"/>
  <c r="H73" i="6"/>
  <c r="D73" i="6"/>
  <c r="B73" i="6"/>
  <c r="T72" i="6"/>
  <c r="P72" i="6"/>
  <c r="X72" i="6" s="1"/>
  <c r="L72" i="6"/>
  <c r="N72" i="6" s="1"/>
  <c r="H72" i="6"/>
  <c r="D72" i="6"/>
  <c r="B72" i="6"/>
  <c r="T71" i="6"/>
  <c r="P71" i="6"/>
  <c r="X71" i="6" s="1"/>
  <c r="N71" i="6"/>
  <c r="L71" i="6"/>
  <c r="H71" i="6"/>
  <c r="D71" i="6"/>
  <c r="B71" i="6"/>
  <c r="T70" i="6"/>
  <c r="Z70" i="6" s="1"/>
  <c r="P70" i="6"/>
  <c r="X70" i="6" s="1"/>
  <c r="N70" i="6"/>
  <c r="L70" i="6"/>
  <c r="H70" i="6"/>
  <c r="D70" i="6"/>
  <c r="B70" i="6"/>
  <c r="T69" i="6"/>
  <c r="P69" i="6"/>
  <c r="N69" i="6"/>
  <c r="H69" i="6"/>
  <c r="D69" i="6"/>
  <c r="L69" i="6" s="1"/>
  <c r="B69" i="6"/>
  <c r="X68" i="6"/>
  <c r="Z68" i="6" s="1"/>
  <c r="T68" i="6"/>
  <c r="P68" i="6"/>
  <c r="H68" i="6"/>
  <c r="N68" i="6" s="1"/>
  <c r="D68" i="6"/>
  <c r="L68" i="6" s="1"/>
  <c r="B68" i="6"/>
  <c r="Z67" i="6"/>
  <c r="X67" i="6"/>
  <c r="T67" i="6"/>
  <c r="P67" i="6"/>
  <c r="H67" i="6"/>
  <c r="D67" i="6"/>
  <c r="L67" i="6" s="1"/>
  <c r="B67" i="6"/>
  <c r="Z66" i="6"/>
  <c r="X66" i="6"/>
  <c r="T66" i="6"/>
  <c r="P66" i="6"/>
  <c r="H66" i="6"/>
  <c r="N66" i="6" s="1"/>
  <c r="D66" i="6"/>
  <c r="L66" i="6" s="1"/>
  <c r="B66" i="6"/>
  <c r="T65" i="6"/>
  <c r="P65" i="6"/>
  <c r="X65" i="6" s="1"/>
  <c r="Z65" i="6" s="1"/>
  <c r="H65" i="6"/>
  <c r="D65" i="6"/>
  <c r="B65" i="6"/>
  <c r="T64" i="6"/>
  <c r="P64" i="6"/>
  <c r="X64" i="6" s="1"/>
  <c r="L64" i="6"/>
  <c r="N64" i="6" s="1"/>
  <c r="H64" i="6"/>
  <c r="D64" i="6"/>
  <c r="B64" i="6"/>
  <c r="T63" i="6"/>
  <c r="Z63" i="6" s="1"/>
  <c r="P63" i="6"/>
  <c r="X63" i="6" s="1"/>
  <c r="N63" i="6"/>
  <c r="L63" i="6"/>
  <c r="H63" i="6"/>
  <c r="D63" i="6"/>
  <c r="B63" i="6"/>
  <c r="T62" i="6"/>
  <c r="P62" i="6"/>
  <c r="X62" i="6" s="1"/>
  <c r="N62" i="6"/>
  <c r="L62" i="6"/>
  <c r="H62" i="6"/>
  <c r="D62" i="6"/>
  <c r="B62" i="6"/>
  <c r="X61" i="6"/>
  <c r="T61" i="6"/>
  <c r="Z61" i="6" s="1"/>
  <c r="P61" i="6"/>
  <c r="N61" i="6"/>
  <c r="H61" i="6"/>
  <c r="D61" i="6"/>
  <c r="L61" i="6" s="1"/>
  <c r="B61" i="6"/>
  <c r="X60" i="6"/>
  <c r="Z60" i="6" s="1"/>
  <c r="T60" i="6"/>
  <c r="P60" i="6"/>
  <c r="H60" i="6"/>
  <c r="N60" i="6" s="1"/>
  <c r="D60" i="6"/>
  <c r="L60" i="6" s="1"/>
  <c r="B60" i="6"/>
  <c r="Z59" i="6"/>
  <c r="X59" i="6"/>
  <c r="T59" i="6"/>
  <c r="P59" i="6"/>
  <c r="H59" i="6"/>
  <c r="N59" i="6" s="1"/>
  <c r="D59" i="6"/>
  <c r="L59" i="6" s="1"/>
  <c r="B59" i="6"/>
  <c r="Z58" i="6"/>
  <c r="X58" i="6"/>
  <c r="T58" i="6"/>
  <c r="P58" i="6"/>
  <c r="H58" i="6"/>
  <c r="D58" i="6"/>
  <c r="L58" i="6" s="1"/>
  <c r="B58" i="6"/>
  <c r="T57" i="6"/>
  <c r="P57" i="6"/>
  <c r="X57" i="6" s="1"/>
  <c r="Z57" i="6" s="1"/>
  <c r="L57" i="6"/>
  <c r="H57" i="6"/>
  <c r="D57" i="6"/>
  <c r="B57" i="6"/>
  <c r="T56" i="6"/>
  <c r="Z56" i="6" s="1"/>
  <c r="P56" i="6"/>
  <c r="X56" i="6" s="1"/>
  <c r="L56" i="6"/>
  <c r="N56" i="6" s="1"/>
  <c r="H56" i="6"/>
  <c r="D56" i="6"/>
  <c r="B56" i="6"/>
  <c r="T55" i="6"/>
  <c r="P55" i="6"/>
  <c r="X55" i="6" s="1"/>
  <c r="N55" i="6"/>
  <c r="L55" i="6"/>
  <c r="H55" i="6"/>
  <c r="D55" i="6"/>
  <c r="B55" i="6"/>
  <c r="T54" i="6"/>
  <c r="P54" i="6"/>
  <c r="N54" i="6"/>
  <c r="L54" i="6"/>
  <c r="H54" i="6"/>
  <c r="D54" i="6"/>
  <c r="B54" i="6"/>
  <c r="T53" i="6"/>
  <c r="X53" i="6" s="1"/>
  <c r="P53" i="6"/>
  <c r="H53" i="6"/>
  <c r="D53" i="6"/>
  <c r="L53" i="6" s="1"/>
  <c r="N53" i="6" s="1"/>
  <c r="B53" i="6"/>
  <c r="Z52" i="6"/>
  <c r="X52" i="6"/>
  <c r="T52" i="6"/>
  <c r="P52" i="6"/>
  <c r="H52" i="6"/>
  <c r="N52" i="6" s="1"/>
  <c r="D52" i="6"/>
  <c r="L52" i="6" s="1"/>
  <c r="B52" i="6"/>
  <c r="Z51" i="6"/>
  <c r="X51" i="6"/>
  <c r="T51" i="6"/>
  <c r="P51" i="6"/>
  <c r="L51" i="6"/>
  <c r="H51" i="6"/>
  <c r="N51" i="6" s="1"/>
  <c r="D51" i="6"/>
  <c r="B51" i="6"/>
  <c r="Z50" i="6"/>
  <c r="X50" i="6"/>
  <c r="T50" i="6"/>
  <c r="P50" i="6"/>
  <c r="N50" i="6"/>
  <c r="H50" i="6"/>
  <c r="D50" i="6"/>
  <c r="L50" i="6" s="1"/>
  <c r="B50" i="6"/>
  <c r="T49" i="6"/>
  <c r="P49" i="6"/>
  <c r="X49" i="6" s="1"/>
  <c r="Z49" i="6" s="1"/>
  <c r="L49" i="6"/>
  <c r="H49" i="6"/>
  <c r="N49" i="6" s="1"/>
  <c r="D49" i="6"/>
  <c r="B49" i="6"/>
  <c r="T48" i="6"/>
  <c r="P48" i="6"/>
  <c r="L48" i="6"/>
  <c r="N48" i="6" s="1"/>
  <c r="H48" i="6"/>
  <c r="D48" i="6"/>
  <c r="B48" i="6"/>
  <c r="T47" i="6"/>
  <c r="P47" i="6"/>
  <c r="X47" i="6" s="1"/>
  <c r="N47" i="6"/>
  <c r="L47" i="6"/>
  <c r="H47" i="6"/>
  <c r="D47" i="6"/>
  <c r="B47" i="6"/>
  <c r="T46" i="6"/>
  <c r="P46" i="6"/>
  <c r="N46" i="6"/>
  <c r="L46" i="6"/>
  <c r="H46" i="6"/>
  <c r="D46" i="6"/>
  <c r="B46" i="6"/>
  <c r="T45" i="6"/>
  <c r="P45" i="6"/>
  <c r="N45" i="6"/>
  <c r="H45" i="6"/>
  <c r="D45" i="6"/>
  <c r="L45" i="6" s="1"/>
  <c r="B45" i="6"/>
  <c r="Z44" i="6"/>
  <c r="X44" i="6"/>
  <c r="T44" i="6"/>
  <c r="P44" i="6"/>
  <c r="H44" i="6"/>
  <c r="D44" i="6"/>
  <c r="L44" i="6" s="1"/>
  <c r="B44" i="6"/>
  <c r="Z43" i="6"/>
  <c r="X43" i="6"/>
  <c r="T43" i="6"/>
  <c r="P43" i="6"/>
  <c r="L43" i="6"/>
  <c r="H43" i="6"/>
  <c r="N43" i="6" s="1"/>
  <c r="D43" i="6"/>
  <c r="B43" i="6"/>
  <c r="Z42" i="6"/>
  <c r="X42" i="6"/>
  <c r="T42" i="6"/>
  <c r="P42" i="6"/>
  <c r="N42" i="6"/>
  <c r="H42" i="6"/>
  <c r="D42" i="6"/>
  <c r="L42" i="6" s="1"/>
  <c r="B42" i="6"/>
  <c r="T41" i="6"/>
  <c r="P41" i="6"/>
  <c r="X41" i="6" s="1"/>
  <c r="Z41" i="6" s="1"/>
  <c r="H41" i="6"/>
  <c r="N41" i="6" s="1"/>
  <c r="D41" i="6"/>
  <c r="B41" i="6"/>
  <c r="T40" i="6"/>
  <c r="P40" i="6"/>
  <c r="X40" i="6" s="1"/>
  <c r="L40" i="6"/>
  <c r="N40" i="6" s="1"/>
  <c r="H40" i="6"/>
  <c r="D40" i="6"/>
  <c r="B40" i="6"/>
  <c r="T39" i="6"/>
  <c r="P39" i="6"/>
  <c r="X39" i="6" s="1"/>
  <c r="N39" i="6"/>
  <c r="L39" i="6"/>
  <c r="H39" i="6"/>
  <c r="D39" i="6"/>
  <c r="B39" i="6"/>
  <c r="T38" i="6"/>
  <c r="Z38" i="6" s="1"/>
  <c r="P38" i="6"/>
  <c r="X38" i="6" s="1"/>
  <c r="N38" i="6"/>
  <c r="L38" i="6"/>
  <c r="H38" i="6"/>
  <c r="D38" i="6"/>
  <c r="B38" i="6"/>
  <c r="T37" i="6"/>
  <c r="P37" i="6"/>
  <c r="H37" i="6"/>
  <c r="D37" i="6"/>
  <c r="L37" i="6" s="1"/>
  <c r="N37" i="6" s="1"/>
  <c r="B37" i="6"/>
  <c r="Z36" i="6"/>
  <c r="X36" i="6"/>
  <c r="T36" i="6"/>
  <c r="P36" i="6"/>
  <c r="H36" i="6"/>
  <c r="N36" i="6" s="1"/>
  <c r="D36" i="6"/>
  <c r="B36" i="6"/>
  <c r="Z35" i="6"/>
  <c r="X35" i="6"/>
  <c r="T35" i="6"/>
  <c r="P35" i="6"/>
  <c r="L35" i="6"/>
  <c r="H35" i="6"/>
  <c r="N35" i="6" s="1"/>
  <c r="D35" i="6"/>
  <c r="B35" i="6"/>
  <c r="Z34" i="6"/>
  <c r="X34" i="6"/>
  <c r="T34" i="6"/>
  <c r="P34" i="6"/>
  <c r="H34" i="6"/>
  <c r="N34" i="6" s="1"/>
  <c r="D34" i="6"/>
  <c r="B34" i="6"/>
  <c r="Z33" i="6"/>
  <c r="T33" i="6"/>
  <c r="P33" i="6"/>
  <c r="X33" i="6" s="1"/>
  <c r="H33" i="6"/>
  <c r="N33" i="6" s="1"/>
  <c r="D33" i="6"/>
  <c r="B33" i="6"/>
  <c r="T32" i="6"/>
  <c r="P32" i="6"/>
  <c r="N32" i="6"/>
  <c r="L32" i="6"/>
  <c r="H32" i="6"/>
  <c r="D32" i="6"/>
  <c r="B32" i="6"/>
  <c r="T31" i="6"/>
  <c r="P31" i="6"/>
  <c r="X31" i="6" s="1"/>
  <c r="N31" i="6"/>
  <c r="L31" i="6"/>
  <c r="H31" i="6"/>
  <c r="D31" i="6"/>
  <c r="B31" i="6"/>
  <c r="T30" i="6"/>
  <c r="P30" i="6"/>
  <c r="N30" i="6"/>
  <c r="L30" i="6"/>
  <c r="H30" i="6"/>
  <c r="D30" i="6"/>
  <c r="B30" i="6"/>
  <c r="T29" i="6"/>
  <c r="P29" i="6"/>
  <c r="H29" i="6"/>
  <c r="D29" i="6"/>
  <c r="L29" i="6" s="1"/>
  <c r="N29" i="6" s="1"/>
  <c r="B29" i="6"/>
  <c r="X28" i="6"/>
  <c r="Z28" i="6" s="1"/>
  <c r="T28" i="6"/>
  <c r="P28" i="6"/>
  <c r="H28" i="6"/>
  <c r="D28" i="6"/>
  <c r="L28" i="6" s="1"/>
  <c r="B28" i="6"/>
  <c r="Z27" i="6"/>
  <c r="X27" i="6"/>
  <c r="T27" i="6"/>
  <c r="P27" i="6"/>
  <c r="L27" i="6"/>
  <c r="H27" i="6"/>
  <c r="D27" i="6"/>
  <c r="B27" i="6"/>
  <c r="Z26" i="6"/>
  <c r="X26" i="6"/>
  <c r="T26" i="6"/>
  <c r="P26" i="6"/>
  <c r="N26" i="6"/>
  <c r="H26" i="6"/>
  <c r="D26" i="6"/>
  <c r="L26" i="6" s="1"/>
  <c r="B26" i="6"/>
  <c r="T25" i="6"/>
  <c r="P25" i="6"/>
  <c r="X25" i="6" s="1"/>
  <c r="Z25" i="6" s="1"/>
  <c r="L25" i="6"/>
  <c r="H25" i="6"/>
  <c r="N25" i="6" s="1"/>
  <c r="D25" i="6"/>
  <c r="B25" i="6"/>
  <c r="T24" i="6"/>
  <c r="P24" i="6"/>
  <c r="L24" i="6"/>
  <c r="N24" i="6" s="1"/>
  <c r="H24" i="6"/>
  <c r="D24" i="6"/>
  <c r="B24" i="6"/>
  <c r="T23" i="6"/>
  <c r="P23" i="6"/>
  <c r="X23" i="6" s="1"/>
  <c r="N23" i="6"/>
  <c r="L23" i="6"/>
  <c r="H23" i="6"/>
  <c r="D23" i="6"/>
  <c r="B23" i="6"/>
  <c r="T22" i="6"/>
  <c r="P22" i="6"/>
  <c r="N22" i="6"/>
  <c r="L22" i="6"/>
  <c r="H22" i="6"/>
  <c r="D22" i="6"/>
  <c r="B22" i="6"/>
  <c r="T21" i="6"/>
  <c r="P21" i="6"/>
  <c r="H21" i="6"/>
  <c r="D21" i="6"/>
  <c r="L21" i="6" s="1"/>
  <c r="N21" i="6" s="1"/>
  <c r="B21" i="6"/>
  <c r="X20" i="6"/>
  <c r="Z20" i="6" s="1"/>
  <c r="T20" i="6"/>
  <c r="P20" i="6"/>
  <c r="H20" i="6"/>
  <c r="D20" i="6"/>
  <c r="B20" i="6"/>
  <c r="Z19" i="6"/>
  <c r="X19" i="6"/>
  <c r="T19" i="6"/>
  <c r="P19" i="6"/>
  <c r="L19" i="6"/>
  <c r="H19" i="6"/>
  <c r="D19" i="6"/>
  <c r="B19" i="6"/>
  <c r="Z18" i="6"/>
  <c r="X18" i="6"/>
  <c r="T18" i="6"/>
  <c r="P18" i="6"/>
  <c r="H18" i="6"/>
  <c r="D18" i="6"/>
  <c r="B18" i="6"/>
  <c r="T17" i="6"/>
  <c r="P17" i="6"/>
  <c r="X17" i="6" s="1"/>
  <c r="Z17" i="6" s="1"/>
  <c r="L17" i="6"/>
  <c r="H17" i="6"/>
  <c r="N17" i="6" s="1"/>
  <c r="D17" i="6"/>
  <c r="B17" i="6"/>
  <c r="T16" i="6"/>
  <c r="P16" i="6"/>
  <c r="X16" i="6" s="1"/>
  <c r="N16" i="6"/>
  <c r="L16" i="6"/>
  <c r="H16" i="6"/>
  <c r="D16" i="6"/>
  <c r="B16" i="6"/>
  <c r="X15" i="6"/>
  <c r="T15" i="6"/>
  <c r="P15" i="6"/>
  <c r="N15" i="6"/>
  <c r="L15" i="6"/>
  <c r="H15" i="6"/>
  <c r="D15" i="6"/>
  <c r="B15" i="6"/>
  <c r="Z14" i="6"/>
  <c r="T14" i="6"/>
  <c r="P14" i="6"/>
  <c r="X14" i="6" s="1"/>
  <c r="N14" i="6"/>
  <c r="L14" i="6"/>
  <c r="H14" i="6"/>
  <c r="D14" i="6"/>
  <c r="B14" i="6"/>
  <c r="X13" i="6"/>
  <c r="T13" i="6"/>
  <c r="P13" i="6"/>
  <c r="H13" i="6"/>
  <c r="D13" i="6"/>
  <c r="B13" i="6"/>
  <c r="H12" i="6"/>
  <c r="J167" i="6" s="1"/>
  <c r="D4" i="6"/>
  <c r="J97" i="5"/>
  <c r="Z92" i="5"/>
  <c r="X92" i="5"/>
  <c r="N92" i="5"/>
  <c r="L92" i="5"/>
  <c r="F92" i="5"/>
  <c r="T88" i="5"/>
  <c r="Z88" i="5" s="1"/>
  <c r="P88" i="5"/>
  <c r="H88" i="5"/>
  <c r="N88" i="5" s="1"/>
  <c r="D88" i="5"/>
  <c r="Z86" i="5"/>
  <c r="X86" i="5"/>
  <c r="N86" i="5"/>
  <c r="L86" i="5"/>
  <c r="F86" i="5"/>
  <c r="B86" i="5"/>
  <c r="Z85" i="5"/>
  <c r="X85" i="5"/>
  <c r="N85" i="5"/>
  <c r="L85" i="5"/>
  <c r="F85" i="5"/>
  <c r="B85" i="5"/>
  <c r="T84" i="5"/>
  <c r="P84" i="5"/>
  <c r="X84" i="5" s="1"/>
  <c r="N84" i="5"/>
  <c r="H84" i="5"/>
  <c r="D84" i="5"/>
  <c r="L84" i="5" s="1"/>
  <c r="B84" i="5"/>
  <c r="Z83" i="5"/>
  <c r="X83" i="5"/>
  <c r="N83" i="5"/>
  <c r="L83" i="5"/>
  <c r="B83" i="5"/>
  <c r="T82" i="5"/>
  <c r="P82" i="5"/>
  <c r="X82" i="5" s="1"/>
  <c r="Z82" i="5" s="1"/>
  <c r="L82" i="5"/>
  <c r="H82" i="5"/>
  <c r="N82" i="5" s="1"/>
  <c r="D82" i="5"/>
  <c r="B82" i="5"/>
  <c r="Z81" i="5"/>
  <c r="X81" i="5"/>
  <c r="V81" i="5"/>
  <c r="N81" i="5"/>
  <c r="L81" i="5"/>
  <c r="B81" i="5"/>
  <c r="X80" i="5"/>
  <c r="Z80" i="5" s="1"/>
  <c r="N80" i="5"/>
  <c r="L80" i="5"/>
  <c r="F80" i="5"/>
  <c r="B80" i="5"/>
  <c r="Z79" i="5"/>
  <c r="X79" i="5"/>
  <c r="T79" i="5"/>
  <c r="P79" i="5"/>
  <c r="J79" i="5"/>
  <c r="H79" i="5"/>
  <c r="L79" i="5" s="1"/>
  <c r="D79" i="5"/>
  <c r="B79" i="5"/>
  <c r="X78" i="5"/>
  <c r="Z78" i="5" s="1"/>
  <c r="N78" i="5"/>
  <c r="L78" i="5"/>
  <c r="B78" i="5"/>
  <c r="Z77" i="5"/>
  <c r="X77" i="5"/>
  <c r="N77" i="5"/>
  <c r="L77" i="5"/>
  <c r="B77" i="5"/>
  <c r="X76" i="5"/>
  <c r="Z76" i="5" s="1"/>
  <c r="N76" i="5"/>
  <c r="L76" i="5"/>
  <c r="F76" i="5"/>
  <c r="B76" i="5"/>
  <c r="Z75" i="5"/>
  <c r="X75" i="5"/>
  <c r="N75" i="5"/>
  <c r="L75" i="5"/>
  <c r="B75" i="5"/>
  <c r="Z74" i="5"/>
  <c r="X74" i="5"/>
  <c r="N74" i="5"/>
  <c r="L74" i="5"/>
  <c r="F74" i="5"/>
  <c r="B74" i="5"/>
  <c r="T73" i="5"/>
  <c r="P73" i="5"/>
  <c r="X73" i="5" s="1"/>
  <c r="Z73" i="5" s="1"/>
  <c r="N73" i="5"/>
  <c r="L73" i="5"/>
  <c r="H73" i="5"/>
  <c r="D73" i="5"/>
  <c r="B73" i="5"/>
  <c r="Z72" i="5"/>
  <c r="X72" i="5"/>
  <c r="N72" i="5"/>
  <c r="L72" i="5"/>
  <c r="F72" i="5"/>
  <c r="B72" i="5"/>
  <c r="X71" i="5"/>
  <c r="Z71" i="5" s="1"/>
  <c r="N71" i="5"/>
  <c r="L71" i="5"/>
  <c r="B71" i="5"/>
  <c r="T70" i="5"/>
  <c r="P70" i="5"/>
  <c r="X70" i="5" s="1"/>
  <c r="Z70" i="5" s="1"/>
  <c r="L70" i="5"/>
  <c r="H70" i="5"/>
  <c r="N70" i="5" s="1"/>
  <c r="D70" i="5"/>
  <c r="B70" i="5"/>
  <c r="Z69" i="5"/>
  <c r="X69" i="5"/>
  <c r="N69" i="5"/>
  <c r="L69" i="5"/>
  <c r="B69" i="5"/>
  <c r="X68" i="5"/>
  <c r="T68" i="5"/>
  <c r="Z68" i="5" s="1"/>
  <c r="P68" i="5"/>
  <c r="H68" i="5"/>
  <c r="F68" i="5"/>
  <c r="D68" i="5"/>
  <c r="B68" i="5"/>
  <c r="X67" i="5"/>
  <c r="Z67" i="5" s="1"/>
  <c r="V67" i="5"/>
  <c r="L67" i="5"/>
  <c r="N67" i="5" s="1"/>
  <c r="B67" i="5"/>
  <c r="X66" i="5"/>
  <c r="Z66" i="5" s="1"/>
  <c r="N66" i="5"/>
  <c r="L66" i="5"/>
  <c r="B66" i="5"/>
  <c r="Z65" i="5"/>
  <c r="X65" i="5"/>
  <c r="N65" i="5"/>
  <c r="L65" i="5"/>
  <c r="B65" i="5"/>
  <c r="X64" i="5"/>
  <c r="Z64" i="5" s="1"/>
  <c r="N64" i="5"/>
  <c r="L64" i="5"/>
  <c r="F64" i="5"/>
  <c r="B64" i="5"/>
  <c r="Z63" i="5"/>
  <c r="X63" i="5"/>
  <c r="T63" i="5"/>
  <c r="P63" i="5"/>
  <c r="N63" i="5"/>
  <c r="H63" i="5"/>
  <c r="L63" i="5" s="1"/>
  <c r="F63" i="5"/>
  <c r="D63" i="5"/>
  <c r="B63" i="5"/>
  <c r="X62" i="5"/>
  <c r="Z62" i="5" s="1"/>
  <c r="N62" i="5"/>
  <c r="L62" i="5"/>
  <c r="B62" i="5"/>
  <c r="Z61" i="5"/>
  <c r="X61" i="5"/>
  <c r="R61" i="5"/>
  <c r="N61" i="5"/>
  <c r="L61" i="5"/>
  <c r="B61" i="5"/>
  <c r="X60" i="5"/>
  <c r="Z60" i="5" s="1"/>
  <c r="N60" i="5"/>
  <c r="L60" i="5"/>
  <c r="F60" i="5"/>
  <c r="B60" i="5"/>
  <c r="X59" i="5"/>
  <c r="Z59" i="5" s="1"/>
  <c r="T59" i="5"/>
  <c r="P59" i="5"/>
  <c r="H59" i="5"/>
  <c r="L59" i="5" s="1"/>
  <c r="F59" i="5"/>
  <c r="D59" i="5"/>
  <c r="B59" i="5"/>
  <c r="X58" i="5"/>
  <c r="Z58" i="5" s="1"/>
  <c r="N58" i="5"/>
  <c r="L58" i="5"/>
  <c r="B58" i="5"/>
  <c r="T57" i="5"/>
  <c r="X57" i="5" s="1"/>
  <c r="P57" i="5"/>
  <c r="H57" i="5"/>
  <c r="F57" i="5"/>
  <c r="D57" i="5"/>
  <c r="L57" i="5" s="1"/>
  <c r="B57" i="5"/>
  <c r="Z56" i="5"/>
  <c r="X56" i="5"/>
  <c r="L56" i="5"/>
  <c r="N56" i="5" s="1"/>
  <c r="F56" i="5"/>
  <c r="B56" i="5"/>
  <c r="T55" i="5"/>
  <c r="Z55" i="5" s="1"/>
  <c r="P55" i="5"/>
  <c r="X55" i="5" s="1"/>
  <c r="H55" i="5"/>
  <c r="F55" i="5"/>
  <c r="D55" i="5"/>
  <c r="L55" i="5" s="1"/>
  <c r="N55" i="5" s="1"/>
  <c r="B55" i="5"/>
  <c r="Z54" i="5"/>
  <c r="X54" i="5"/>
  <c r="L54" i="5"/>
  <c r="N54" i="5" s="1"/>
  <c r="F54" i="5"/>
  <c r="B54" i="5"/>
  <c r="Z53" i="5"/>
  <c r="X53" i="5"/>
  <c r="N53" i="5"/>
  <c r="L53" i="5"/>
  <c r="F53" i="5"/>
  <c r="B53" i="5"/>
  <c r="T52" i="5"/>
  <c r="P52" i="5"/>
  <c r="H52" i="5"/>
  <c r="D52" i="5"/>
  <c r="L52" i="5" s="1"/>
  <c r="N52" i="5" s="1"/>
  <c r="B52" i="5"/>
  <c r="Z51" i="5"/>
  <c r="X51" i="5"/>
  <c r="L51" i="5"/>
  <c r="N51" i="5" s="1"/>
  <c r="F51" i="5"/>
  <c r="B51" i="5"/>
  <c r="T50" i="5"/>
  <c r="P50" i="5"/>
  <c r="X50" i="5" s="1"/>
  <c r="Z50" i="5" s="1"/>
  <c r="L50" i="5"/>
  <c r="H50" i="5"/>
  <c r="N50" i="5" s="1"/>
  <c r="F50" i="5"/>
  <c r="D50" i="5"/>
  <c r="B50" i="5"/>
  <c r="Z49" i="5"/>
  <c r="X49" i="5"/>
  <c r="N49" i="5"/>
  <c r="L49" i="5"/>
  <c r="B49" i="5"/>
  <c r="X48" i="5"/>
  <c r="T48" i="5"/>
  <c r="Z48" i="5" s="1"/>
  <c r="P48" i="5"/>
  <c r="L48" i="5"/>
  <c r="H48" i="5"/>
  <c r="N48" i="5" s="1"/>
  <c r="F48" i="5"/>
  <c r="D48" i="5"/>
  <c r="B48" i="5"/>
  <c r="X47" i="5"/>
  <c r="Z47" i="5" s="1"/>
  <c r="L47" i="5"/>
  <c r="N47" i="5" s="1"/>
  <c r="F47" i="5"/>
  <c r="B47" i="5"/>
  <c r="X46" i="5"/>
  <c r="T46" i="5"/>
  <c r="P46" i="5"/>
  <c r="H46" i="5"/>
  <c r="F46" i="5"/>
  <c r="D46" i="5"/>
  <c r="L46" i="5" s="1"/>
  <c r="B46" i="5"/>
  <c r="Z45" i="5"/>
  <c r="X45" i="5"/>
  <c r="N45" i="5"/>
  <c r="L45" i="5"/>
  <c r="F45" i="5"/>
  <c r="B45" i="5"/>
  <c r="T44" i="5"/>
  <c r="P44" i="5"/>
  <c r="X44" i="5" s="1"/>
  <c r="H44" i="5"/>
  <c r="D44" i="5"/>
  <c r="L44" i="5" s="1"/>
  <c r="N44" i="5" s="1"/>
  <c r="B44" i="5"/>
  <c r="Z43" i="5"/>
  <c r="X43" i="5"/>
  <c r="N43" i="5"/>
  <c r="L43" i="5"/>
  <c r="F43" i="5"/>
  <c r="B43" i="5"/>
  <c r="T42" i="5"/>
  <c r="P42" i="5"/>
  <c r="X42" i="5" s="1"/>
  <c r="Z42" i="5" s="1"/>
  <c r="L42" i="5"/>
  <c r="J42" i="5"/>
  <c r="H42" i="5"/>
  <c r="N42" i="5" s="1"/>
  <c r="F42" i="5"/>
  <c r="D42" i="5"/>
  <c r="B42" i="5"/>
  <c r="Z41" i="5"/>
  <c r="X41" i="5"/>
  <c r="R41" i="5"/>
  <c r="N41" i="5"/>
  <c r="L41" i="5"/>
  <c r="B41" i="5"/>
  <c r="T40" i="5"/>
  <c r="P40" i="5"/>
  <c r="L40" i="5"/>
  <c r="H40" i="5"/>
  <c r="F40" i="5"/>
  <c r="D40" i="5"/>
  <c r="B40" i="5"/>
  <c r="Z39" i="5"/>
  <c r="X39" i="5"/>
  <c r="N39" i="5"/>
  <c r="L39" i="5"/>
  <c r="F39" i="5"/>
  <c r="B39" i="5"/>
  <c r="T38" i="5"/>
  <c r="P38" i="5"/>
  <c r="X38" i="5" s="1"/>
  <c r="H38" i="5"/>
  <c r="F38" i="5"/>
  <c r="D38" i="5"/>
  <c r="L38" i="5" s="1"/>
  <c r="B38" i="5"/>
  <c r="Z37" i="5"/>
  <c r="X37" i="5"/>
  <c r="N37" i="5"/>
  <c r="L37" i="5"/>
  <c r="F37" i="5"/>
  <c r="B37" i="5"/>
  <c r="Z36" i="5"/>
  <c r="X36" i="5"/>
  <c r="N36" i="5"/>
  <c r="L36" i="5"/>
  <c r="F36" i="5"/>
  <c r="B36" i="5"/>
  <c r="Z35" i="5"/>
  <c r="X35" i="5"/>
  <c r="L35" i="5"/>
  <c r="N35" i="5" s="1"/>
  <c r="F35" i="5"/>
  <c r="B35" i="5"/>
  <c r="X34" i="5"/>
  <c r="Z34" i="5" s="1"/>
  <c r="N34" i="5"/>
  <c r="L34" i="5"/>
  <c r="B34" i="5"/>
  <c r="X33" i="5"/>
  <c r="Z33" i="5" s="1"/>
  <c r="V33" i="5"/>
  <c r="N33" i="5"/>
  <c r="L33" i="5"/>
  <c r="B33" i="5"/>
  <c r="Z32" i="5"/>
  <c r="X32" i="5"/>
  <c r="N32" i="5"/>
  <c r="L32" i="5"/>
  <c r="F32" i="5"/>
  <c r="B32" i="5"/>
  <c r="Z31" i="5"/>
  <c r="X31" i="5"/>
  <c r="T31" i="5"/>
  <c r="P31" i="5"/>
  <c r="H31" i="5"/>
  <c r="F31" i="5"/>
  <c r="D31" i="5"/>
  <c r="B31" i="5"/>
  <c r="X30" i="5"/>
  <c r="Z30" i="5" s="1"/>
  <c r="L30" i="5"/>
  <c r="N30" i="5" s="1"/>
  <c r="B30" i="5"/>
  <c r="X29" i="5"/>
  <c r="Z29" i="5" s="1"/>
  <c r="N29" i="5"/>
  <c r="L29" i="5"/>
  <c r="B29" i="5"/>
  <c r="X28" i="5"/>
  <c r="Z28" i="5" s="1"/>
  <c r="V28" i="5"/>
  <c r="N28" i="5"/>
  <c r="L28" i="5"/>
  <c r="F28" i="5"/>
  <c r="B28" i="5"/>
  <c r="X27" i="5"/>
  <c r="Z27" i="5" s="1"/>
  <c r="V27" i="5"/>
  <c r="N27" i="5"/>
  <c r="L27" i="5"/>
  <c r="F27" i="5"/>
  <c r="B27" i="5"/>
  <c r="X26" i="5"/>
  <c r="Z26" i="5" s="1"/>
  <c r="L26" i="5"/>
  <c r="N26" i="5" s="1"/>
  <c r="F26" i="5"/>
  <c r="B26" i="5"/>
  <c r="Z25" i="5"/>
  <c r="X25" i="5"/>
  <c r="L25" i="5"/>
  <c r="N25" i="5" s="1"/>
  <c r="J25" i="5"/>
  <c r="F25" i="5"/>
  <c r="B25" i="5"/>
  <c r="Z24" i="5"/>
  <c r="X24" i="5"/>
  <c r="R24" i="5"/>
  <c r="L24" i="5"/>
  <c r="N24" i="5" s="1"/>
  <c r="J24" i="5"/>
  <c r="F24" i="5"/>
  <c r="B24" i="5"/>
  <c r="Z23" i="5"/>
  <c r="X23" i="5"/>
  <c r="V23" i="5"/>
  <c r="L23" i="5"/>
  <c r="N23" i="5" s="1"/>
  <c r="F23" i="5"/>
  <c r="B23" i="5"/>
  <c r="X22" i="5"/>
  <c r="Z22" i="5" s="1"/>
  <c r="V22" i="5"/>
  <c r="L22" i="5"/>
  <c r="N22" i="5" s="1"/>
  <c r="B22" i="5"/>
  <c r="Z21" i="5"/>
  <c r="X21" i="5"/>
  <c r="V21" i="5"/>
  <c r="L21" i="5"/>
  <c r="N21" i="5" s="1"/>
  <c r="B21" i="5"/>
  <c r="X20" i="5"/>
  <c r="Z20" i="5" s="1"/>
  <c r="R20" i="5"/>
  <c r="N20" i="5"/>
  <c r="L20" i="5"/>
  <c r="F20" i="5"/>
  <c r="B20" i="5"/>
  <c r="T19" i="5"/>
  <c r="P19" i="5"/>
  <c r="L19" i="5"/>
  <c r="N19" i="5" s="1"/>
  <c r="H19" i="5"/>
  <c r="F19" i="5"/>
  <c r="D19" i="5"/>
  <c r="B19" i="5"/>
  <c r="T18" i="5" a="1"/>
  <c r="T18" i="5" s="1"/>
  <c r="P18" i="5" a="1"/>
  <c r="P18" i="5" s="1"/>
  <c r="J18" i="5"/>
  <c r="H18" i="5" a="1"/>
  <c r="H18" i="5" s="1"/>
  <c r="F18" i="5"/>
  <c r="D18" i="5" a="1"/>
  <c r="D18" i="5" s="1"/>
  <c r="V16" i="5"/>
  <c r="R16" i="5"/>
  <c r="H16" i="5"/>
  <c r="F16" i="5"/>
  <c r="D16" i="5"/>
  <c r="Z14" i="5"/>
  <c r="V14" i="5"/>
  <c r="T14" i="5"/>
  <c r="P14" i="5"/>
  <c r="X14" i="5" s="1"/>
  <c r="N14" i="5"/>
  <c r="H14" i="5"/>
  <c r="L14" i="5" s="1"/>
  <c r="F14" i="5"/>
  <c r="D14" i="5"/>
  <c r="T12" i="5"/>
  <c r="V77" i="5" s="1"/>
  <c r="P12" i="5"/>
  <c r="R77" i="5" s="1"/>
  <c r="H12" i="5"/>
  <c r="J85" i="5" s="1"/>
  <c r="D12" i="5"/>
  <c r="F79" i="5" s="1"/>
  <c r="D4" i="5"/>
  <c r="V31" i="4"/>
  <c r="R31" i="4"/>
  <c r="F31" i="4"/>
  <c r="Z29" i="4"/>
  <c r="X29" i="4"/>
  <c r="T29" i="4"/>
  <c r="R29" i="4"/>
  <c r="P29" i="4"/>
  <c r="H29" i="4"/>
  <c r="L29" i="4" s="1"/>
  <c r="N29" i="4" s="1"/>
  <c r="D29" i="4"/>
  <c r="V28" i="4"/>
  <c r="T28" i="4"/>
  <c r="R28" i="4"/>
  <c r="P28" i="4"/>
  <c r="H28" i="4"/>
  <c r="F28" i="4"/>
  <c r="D28" i="4"/>
  <c r="L28" i="4" s="1"/>
  <c r="R26" i="4"/>
  <c r="Z24" i="4"/>
  <c r="X24" i="4"/>
  <c r="V24" i="4"/>
  <c r="R24" i="4"/>
  <c r="N24" i="4"/>
  <c r="L24" i="4"/>
  <c r="V22" i="4"/>
  <c r="R22" i="4"/>
  <c r="F22" i="4"/>
  <c r="Z20" i="4"/>
  <c r="X20" i="4"/>
  <c r="T20" i="4"/>
  <c r="R20" i="4"/>
  <c r="P20" i="4"/>
  <c r="N20" i="4"/>
  <c r="L20" i="4"/>
  <c r="H20" i="4"/>
  <c r="D20" i="4"/>
  <c r="Z18" i="4"/>
  <c r="V18" i="4"/>
  <c r="T18" i="4"/>
  <c r="R18" i="4"/>
  <c r="P18" i="4"/>
  <c r="X18" i="4" s="1"/>
  <c r="H18" i="4"/>
  <c r="N18" i="4" s="1"/>
  <c r="F18" i="4"/>
  <c r="D18" i="4"/>
  <c r="R16" i="4"/>
  <c r="Z14" i="4"/>
  <c r="V14" i="4"/>
  <c r="T14" i="4"/>
  <c r="R14" i="4"/>
  <c r="P14" i="4"/>
  <c r="X14" i="4" s="1"/>
  <c r="H14" i="4"/>
  <c r="N14" i="4" s="1"/>
  <c r="F14" i="4"/>
  <c r="D14" i="4"/>
  <c r="Z12" i="4"/>
  <c r="X12" i="4"/>
  <c r="T12" i="4"/>
  <c r="V29" i="4" s="1"/>
  <c r="P12" i="4"/>
  <c r="H12" i="4"/>
  <c r="J24" i="4" s="1"/>
  <c r="D12" i="4"/>
  <c r="D4" i="4"/>
  <c r="T285" i="3"/>
  <c r="X285" i="3" s="1"/>
  <c r="Z285" i="3" s="1"/>
  <c r="P285" i="3"/>
  <c r="H285" i="3"/>
  <c r="D285" i="3"/>
  <c r="L285" i="3" s="1"/>
  <c r="T284" i="3"/>
  <c r="P284" i="3"/>
  <c r="L284" i="3"/>
  <c r="N284" i="3" s="1"/>
  <c r="H284" i="3"/>
  <c r="D284" i="3"/>
  <c r="Z280" i="3"/>
  <c r="X280" i="3"/>
  <c r="L280" i="3"/>
  <c r="N280" i="3" s="1"/>
  <c r="T276" i="3"/>
  <c r="X276" i="3" s="1"/>
  <c r="Z276" i="3" s="1"/>
  <c r="P276" i="3"/>
  <c r="H276" i="3"/>
  <c r="D276" i="3"/>
  <c r="L276" i="3" s="1"/>
  <c r="B276" i="3"/>
  <c r="T275" i="3"/>
  <c r="P275" i="3"/>
  <c r="N275" i="3"/>
  <c r="L275" i="3"/>
  <c r="H275" i="3"/>
  <c r="D275" i="3"/>
  <c r="B275" i="3"/>
  <c r="X274" i="3"/>
  <c r="Z274" i="3" s="1"/>
  <c r="T274" i="3"/>
  <c r="P274" i="3"/>
  <c r="N274" i="3"/>
  <c r="H274" i="3"/>
  <c r="L274" i="3" s="1"/>
  <c r="D274" i="3"/>
  <c r="B274" i="3"/>
  <c r="T273" i="3"/>
  <c r="P273" i="3"/>
  <c r="H273" i="3"/>
  <c r="D273" i="3"/>
  <c r="L273" i="3" s="1"/>
  <c r="B273" i="3"/>
  <c r="Z272" i="3"/>
  <c r="T272" i="3"/>
  <c r="P272" i="3"/>
  <c r="X272" i="3" s="1"/>
  <c r="N272" i="3"/>
  <c r="H272" i="3"/>
  <c r="D272" i="3"/>
  <c r="L272" i="3" s="1"/>
  <c r="B272" i="3"/>
  <c r="X271" i="3"/>
  <c r="Z271" i="3" s="1"/>
  <c r="T271" i="3"/>
  <c r="P271" i="3"/>
  <c r="L271" i="3"/>
  <c r="H271" i="3"/>
  <c r="N271" i="3" s="1"/>
  <c r="D271" i="3"/>
  <c r="B271" i="3"/>
  <c r="T270" i="3"/>
  <c r="Z270" i="3" s="1"/>
  <c r="P270" i="3"/>
  <c r="N270" i="3"/>
  <c r="H270" i="3"/>
  <c r="D270" i="3"/>
  <c r="L270" i="3" s="1"/>
  <c r="B270" i="3"/>
  <c r="Z269" i="3"/>
  <c r="X269" i="3"/>
  <c r="T269" i="3"/>
  <c r="P269" i="3"/>
  <c r="H269" i="3"/>
  <c r="H267" i="3" s="1"/>
  <c r="D269" i="3"/>
  <c r="B269" i="3"/>
  <c r="T268" i="3"/>
  <c r="P268" i="3"/>
  <c r="X268" i="3" s="1"/>
  <c r="Z268" i="3" s="1"/>
  <c r="L268" i="3"/>
  <c r="N268" i="3" s="1"/>
  <c r="H268" i="3"/>
  <c r="D268" i="3"/>
  <c r="B268" i="3"/>
  <c r="X265" i="3"/>
  <c r="Z265" i="3" s="1"/>
  <c r="L265" i="3"/>
  <c r="N265" i="3" s="1"/>
  <c r="B265" i="3"/>
  <c r="T264" i="3"/>
  <c r="P264" i="3"/>
  <c r="X264" i="3" s="1"/>
  <c r="Z264" i="3" s="1"/>
  <c r="H264" i="3"/>
  <c r="D264" i="3"/>
  <c r="L264" i="3" s="1"/>
  <c r="N264" i="3" s="1"/>
  <c r="B264" i="3"/>
  <c r="Z263" i="3"/>
  <c r="X263" i="3"/>
  <c r="N263" i="3"/>
  <c r="L263" i="3"/>
  <c r="B263" i="3"/>
  <c r="X262" i="3"/>
  <c r="Z262" i="3" s="1"/>
  <c r="N262" i="3"/>
  <c r="L262" i="3"/>
  <c r="B262" i="3"/>
  <c r="X261" i="3"/>
  <c r="Z261" i="3" s="1"/>
  <c r="N261" i="3"/>
  <c r="L261" i="3"/>
  <c r="B261" i="3"/>
  <c r="T260" i="3"/>
  <c r="P260" i="3"/>
  <c r="X260" i="3" s="1"/>
  <c r="Z260" i="3" s="1"/>
  <c r="H260" i="3"/>
  <c r="D260" i="3"/>
  <c r="L260" i="3" s="1"/>
  <c r="N260" i="3" s="1"/>
  <c r="B260" i="3"/>
  <c r="Z259" i="3"/>
  <c r="X259" i="3"/>
  <c r="L259" i="3"/>
  <c r="N259" i="3" s="1"/>
  <c r="B259" i="3"/>
  <c r="T258" i="3"/>
  <c r="P258" i="3"/>
  <c r="X258" i="3" s="1"/>
  <c r="Z258" i="3" s="1"/>
  <c r="L258" i="3"/>
  <c r="N258" i="3" s="1"/>
  <c r="H258" i="3"/>
  <c r="D258" i="3"/>
  <c r="B258" i="3"/>
  <c r="Z257" i="3"/>
  <c r="X257" i="3"/>
  <c r="L257" i="3"/>
  <c r="N257" i="3" s="1"/>
  <c r="B257" i="3"/>
  <c r="X256" i="3"/>
  <c r="Z256" i="3" s="1"/>
  <c r="N256" i="3"/>
  <c r="L256" i="3"/>
  <c r="B256" i="3"/>
  <c r="T255" i="3"/>
  <c r="P255" i="3"/>
  <c r="X255" i="3" s="1"/>
  <c r="Z255" i="3" s="1"/>
  <c r="H255" i="3"/>
  <c r="D255" i="3"/>
  <c r="L255" i="3" s="1"/>
  <c r="N255" i="3" s="1"/>
  <c r="B255" i="3"/>
  <c r="Z254" i="3"/>
  <c r="X254" i="3"/>
  <c r="N254" i="3"/>
  <c r="L254" i="3"/>
  <c r="B254" i="3"/>
  <c r="Z253" i="3"/>
  <c r="X253" i="3"/>
  <c r="L253" i="3"/>
  <c r="N253" i="3" s="1"/>
  <c r="B253" i="3"/>
  <c r="X252" i="3"/>
  <c r="Z252" i="3" s="1"/>
  <c r="N252" i="3"/>
  <c r="L252" i="3"/>
  <c r="B252" i="3"/>
  <c r="Z251" i="3"/>
  <c r="X251" i="3"/>
  <c r="L251" i="3"/>
  <c r="N251" i="3" s="1"/>
  <c r="B251" i="3"/>
  <c r="X250" i="3"/>
  <c r="Z250" i="3" s="1"/>
  <c r="N250" i="3"/>
  <c r="L250" i="3"/>
  <c r="B250" i="3"/>
  <c r="X249" i="3"/>
  <c r="Z249" i="3" s="1"/>
  <c r="N249" i="3"/>
  <c r="L249" i="3"/>
  <c r="B249" i="3"/>
  <c r="Z248" i="3"/>
  <c r="X248" i="3"/>
  <c r="L248" i="3"/>
  <c r="N248" i="3" s="1"/>
  <c r="B248" i="3"/>
  <c r="X247" i="3"/>
  <c r="Z247" i="3" s="1"/>
  <c r="N247" i="3"/>
  <c r="L247" i="3"/>
  <c r="B247" i="3"/>
  <c r="Z246" i="3"/>
  <c r="X246" i="3"/>
  <c r="L246" i="3"/>
  <c r="N246" i="3" s="1"/>
  <c r="B246" i="3"/>
  <c r="T245" i="3"/>
  <c r="P245" i="3"/>
  <c r="X245" i="3" s="1"/>
  <c r="Z245" i="3" s="1"/>
  <c r="L245" i="3"/>
  <c r="H245" i="3"/>
  <c r="N245" i="3" s="1"/>
  <c r="D245" i="3"/>
  <c r="B245" i="3"/>
  <c r="Z244" i="3"/>
  <c r="X244" i="3"/>
  <c r="L244" i="3"/>
  <c r="N244" i="3" s="1"/>
  <c r="B244" i="3"/>
  <c r="X243" i="3"/>
  <c r="Z243" i="3" s="1"/>
  <c r="N243" i="3"/>
  <c r="L243" i="3"/>
  <c r="B243" i="3"/>
  <c r="T242" i="3"/>
  <c r="X242" i="3" s="1"/>
  <c r="Z242" i="3" s="1"/>
  <c r="P242" i="3"/>
  <c r="H242" i="3"/>
  <c r="D242" i="3"/>
  <c r="L242" i="3" s="1"/>
  <c r="N242" i="3" s="1"/>
  <c r="B242" i="3"/>
  <c r="X241" i="3"/>
  <c r="Z241" i="3" s="1"/>
  <c r="N241" i="3"/>
  <c r="L241" i="3"/>
  <c r="B241" i="3"/>
  <c r="Z240" i="3"/>
  <c r="X240" i="3"/>
  <c r="L240" i="3"/>
  <c r="N240" i="3" s="1"/>
  <c r="B240" i="3"/>
  <c r="X239" i="3"/>
  <c r="Z239" i="3" s="1"/>
  <c r="N239" i="3"/>
  <c r="L239" i="3"/>
  <c r="B239" i="3"/>
  <c r="Z238" i="3"/>
  <c r="X238" i="3"/>
  <c r="N238" i="3"/>
  <c r="L238" i="3"/>
  <c r="B238" i="3"/>
  <c r="Z237" i="3"/>
  <c r="X237" i="3"/>
  <c r="L237" i="3"/>
  <c r="N237" i="3" s="1"/>
  <c r="B237" i="3"/>
  <c r="X236" i="3"/>
  <c r="T236" i="3"/>
  <c r="Z236" i="3" s="1"/>
  <c r="P236" i="3"/>
  <c r="H236" i="3"/>
  <c r="L236" i="3" s="1"/>
  <c r="N236" i="3" s="1"/>
  <c r="D236" i="3"/>
  <c r="B236" i="3"/>
  <c r="X235" i="3"/>
  <c r="Z235" i="3" s="1"/>
  <c r="N235" i="3"/>
  <c r="L235" i="3"/>
  <c r="B235" i="3"/>
  <c r="Z234" i="3"/>
  <c r="X234" i="3"/>
  <c r="N234" i="3"/>
  <c r="L234" i="3"/>
  <c r="B234" i="3"/>
  <c r="Z233" i="3"/>
  <c r="X233" i="3"/>
  <c r="N233" i="3"/>
  <c r="L233" i="3"/>
  <c r="B233" i="3"/>
  <c r="X232" i="3"/>
  <c r="T232" i="3"/>
  <c r="Z232" i="3" s="1"/>
  <c r="P232" i="3"/>
  <c r="H232" i="3"/>
  <c r="L232" i="3" s="1"/>
  <c r="N232" i="3" s="1"/>
  <c r="D232" i="3"/>
  <c r="B232" i="3"/>
  <c r="X231" i="3"/>
  <c r="Z231" i="3" s="1"/>
  <c r="N231" i="3"/>
  <c r="L231" i="3"/>
  <c r="B231" i="3"/>
  <c r="Z230" i="3"/>
  <c r="X230" i="3"/>
  <c r="L230" i="3"/>
  <c r="N230" i="3" s="1"/>
  <c r="B230" i="3"/>
  <c r="Z229" i="3"/>
  <c r="X229" i="3"/>
  <c r="L229" i="3"/>
  <c r="N229" i="3" s="1"/>
  <c r="B229" i="3"/>
  <c r="X228" i="3"/>
  <c r="Z228" i="3" s="1"/>
  <c r="N228" i="3"/>
  <c r="L228" i="3"/>
  <c r="B228" i="3"/>
  <c r="T227" i="3"/>
  <c r="P227" i="3"/>
  <c r="X227" i="3" s="1"/>
  <c r="Z227" i="3" s="1"/>
  <c r="H227" i="3"/>
  <c r="D227" i="3"/>
  <c r="L227" i="3" s="1"/>
  <c r="N227" i="3" s="1"/>
  <c r="B227" i="3"/>
  <c r="Z226" i="3"/>
  <c r="X226" i="3"/>
  <c r="L226" i="3"/>
  <c r="N226" i="3" s="1"/>
  <c r="B226" i="3"/>
  <c r="T225" i="3"/>
  <c r="P225" i="3"/>
  <c r="X225" i="3" s="1"/>
  <c r="Z225" i="3" s="1"/>
  <c r="L225" i="3"/>
  <c r="H225" i="3"/>
  <c r="N225" i="3" s="1"/>
  <c r="D225" i="3"/>
  <c r="B225" i="3"/>
  <c r="Z224" i="3"/>
  <c r="X224" i="3"/>
  <c r="L224" i="3"/>
  <c r="N224" i="3" s="1"/>
  <c r="B224" i="3"/>
  <c r="X223" i="3"/>
  <c r="T223" i="3"/>
  <c r="Z223" i="3" s="1"/>
  <c r="P223" i="3"/>
  <c r="H223" i="3"/>
  <c r="D223" i="3"/>
  <c r="B223" i="3"/>
  <c r="X222" i="3"/>
  <c r="Z222" i="3" s="1"/>
  <c r="N222" i="3"/>
  <c r="L222" i="3"/>
  <c r="B222" i="3"/>
  <c r="T221" i="3"/>
  <c r="P221" i="3"/>
  <c r="H221" i="3"/>
  <c r="D221" i="3"/>
  <c r="L221" i="3" s="1"/>
  <c r="N221" i="3" s="1"/>
  <c r="B221" i="3"/>
  <c r="Z220" i="3"/>
  <c r="X220" i="3"/>
  <c r="N220" i="3"/>
  <c r="L220" i="3"/>
  <c r="B220" i="3"/>
  <c r="Z219" i="3"/>
  <c r="X219" i="3"/>
  <c r="L219" i="3"/>
  <c r="N219" i="3" s="1"/>
  <c r="B219" i="3"/>
  <c r="Z218" i="3"/>
  <c r="T218" i="3"/>
  <c r="P218" i="3"/>
  <c r="X218" i="3" s="1"/>
  <c r="L218" i="3"/>
  <c r="H218" i="3"/>
  <c r="N218" i="3" s="1"/>
  <c r="D218" i="3"/>
  <c r="B218" i="3"/>
  <c r="Z217" i="3"/>
  <c r="X217" i="3"/>
  <c r="L217" i="3"/>
  <c r="N217" i="3" s="1"/>
  <c r="B217" i="3"/>
  <c r="X216" i="3"/>
  <c r="T216" i="3"/>
  <c r="Z216" i="3" s="1"/>
  <c r="P216" i="3"/>
  <c r="H216" i="3"/>
  <c r="L216" i="3" s="1"/>
  <c r="N216" i="3" s="1"/>
  <c r="D216" i="3"/>
  <c r="B216" i="3"/>
  <c r="X215" i="3"/>
  <c r="Z215" i="3" s="1"/>
  <c r="N215" i="3"/>
  <c r="L215" i="3"/>
  <c r="B215" i="3"/>
  <c r="T214" i="3"/>
  <c r="X214" i="3" s="1"/>
  <c r="Z214" i="3" s="1"/>
  <c r="P214" i="3"/>
  <c r="H214" i="3"/>
  <c r="D214" i="3"/>
  <c r="L214" i="3" s="1"/>
  <c r="N214" i="3" s="1"/>
  <c r="B214" i="3"/>
  <c r="X213" i="3"/>
  <c r="Z213" i="3" s="1"/>
  <c r="N213" i="3"/>
  <c r="L213" i="3"/>
  <c r="B213" i="3"/>
  <c r="T212" i="3"/>
  <c r="P212" i="3"/>
  <c r="X212" i="3" s="1"/>
  <c r="Z212" i="3" s="1"/>
  <c r="H212" i="3"/>
  <c r="N212" i="3" s="1"/>
  <c r="D212" i="3"/>
  <c r="L212" i="3" s="1"/>
  <c r="B212" i="3"/>
  <c r="Z211" i="3"/>
  <c r="X211" i="3"/>
  <c r="L211" i="3"/>
  <c r="N211" i="3" s="1"/>
  <c r="B211" i="3"/>
  <c r="X210" i="3"/>
  <c r="Z210" i="3" s="1"/>
  <c r="N210" i="3"/>
  <c r="L210" i="3"/>
  <c r="B210" i="3"/>
  <c r="T209" i="3"/>
  <c r="P209" i="3"/>
  <c r="H209" i="3"/>
  <c r="D209" i="3"/>
  <c r="L209" i="3" s="1"/>
  <c r="N209" i="3" s="1"/>
  <c r="B209" i="3"/>
  <c r="X208" i="3"/>
  <c r="Z208" i="3" s="1"/>
  <c r="N208" i="3"/>
  <c r="L208" i="3"/>
  <c r="B208" i="3"/>
  <c r="T207" i="3"/>
  <c r="P207" i="3"/>
  <c r="X207" i="3" s="1"/>
  <c r="Z207" i="3" s="1"/>
  <c r="H207" i="3"/>
  <c r="D207" i="3"/>
  <c r="L207" i="3" s="1"/>
  <c r="N207" i="3" s="1"/>
  <c r="B207" i="3"/>
  <c r="Z206" i="3"/>
  <c r="X206" i="3"/>
  <c r="L206" i="3"/>
  <c r="N206" i="3" s="1"/>
  <c r="B206" i="3"/>
  <c r="T205" i="3"/>
  <c r="P205" i="3"/>
  <c r="X205" i="3" s="1"/>
  <c r="Z205" i="3" s="1"/>
  <c r="L205" i="3"/>
  <c r="H205" i="3"/>
  <c r="N205" i="3" s="1"/>
  <c r="D205" i="3"/>
  <c r="B205" i="3"/>
  <c r="Z204" i="3"/>
  <c r="X204" i="3"/>
  <c r="N204" i="3"/>
  <c r="L204" i="3"/>
  <c r="B204" i="3"/>
  <c r="X203" i="3"/>
  <c r="T203" i="3"/>
  <c r="Z203" i="3" s="1"/>
  <c r="P203" i="3"/>
  <c r="H203" i="3"/>
  <c r="N203" i="3" s="1"/>
  <c r="D203" i="3"/>
  <c r="B203" i="3"/>
  <c r="X202" i="3"/>
  <c r="Z202" i="3" s="1"/>
  <c r="N202" i="3"/>
  <c r="L202" i="3"/>
  <c r="B202" i="3"/>
  <c r="Z201" i="3"/>
  <c r="X201" i="3"/>
  <c r="N201" i="3"/>
  <c r="L201" i="3"/>
  <c r="B201" i="3"/>
  <c r="T200" i="3"/>
  <c r="P200" i="3"/>
  <c r="X200" i="3" s="1"/>
  <c r="Z200" i="3" s="1"/>
  <c r="N200" i="3"/>
  <c r="H200" i="3"/>
  <c r="D200" i="3"/>
  <c r="L200" i="3" s="1"/>
  <c r="B200" i="3"/>
  <c r="Z199" i="3"/>
  <c r="X199" i="3"/>
  <c r="L199" i="3"/>
  <c r="N199" i="3" s="1"/>
  <c r="B199" i="3"/>
  <c r="X198" i="3"/>
  <c r="Z198" i="3" s="1"/>
  <c r="N198" i="3"/>
  <c r="L198" i="3"/>
  <c r="B198" i="3"/>
  <c r="T197" i="3"/>
  <c r="P197" i="3"/>
  <c r="H197" i="3"/>
  <c r="D197" i="3"/>
  <c r="L197" i="3" s="1"/>
  <c r="N197" i="3" s="1"/>
  <c r="B197" i="3"/>
  <c r="X196" i="3"/>
  <c r="Z196" i="3" s="1"/>
  <c r="N196" i="3"/>
  <c r="L196" i="3"/>
  <c r="B196" i="3"/>
  <c r="T195" i="3"/>
  <c r="P195" i="3"/>
  <c r="X195" i="3" s="1"/>
  <c r="Z195" i="3" s="1"/>
  <c r="H195" i="3"/>
  <c r="D195" i="3"/>
  <c r="L195" i="3" s="1"/>
  <c r="N195" i="3" s="1"/>
  <c r="B195" i="3"/>
  <c r="Z194" i="3"/>
  <c r="X194" i="3"/>
  <c r="N194" i="3"/>
  <c r="L194" i="3"/>
  <c r="B194" i="3"/>
  <c r="Z193" i="3"/>
  <c r="X193" i="3"/>
  <c r="L193" i="3"/>
  <c r="N193" i="3" s="1"/>
  <c r="B193" i="3"/>
  <c r="X192" i="3"/>
  <c r="Z192" i="3" s="1"/>
  <c r="T192" i="3"/>
  <c r="P192" i="3"/>
  <c r="H192" i="3"/>
  <c r="L192" i="3" s="1"/>
  <c r="N192" i="3" s="1"/>
  <c r="D192" i="3"/>
  <c r="B192" i="3"/>
  <c r="X191" i="3"/>
  <c r="Z191" i="3" s="1"/>
  <c r="N191" i="3"/>
  <c r="L191" i="3"/>
  <c r="B191" i="3"/>
  <c r="T190" i="3"/>
  <c r="X190" i="3" s="1"/>
  <c r="Z190" i="3" s="1"/>
  <c r="P190" i="3"/>
  <c r="H190" i="3"/>
  <c r="D190" i="3"/>
  <c r="L190" i="3" s="1"/>
  <c r="N190" i="3" s="1"/>
  <c r="B190" i="3"/>
  <c r="X189" i="3"/>
  <c r="Z189" i="3" s="1"/>
  <c r="N189" i="3"/>
  <c r="L189" i="3"/>
  <c r="B189" i="3"/>
  <c r="Z188" i="3"/>
  <c r="X188" i="3"/>
  <c r="L188" i="3"/>
  <c r="N188" i="3" s="1"/>
  <c r="B188" i="3"/>
  <c r="X187" i="3"/>
  <c r="Z187" i="3" s="1"/>
  <c r="N187" i="3"/>
  <c r="L187" i="3"/>
  <c r="B187" i="3"/>
  <c r="Z186" i="3"/>
  <c r="X186" i="3"/>
  <c r="L186" i="3"/>
  <c r="N186" i="3" s="1"/>
  <c r="B186" i="3"/>
  <c r="Z185" i="3"/>
  <c r="X185" i="3"/>
  <c r="L185" i="3"/>
  <c r="N185" i="3" s="1"/>
  <c r="B185" i="3"/>
  <c r="X184" i="3"/>
  <c r="Z184" i="3" s="1"/>
  <c r="N184" i="3"/>
  <c r="L184" i="3"/>
  <c r="B184" i="3"/>
  <c r="Z183" i="3"/>
  <c r="X183" i="3"/>
  <c r="L183" i="3"/>
  <c r="N183" i="3" s="1"/>
  <c r="B183" i="3"/>
  <c r="T182" i="3"/>
  <c r="P182" i="3"/>
  <c r="X182" i="3" s="1"/>
  <c r="L182" i="3"/>
  <c r="H182" i="3"/>
  <c r="N182" i="3" s="1"/>
  <c r="D182" i="3"/>
  <c r="B182" i="3"/>
  <c r="Z181" i="3"/>
  <c r="X181" i="3"/>
  <c r="L181" i="3"/>
  <c r="N181" i="3" s="1"/>
  <c r="B181" i="3"/>
  <c r="X180" i="3"/>
  <c r="Z180" i="3" s="1"/>
  <c r="N180" i="3"/>
  <c r="L180" i="3"/>
  <c r="B180" i="3"/>
  <c r="Z179" i="3"/>
  <c r="X179" i="3"/>
  <c r="L179" i="3"/>
  <c r="N179" i="3" s="1"/>
  <c r="B179" i="3"/>
  <c r="X178" i="3"/>
  <c r="Z178" i="3" s="1"/>
  <c r="N178" i="3"/>
  <c r="L178" i="3"/>
  <c r="B178" i="3"/>
  <c r="Z177" i="3"/>
  <c r="X177" i="3"/>
  <c r="N177" i="3"/>
  <c r="L177" i="3"/>
  <c r="B177" i="3"/>
  <c r="Z176" i="3"/>
  <c r="X176" i="3"/>
  <c r="L176" i="3"/>
  <c r="N176" i="3" s="1"/>
  <c r="B176" i="3"/>
  <c r="X175" i="3"/>
  <c r="Z175" i="3" s="1"/>
  <c r="N175" i="3"/>
  <c r="L175" i="3"/>
  <c r="B175" i="3"/>
  <c r="Z174" i="3"/>
  <c r="X174" i="3"/>
  <c r="L174" i="3"/>
  <c r="N174" i="3" s="1"/>
  <c r="B174" i="3"/>
  <c r="Z173" i="3"/>
  <c r="X173" i="3"/>
  <c r="L173" i="3"/>
  <c r="N173" i="3" s="1"/>
  <c r="B173" i="3"/>
  <c r="X172" i="3"/>
  <c r="Z172" i="3" s="1"/>
  <c r="N172" i="3"/>
  <c r="L172" i="3"/>
  <c r="B172" i="3"/>
  <c r="T171" i="3"/>
  <c r="P171" i="3"/>
  <c r="X171" i="3" s="1"/>
  <c r="Z171" i="3" s="1"/>
  <c r="H171" i="3"/>
  <c r="D171" i="3"/>
  <c r="L171" i="3" s="1"/>
  <c r="N171" i="3" s="1"/>
  <c r="B171" i="3"/>
  <c r="T170" i="3" a="1"/>
  <c r="T170" i="3" s="1"/>
  <c r="P170" i="3" a="1"/>
  <c r="P170" i="3" s="1"/>
  <c r="X170" i="3" s="1"/>
  <c r="H170" i="3" a="1"/>
  <c r="H170" i="3" s="1"/>
  <c r="D170" i="3" a="1"/>
  <c r="D170" i="3" s="1"/>
  <c r="Z166" i="3"/>
  <c r="X166" i="3"/>
  <c r="N166" i="3"/>
  <c r="L166" i="3"/>
  <c r="B166" i="3"/>
  <c r="X165" i="3"/>
  <c r="Z165" i="3" s="1"/>
  <c r="N165" i="3"/>
  <c r="L165" i="3"/>
  <c r="B165" i="3"/>
  <c r="Z164" i="3"/>
  <c r="X164" i="3"/>
  <c r="N164" i="3"/>
  <c r="L164" i="3"/>
  <c r="B164" i="3"/>
  <c r="X163" i="3"/>
  <c r="Z163" i="3" s="1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X160" i="3"/>
  <c r="Z160" i="3" s="1"/>
  <c r="N160" i="3"/>
  <c r="L160" i="3"/>
  <c r="B160" i="3"/>
  <c r="Z159" i="3"/>
  <c r="X159" i="3"/>
  <c r="L159" i="3"/>
  <c r="N159" i="3" s="1"/>
  <c r="B159" i="3"/>
  <c r="X158" i="3"/>
  <c r="Z158" i="3" s="1"/>
  <c r="N158" i="3"/>
  <c r="L158" i="3"/>
  <c r="B158" i="3"/>
  <c r="X157" i="3"/>
  <c r="Z157" i="3" s="1"/>
  <c r="N157" i="3"/>
  <c r="L157" i="3"/>
  <c r="B157" i="3"/>
  <c r="Z156" i="3"/>
  <c r="X156" i="3"/>
  <c r="L156" i="3"/>
  <c r="N156" i="3" s="1"/>
  <c r="B156" i="3"/>
  <c r="X155" i="3"/>
  <c r="Z155" i="3" s="1"/>
  <c r="N155" i="3"/>
  <c r="L155" i="3"/>
  <c r="B155" i="3"/>
  <c r="Z154" i="3"/>
  <c r="X154" i="3"/>
  <c r="L154" i="3"/>
  <c r="N154" i="3" s="1"/>
  <c r="B154" i="3"/>
  <c r="Z153" i="3"/>
  <c r="X153" i="3"/>
  <c r="L153" i="3"/>
  <c r="N153" i="3" s="1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X149" i="3"/>
  <c r="Z149" i="3" s="1"/>
  <c r="N149" i="3"/>
  <c r="L149" i="3"/>
  <c r="B149" i="3"/>
  <c r="Z148" i="3"/>
  <c r="X148" i="3"/>
  <c r="L148" i="3"/>
  <c r="N148" i="3" s="1"/>
  <c r="B148" i="3"/>
  <c r="X147" i="3"/>
  <c r="Z147" i="3" s="1"/>
  <c r="N147" i="3"/>
  <c r="L147" i="3"/>
  <c r="B147" i="3"/>
  <c r="Z146" i="3"/>
  <c r="X146" i="3"/>
  <c r="L146" i="3"/>
  <c r="N146" i="3" s="1"/>
  <c r="B146" i="3"/>
  <c r="Z145" i="3"/>
  <c r="X145" i="3"/>
  <c r="L145" i="3"/>
  <c r="N145" i="3" s="1"/>
  <c r="B145" i="3"/>
  <c r="X144" i="3"/>
  <c r="Z144" i="3" s="1"/>
  <c r="N144" i="3"/>
  <c r="L144" i="3"/>
  <c r="B144" i="3"/>
  <c r="Z143" i="3"/>
  <c r="X143" i="3"/>
  <c r="L143" i="3"/>
  <c r="N143" i="3" s="1"/>
  <c r="B143" i="3"/>
  <c r="Z142" i="3"/>
  <c r="X142" i="3"/>
  <c r="N142" i="3"/>
  <c r="L142" i="3"/>
  <c r="B142" i="3"/>
  <c r="X141" i="3"/>
  <c r="Z141" i="3" s="1"/>
  <c r="N141" i="3"/>
  <c r="L141" i="3"/>
  <c r="B141" i="3"/>
  <c r="Z140" i="3"/>
  <c r="X140" i="3"/>
  <c r="L140" i="3"/>
  <c r="N140" i="3" s="1"/>
  <c r="B140" i="3"/>
  <c r="X139" i="3"/>
  <c r="Z139" i="3" s="1"/>
  <c r="N139" i="3"/>
  <c r="L139" i="3"/>
  <c r="B139" i="3"/>
  <c r="Z138" i="3"/>
  <c r="X138" i="3"/>
  <c r="L138" i="3"/>
  <c r="N138" i="3" s="1"/>
  <c r="B138" i="3"/>
  <c r="Z137" i="3"/>
  <c r="X137" i="3"/>
  <c r="L137" i="3"/>
  <c r="N137" i="3" s="1"/>
  <c r="B137" i="3"/>
  <c r="X136" i="3"/>
  <c r="Z136" i="3" s="1"/>
  <c r="N136" i="3"/>
  <c r="L136" i="3"/>
  <c r="B136" i="3"/>
  <c r="Z135" i="3"/>
  <c r="X135" i="3"/>
  <c r="L135" i="3"/>
  <c r="N135" i="3" s="1"/>
  <c r="B135" i="3"/>
  <c r="X134" i="3"/>
  <c r="Z134" i="3" s="1"/>
  <c r="N134" i="3"/>
  <c r="L134" i="3"/>
  <c r="B134" i="3"/>
  <c r="X133" i="3"/>
  <c r="Z133" i="3" s="1"/>
  <c r="N133" i="3"/>
  <c r="L133" i="3"/>
  <c r="B133" i="3"/>
  <c r="Z132" i="3"/>
  <c r="X132" i="3"/>
  <c r="L132" i="3"/>
  <c r="N132" i="3" s="1"/>
  <c r="B132" i="3"/>
  <c r="X131" i="3"/>
  <c r="Z131" i="3" s="1"/>
  <c r="N131" i="3"/>
  <c r="L131" i="3"/>
  <c r="B131" i="3"/>
  <c r="Z130" i="3"/>
  <c r="X130" i="3"/>
  <c r="L130" i="3"/>
  <c r="N130" i="3" s="1"/>
  <c r="B130" i="3"/>
  <c r="Z129" i="3"/>
  <c r="X129" i="3"/>
  <c r="L129" i="3"/>
  <c r="N129" i="3" s="1"/>
  <c r="B129" i="3"/>
  <c r="X128" i="3"/>
  <c r="Z128" i="3" s="1"/>
  <c r="N128" i="3"/>
  <c r="L128" i="3"/>
  <c r="B128" i="3"/>
  <c r="Z127" i="3"/>
  <c r="X127" i="3"/>
  <c r="L127" i="3"/>
  <c r="N127" i="3" s="1"/>
  <c r="B127" i="3"/>
  <c r="X126" i="3"/>
  <c r="Z126" i="3" s="1"/>
  <c r="N126" i="3"/>
  <c r="L126" i="3"/>
  <c r="B126" i="3"/>
  <c r="X125" i="3"/>
  <c r="Z125" i="3" s="1"/>
  <c r="N125" i="3"/>
  <c r="L125" i="3"/>
  <c r="B125" i="3"/>
  <c r="Z124" i="3"/>
  <c r="X124" i="3"/>
  <c r="L124" i="3"/>
  <c r="N124" i="3" s="1"/>
  <c r="B124" i="3"/>
  <c r="X123" i="3"/>
  <c r="Z123" i="3" s="1"/>
  <c r="N123" i="3"/>
  <c r="L123" i="3"/>
  <c r="B123" i="3"/>
  <c r="Z122" i="3"/>
  <c r="X122" i="3"/>
  <c r="L122" i="3"/>
  <c r="N122" i="3" s="1"/>
  <c r="B122" i="3"/>
  <c r="Z121" i="3"/>
  <c r="X121" i="3"/>
  <c r="L121" i="3"/>
  <c r="N121" i="3" s="1"/>
  <c r="B121" i="3"/>
  <c r="X120" i="3"/>
  <c r="Z120" i="3" s="1"/>
  <c r="N120" i="3"/>
  <c r="L120" i="3"/>
  <c r="B120" i="3"/>
  <c r="Z119" i="3"/>
  <c r="X119" i="3"/>
  <c r="L119" i="3"/>
  <c r="N119" i="3" s="1"/>
  <c r="B119" i="3"/>
  <c r="X118" i="3"/>
  <c r="Z118" i="3" s="1"/>
  <c r="N118" i="3"/>
  <c r="L118" i="3"/>
  <c r="B118" i="3"/>
  <c r="X117" i="3"/>
  <c r="Z117" i="3" s="1"/>
  <c r="L117" i="3"/>
  <c r="N117" i="3" s="1"/>
  <c r="B117" i="3"/>
  <c r="Z116" i="3"/>
  <c r="X116" i="3"/>
  <c r="L116" i="3"/>
  <c r="N116" i="3" s="1"/>
  <c r="B116" i="3"/>
  <c r="X115" i="3"/>
  <c r="Z115" i="3" s="1"/>
  <c r="N115" i="3"/>
  <c r="L115" i="3"/>
  <c r="B115" i="3"/>
  <c r="Z114" i="3"/>
  <c r="X114" i="3"/>
  <c r="L114" i="3"/>
  <c r="N114" i="3" s="1"/>
  <c r="B114" i="3"/>
  <c r="X113" i="3"/>
  <c r="Z113" i="3" s="1"/>
  <c r="L113" i="3"/>
  <c r="N113" i="3" s="1"/>
  <c r="B113" i="3"/>
  <c r="X112" i="3"/>
  <c r="Z112" i="3" s="1"/>
  <c r="N112" i="3"/>
  <c r="L112" i="3"/>
  <c r="B112" i="3"/>
  <c r="Z111" i="3"/>
  <c r="X111" i="3"/>
  <c r="L111" i="3"/>
  <c r="N111" i="3" s="1"/>
  <c r="B111" i="3"/>
  <c r="X110" i="3"/>
  <c r="Z110" i="3" s="1"/>
  <c r="N110" i="3"/>
  <c r="L110" i="3"/>
  <c r="B110" i="3"/>
  <c r="Z109" i="3"/>
  <c r="X109" i="3"/>
  <c r="N109" i="3"/>
  <c r="L109" i="3"/>
  <c r="B109" i="3"/>
  <c r="T108" i="3"/>
  <c r="P108" i="3"/>
  <c r="X108" i="3" s="1"/>
  <c r="Z108" i="3" s="1"/>
  <c r="H108" i="3"/>
  <c r="N108" i="3" s="1"/>
  <c r="D108" i="3"/>
  <c r="L108" i="3" s="1"/>
  <c r="Z106" i="3"/>
  <c r="X106" i="3"/>
  <c r="T106" i="3"/>
  <c r="P106" i="3"/>
  <c r="H106" i="3"/>
  <c r="N106" i="3" s="1"/>
  <c r="D106" i="3"/>
  <c r="L106" i="3" s="1"/>
  <c r="B106" i="3"/>
  <c r="T105" i="3"/>
  <c r="P105" i="3"/>
  <c r="X105" i="3" s="1"/>
  <c r="Z105" i="3" s="1"/>
  <c r="L105" i="3"/>
  <c r="H105" i="3"/>
  <c r="N105" i="3" s="1"/>
  <c r="D105" i="3"/>
  <c r="B105" i="3"/>
  <c r="T104" i="3"/>
  <c r="P104" i="3"/>
  <c r="H104" i="3"/>
  <c r="D104" i="3"/>
  <c r="L104" i="3" s="1"/>
  <c r="N104" i="3" s="1"/>
  <c r="B104" i="3"/>
  <c r="T103" i="3"/>
  <c r="P103" i="3"/>
  <c r="X103" i="3" s="1"/>
  <c r="Z103" i="3" s="1"/>
  <c r="H103" i="3"/>
  <c r="N103" i="3" s="1"/>
  <c r="D103" i="3"/>
  <c r="B103" i="3"/>
  <c r="T102" i="3"/>
  <c r="P102" i="3"/>
  <c r="X102" i="3" s="1"/>
  <c r="L102" i="3"/>
  <c r="N102" i="3" s="1"/>
  <c r="H102" i="3"/>
  <c r="D102" i="3"/>
  <c r="B102" i="3"/>
  <c r="X101" i="3"/>
  <c r="T101" i="3"/>
  <c r="Z101" i="3" s="1"/>
  <c r="P101" i="3"/>
  <c r="H101" i="3"/>
  <c r="D101" i="3"/>
  <c r="L101" i="3" s="1"/>
  <c r="N101" i="3" s="1"/>
  <c r="B101" i="3"/>
  <c r="T100" i="3"/>
  <c r="P100" i="3"/>
  <c r="X100" i="3" s="1"/>
  <c r="Z100" i="3" s="1"/>
  <c r="H100" i="3"/>
  <c r="N100" i="3" s="1"/>
  <c r="D100" i="3"/>
  <c r="B100" i="3"/>
  <c r="T99" i="3"/>
  <c r="P99" i="3"/>
  <c r="H99" i="3"/>
  <c r="D99" i="3"/>
  <c r="L99" i="3" s="1"/>
  <c r="N99" i="3" s="1"/>
  <c r="B99" i="3"/>
  <c r="X98" i="3"/>
  <c r="Z98" i="3" s="1"/>
  <c r="T98" i="3"/>
  <c r="P98" i="3"/>
  <c r="H98" i="3"/>
  <c r="N98" i="3" s="1"/>
  <c r="D98" i="3"/>
  <c r="L98" i="3" s="1"/>
  <c r="B98" i="3"/>
  <c r="T97" i="3"/>
  <c r="P97" i="3"/>
  <c r="X97" i="3" s="1"/>
  <c r="Z97" i="3" s="1"/>
  <c r="L97" i="3"/>
  <c r="H97" i="3"/>
  <c r="N97" i="3" s="1"/>
  <c r="D97" i="3"/>
  <c r="B97" i="3"/>
  <c r="T96" i="3"/>
  <c r="Z96" i="3" s="1"/>
  <c r="P96" i="3"/>
  <c r="N96" i="3"/>
  <c r="H96" i="3"/>
  <c r="D96" i="3"/>
  <c r="L96" i="3" s="1"/>
  <c r="B96" i="3"/>
  <c r="T95" i="3"/>
  <c r="P95" i="3"/>
  <c r="X95" i="3" s="1"/>
  <c r="Z95" i="3" s="1"/>
  <c r="H95" i="3"/>
  <c r="D95" i="3"/>
  <c r="B95" i="3"/>
  <c r="T94" i="3"/>
  <c r="P94" i="3"/>
  <c r="X94" i="3" s="1"/>
  <c r="N94" i="3"/>
  <c r="L94" i="3"/>
  <c r="H94" i="3"/>
  <c r="D94" i="3"/>
  <c r="B94" i="3"/>
  <c r="X93" i="3"/>
  <c r="T93" i="3"/>
  <c r="Z93" i="3" s="1"/>
  <c r="P93" i="3"/>
  <c r="H93" i="3"/>
  <c r="D93" i="3"/>
  <c r="L93" i="3" s="1"/>
  <c r="N93" i="3" s="1"/>
  <c r="B93" i="3"/>
  <c r="T92" i="3"/>
  <c r="P92" i="3"/>
  <c r="X92" i="3" s="1"/>
  <c r="Z92" i="3" s="1"/>
  <c r="H92" i="3"/>
  <c r="D92" i="3"/>
  <c r="B92" i="3"/>
  <c r="T91" i="3"/>
  <c r="P91" i="3"/>
  <c r="H91" i="3"/>
  <c r="D91" i="3"/>
  <c r="L91" i="3" s="1"/>
  <c r="N91" i="3" s="1"/>
  <c r="B91" i="3"/>
  <c r="X90" i="3"/>
  <c r="Z90" i="3" s="1"/>
  <c r="T90" i="3"/>
  <c r="P90" i="3"/>
  <c r="H90" i="3"/>
  <c r="N90" i="3" s="1"/>
  <c r="D90" i="3"/>
  <c r="L90" i="3" s="1"/>
  <c r="B90" i="3"/>
  <c r="T89" i="3"/>
  <c r="P89" i="3"/>
  <c r="X89" i="3" s="1"/>
  <c r="Z89" i="3" s="1"/>
  <c r="L89" i="3"/>
  <c r="H89" i="3"/>
  <c r="N89" i="3" s="1"/>
  <c r="D89" i="3"/>
  <c r="B89" i="3"/>
  <c r="T88" i="3"/>
  <c r="P88" i="3"/>
  <c r="H88" i="3"/>
  <c r="D88" i="3"/>
  <c r="L88" i="3" s="1"/>
  <c r="N88" i="3" s="1"/>
  <c r="B88" i="3"/>
  <c r="T87" i="3"/>
  <c r="P87" i="3"/>
  <c r="X87" i="3" s="1"/>
  <c r="Z87" i="3" s="1"/>
  <c r="H87" i="3"/>
  <c r="D87" i="3"/>
  <c r="B87" i="3"/>
  <c r="T86" i="3"/>
  <c r="P86" i="3"/>
  <c r="X86" i="3" s="1"/>
  <c r="L86" i="3"/>
  <c r="N86" i="3" s="1"/>
  <c r="H86" i="3"/>
  <c r="D86" i="3"/>
  <c r="B86" i="3"/>
  <c r="X85" i="3"/>
  <c r="T85" i="3"/>
  <c r="Z85" i="3" s="1"/>
  <c r="P85" i="3"/>
  <c r="H85" i="3"/>
  <c r="D85" i="3"/>
  <c r="L85" i="3" s="1"/>
  <c r="N85" i="3" s="1"/>
  <c r="B85" i="3"/>
  <c r="T84" i="3"/>
  <c r="P84" i="3"/>
  <c r="X84" i="3" s="1"/>
  <c r="Z84" i="3" s="1"/>
  <c r="H84" i="3"/>
  <c r="D84" i="3"/>
  <c r="B84" i="3"/>
  <c r="T83" i="3"/>
  <c r="P83" i="3"/>
  <c r="H83" i="3"/>
  <c r="D83" i="3"/>
  <c r="L83" i="3" s="1"/>
  <c r="N83" i="3" s="1"/>
  <c r="B83" i="3"/>
  <c r="X82" i="3"/>
  <c r="Z82" i="3" s="1"/>
  <c r="T82" i="3"/>
  <c r="P82" i="3"/>
  <c r="H82" i="3"/>
  <c r="N82" i="3" s="1"/>
  <c r="D82" i="3"/>
  <c r="L82" i="3" s="1"/>
  <c r="B82" i="3"/>
  <c r="T81" i="3"/>
  <c r="P81" i="3"/>
  <c r="X81" i="3" s="1"/>
  <c r="Z81" i="3" s="1"/>
  <c r="L81" i="3"/>
  <c r="H81" i="3"/>
  <c r="N81" i="3" s="1"/>
  <c r="D81" i="3"/>
  <c r="B81" i="3"/>
  <c r="T80" i="3"/>
  <c r="P80" i="3"/>
  <c r="H80" i="3"/>
  <c r="D80" i="3"/>
  <c r="L80" i="3" s="1"/>
  <c r="N80" i="3" s="1"/>
  <c r="B80" i="3"/>
  <c r="T79" i="3"/>
  <c r="P79" i="3"/>
  <c r="X79" i="3" s="1"/>
  <c r="Z79" i="3" s="1"/>
  <c r="H79" i="3"/>
  <c r="N79" i="3" s="1"/>
  <c r="D79" i="3"/>
  <c r="B79" i="3"/>
  <c r="T78" i="3"/>
  <c r="P78" i="3"/>
  <c r="X78" i="3" s="1"/>
  <c r="L78" i="3"/>
  <c r="N78" i="3" s="1"/>
  <c r="H78" i="3"/>
  <c r="D78" i="3"/>
  <c r="B78" i="3"/>
  <c r="X77" i="3"/>
  <c r="T77" i="3"/>
  <c r="Z77" i="3" s="1"/>
  <c r="P77" i="3"/>
  <c r="H77" i="3"/>
  <c r="D77" i="3"/>
  <c r="L77" i="3" s="1"/>
  <c r="N77" i="3" s="1"/>
  <c r="B77" i="3"/>
  <c r="Z76" i="3"/>
  <c r="T76" i="3"/>
  <c r="P76" i="3"/>
  <c r="X76" i="3" s="1"/>
  <c r="H76" i="3"/>
  <c r="N76" i="3" s="1"/>
  <c r="D76" i="3"/>
  <c r="B76" i="3"/>
  <c r="T75" i="3"/>
  <c r="P75" i="3"/>
  <c r="H75" i="3"/>
  <c r="D75" i="3"/>
  <c r="L75" i="3" s="1"/>
  <c r="N75" i="3" s="1"/>
  <c r="B75" i="3"/>
  <c r="X74" i="3"/>
  <c r="Z74" i="3" s="1"/>
  <c r="T74" i="3"/>
  <c r="P74" i="3"/>
  <c r="H74" i="3"/>
  <c r="D74" i="3"/>
  <c r="L74" i="3" s="1"/>
  <c r="B74" i="3"/>
  <c r="T73" i="3"/>
  <c r="P73" i="3"/>
  <c r="X73" i="3" s="1"/>
  <c r="Z73" i="3" s="1"/>
  <c r="L73" i="3"/>
  <c r="H73" i="3"/>
  <c r="N73" i="3" s="1"/>
  <c r="D73" i="3"/>
  <c r="B73" i="3"/>
  <c r="T72" i="3"/>
  <c r="P72" i="3"/>
  <c r="H72" i="3"/>
  <c r="D72" i="3"/>
  <c r="L72" i="3" s="1"/>
  <c r="N72" i="3" s="1"/>
  <c r="B72" i="3"/>
  <c r="T71" i="3"/>
  <c r="P71" i="3"/>
  <c r="X71" i="3" s="1"/>
  <c r="Z71" i="3" s="1"/>
  <c r="H71" i="3"/>
  <c r="D71" i="3"/>
  <c r="B71" i="3"/>
  <c r="T70" i="3"/>
  <c r="Z70" i="3" s="1"/>
  <c r="P70" i="3"/>
  <c r="X70" i="3" s="1"/>
  <c r="N70" i="3"/>
  <c r="L70" i="3"/>
  <c r="H70" i="3"/>
  <c r="D70" i="3"/>
  <c r="B70" i="3"/>
  <c r="X69" i="3"/>
  <c r="T69" i="3"/>
  <c r="Z69" i="3" s="1"/>
  <c r="P69" i="3"/>
  <c r="H69" i="3"/>
  <c r="D69" i="3"/>
  <c r="L69" i="3" s="1"/>
  <c r="N69" i="3" s="1"/>
  <c r="B69" i="3"/>
  <c r="Z68" i="3"/>
  <c r="T68" i="3"/>
  <c r="P68" i="3"/>
  <c r="X68" i="3" s="1"/>
  <c r="H68" i="3"/>
  <c r="D68" i="3"/>
  <c r="B68" i="3"/>
  <c r="T67" i="3"/>
  <c r="P67" i="3"/>
  <c r="H67" i="3"/>
  <c r="D67" i="3"/>
  <c r="L67" i="3" s="1"/>
  <c r="N67" i="3" s="1"/>
  <c r="B67" i="3"/>
  <c r="X66" i="3"/>
  <c r="Z66" i="3" s="1"/>
  <c r="T66" i="3"/>
  <c r="P66" i="3"/>
  <c r="H66" i="3"/>
  <c r="D66" i="3"/>
  <c r="L66" i="3" s="1"/>
  <c r="B66" i="3"/>
  <c r="T65" i="3"/>
  <c r="P65" i="3"/>
  <c r="X65" i="3" s="1"/>
  <c r="Z65" i="3" s="1"/>
  <c r="L65" i="3"/>
  <c r="H65" i="3"/>
  <c r="N65" i="3" s="1"/>
  <c r="D65" i="3"/>
  <c r="B65" i="3"/>
  <c r="T64" i="3"/>
  <c r="P64" i="3"/>
  <c r="H64" i="3"/>
  <c r="D64" i="3"/>
  <c r="L64" i="3" s="1"/>
  <c r="N64" i="3" s="1"/>
  <c r="B64" i="3"/>
  <c r="T63" i="3"/>
  <c r="P63" i="3"/>
  <c r="X63" i="3" s="1"/>
  <c r="Z63" i="3" s="1"/>
  <c r="H63" i="3"/>
  <c r="D63" i="3"/>
  <c r="B63" i="3"/>
  <c r="T62" i="3"/>
  <c r="Z62" i="3" s="1"/>
  <c r="P62" i="3"/>
  <c r="X62" i="3" s="1"/>
  <c r="L62" i="3"/>
  <c r="N62" i="3" s="1"/>
  <c r="H62" i="3"/>
  <c r="D62" i="3"/>
  <c r="B62" i="3"/>
  <c r="X61" i="3"/>
  <c r="T61" i="3"/>
  <c r="Z61" i="3" s="1"/>
  <c r="P61" i="3"/>
  <c r="H61" i="3"/>
  <c r="D61" i="3"/>
  <c r="L61" i="3" s="1"/>
  <c r="N61" i="3" s="1"/>
  <c r="B61" i="3"/>
  <c r="T60" i="3"/>
  <c r="P60" i="3"/>
  <c r="X60" i="3" s="1"/>
  <c r="Z60" i="3" s="1"/>
  <c r="H60" i="3"/>
  <c r="D60" i="3"/>
  <c r="B60" i="3"/>
  <c r="T59" i="3"/>
  <c r="P59" i="3"/>
  <c r="H59" i="3"/>
  <c r="D59" i="3"/>
  <c r="L59" i="3" s="1"/>
  <c r="N59" i="3" s="1"/>
  <c r="B59" i="3"/>
  <c r="X58" i="3"/>
  <c r="Z58" i="3" s="1"/>
  <c r="T58" i="3"/>
  <c r="P58" i="3"/>
  <c r="H58" i="3"/>
  <c r="N58" i="3" s="1"/>
  <c r="D58" i="3"/>
  <c r="L58" i="3" s="1"/>
  <c r="B58" i="3"/>
  <c r="T57" i="3"/>
  <c r="P57" i="3"/>
  <c r="X57" i="3" s="1"/>
  <c r="Z57" i="3" s="1"/>
  <c r="L57" i="3"/>
  <c r="H57" i="3"/>
  <c r="N57" i="3" s="1"/>
  <c r="D57" i="3"/>
  <c r="B57" i="3"/>
  <c r="T56" i="3"/>
  <c r="P56" i="3"/>
  <c r="N56" i="3"/>
  <c r="H56" i="3"/>
  <c r="D56" i="3"/>
  <c r="L56" i="3" s="1"/>
  <c r="B56" i="3"/>
  <c r="T55" i="3"/>
  <c r="P55" i="3"/>
  <c r="X55" i="3" s="1"/>
  <c r="Z55" i="3" s="1"/>
  <c r="H55" i="3"/>
  <c r="N55" i="3" s="1"/>
  <c r="D55" i="3"/>
  <c r="B55" i="3"/>
  <c r="T54" i="3"/>
  <c r="P54" i="3"/>
  <c r="X54" i="3" s="1"/>
  <c r="L54" i="3"/>
  <c r="N54" i="3" s="1"/>
  <c r="H54" i="3"/>
  <c r="D54" i="3"/>
  <c r="B54" i="3"/>
  <c r="X53" i="3"/>
  <c r="T53" i="3"/>
  <c r="Z53" i="3" s="1"/>
  <c r="P53" i="3"/>
  <c r="N53" i="3"/>
  <c r="H53" i="3"/>
  <c r="D53" i="3"/>
  <c r="L53" i="3" s="1"/>
  <c r="B53" i="3"/>
  <c r="T52" i="3"/>
  <c r="P52" i="3"/>
  <c r="X52" i="3" s="1"/>
  <c r="Z52" i="3" s="1"/>
  <c r="H52" i="3"/>
  <c r="D52" i="3"/>
  <c r="B52" i="3"/>
  <c r="T51" i="3"/>
  <c r="P51" i="3"/>
  <c r="N51" i="3"/>
  <c r="H51" i="3"/>
  <c r="D51" i="3"/>
  <c r="L51" i="3" s="1"/>
  <c r="B51" i="3"/>
  <c r="X50" i="3"/>
  <c r="Z50" i="3" s="1"/>
  <c r="T50" i="3"/>
  <c r="P50" i="3"/>
  <c r="H50" i="3"/>
  <c r="N50" i="3" s="1"/>
  <c r="D50" i="3"/>
  <c r="L50" i="3" s="1"/>
  <c r="B50" i="3"/>
  <c r="T49" i="3"/>
  <c r="P49" i="3"/>
  <c r="X49" i="3" s="1"/>
  <c r="Z49" i="3" s="1"/>
  <c r="L49" i="3"/>
  <c r="H49" i="3"/>
  <c r="N49" i="3" s="1"/>
  <c r="D49" i="3"/>
  <c r="B49" i="3"/>
  <c r="T48" i="3"/>
  <c r="P48" i="3"/>
  <c r="H48" i="3"/>
  <c r="D48" i="3"/>
  <c r="L48" i="3" s="1"/>
  <c r="N48" i="3" s="1"/>
  <c r="B48" i="3"/>
  <c r="T47" i="3"/>
  <c r="P47" i="3"/>
  <c r="X47" i="3" s="1"/>
  <c r="Z47" i="3" s="1"/>
  <c r="H47" i="3"/>
  <c r="N47" i="3" s="1"/>
  <c r="D47" i="3"/>
  <c r="B47" i="3"/>
  <c r="T46" i="3"/>
  <c r="Z46" i="3" s="1"/>
  <c r="P46" i="3"/>
  <c r="X46" i="3" s="1"/>
  <c r="L46" i="3"/>
  <c r="N46" i="3" s="1"/>
  <c r="H46" i="3"/>
  <c r="D46" i="3"/>
  <c r="B46" i="3"/>
  <c r="X45" i="3"/>
  <c r="T45" i="3"/>
  <c r="Z45" i="3" s="1"/>
  <c r="P45" i="3"/>
  <c r="H45" i="3"/>
  <c r="D45" i="3"/>
  <c r="L45" i="3" s="1"/>
  <c r="N45" i="3" s="1"/>
  <c r="B45" i="3"/>
  <c r="T44" i="3"/>
  <c r="P44" i="3"/>
  <c r="X44" i="3" s="1"/>
  <c r="Z44" i="3" s="1"/>
  <c r="H44" i="3"/>
  <c r="D44" i="3"/>
  <c r="B44" i="3"/>
  <c r="T43" i="3"/>
  <c r="P43" i="3"/>
  <c r="H43" i="3"/>
  <c r="D43" i="3"/>
  <c r="L43" i="3" s="1"/>
  <c r="N43" i="3" s="1"/>
  <c r="B43" i="3"/>
  <c r="X42" i="3"/>
  <c r="Z42" i="3" s="1"/>
  <c r="T42" i="3"/>
  <c r="P42" i="3"/>
  <c r="H42" i="3"/>
  <c r="D42" i="3"/>
  <c r="L42" i="3" s="1"/>
  <c r="B42" i="3"/>
  <c r="T41" i="3"/>
  <c r="P41" i="3"/>
  <c r="X41" i="3" s="1"/>
  <c r="Z41" i="3" s="1"/>
  <c r="L41" i="3"/>
  <c r="H41" i="3"/>
  <c r="N41" i="3" s="1"/>
  <c r="D41" i="3"/>
  <c r="B41" i="3"/>
  <c r="T40" i="3"/>
  <c r="P40" i="3"/>
  <c r="H40" i="3"/>
  <c r="D40" i="3"/>
  <c r="L40" i="3" s="1"/>
  <c r="N40" i="3" s="1"/>
  <c r="B40" i="3"/>
  <c r="T39" i="3"/>
  <c r="P39" i="3"/>
  <c r="X39" i="3" s="1"/>
  <c r="Z39" i="3" s="1"/>
  <c r="H39" i="3"/>
  <c r="D39" i="3"/>
  <c r="B39" i="3"/>
  <c r="T38" i="3"/>
  <c r="P38" i="3"/>
  <c r="X38" i="3" s="1"/>
  <c r="L38" i="3"/>
  <c r="N38" i="3" s="1"/>
  <c r="H38" i="3"/>
  <c r="D38" i="3"/>
  <c r="B38" i="3"/>
  <c r="X37" i="3"/>
  <c r="T37" i="3"/>
  <c r="Z37" i="3" s="1"/>
  <c r="P37" i="3"/>
  <c r="N37" i="3"/>
  <c r="H37" i="3"/>
  <c r="D37" i="3"/>
  <c r="L37" i="3" s="1"/>
  <c r="B37" i="3"/>
  <c r="Z36" i="3"/>
  <c r="T36" i="3"/>
  <c r="P36" i="3"/>
  <c r="X36" i="3" s="1"/>
  <c r="H36" i="3"/>
  <c r="N36" i="3" s="1"/>
  <c r="D36" i="3"/>
  <c r="B36" i="3"/>
  <c r="T35" i="3"/>
  <c r="P35" i="3"/>
  <c r="H35" i="3"/>
  <c r="D35" i="3"/>
  <c r="L35" i="3" s="1"/>
  <c r="N35" i="3" s="1"/>
  <c r="B35" i="3"/>
  <c r="X34" i="3"/>
  <c r="Z34" i="3" s="1"/>
  <c r="T34" i="3"/>
  <c r="P34" i="3"/>
  <c r="H34" i="3"/>
  <c r="N34" i="3" s="1"/>
  <c r="D34" i="3"/>
  <c r="L34" i="3" s="1"/>
  <c r="B34" i="3"/>
  <c r="T33" i="3"/>
  <c r="P33" i="3"/>
  <c r="X33" i="3" s="1"/>
  <c r="Z33" i="3" s="1"/>
  <c r="L33" i="3"/>
  <c r="H33" i="3"/>
  <c r="N33" i="3" s="1"/>
  <c r="D33" i="3"/>
  <c r="B33" i="3"/>
  <c r="T32" i="3"/>
  <c r="P32" i="3"/>
  <c r="H32" i="3"/>
  <c r="D32" i="3"/>
  <c r="L32" i="3" s="1"/>
  <c r="N32" i="3" s="1"/>
  <c r="B32" i="3"/>
  <c r="T31" i="3"/>
  <c r="P31" i="3"/>
  <c r="X31" i="3" s="1"/>
  <c r="Z31" i="3" s="1"/>
  <c r="H31" i="3"/>
  <c r="D31" i="3"/>
  <c r="B31" i="3"/>
  <c r="T30" i="3"/>
  <c r="P30" i="3"/>
  <c r="X30" i="3" s="1"/>
  <c r="L30" i="3"/>
  <c r="N30" i="3" s="1"/>
  <c r="H30" i="3"/>
  <c r="D30" i="3"/>
  <c r="B30" i="3"/>
  <c r="X29" i="3"/>
  <c r="T29" i="3"/>
  <c r="Z29" i="3" s="1"/>
  <c r="P29" i="3"/>
  <c r="H29" i="3"/>
  <c r="D29" i="3"/>
  <c r="L29" i="3" s="1"/>
  <c r="N29" i="3" s="1"/>
  <c r="B29" i="3"/>
  <c r="T28" i="3"/>
  <c r="P28" i="3"/>
  <c r="X28" i="3" s="1"/>
  <c r="Z28" i="3" s="1"/>
  <c r="H28" i="3"/>
  <c r="D28" i="3"/>
  <c r="B28" i="3"/>
  <c r="T27" i="3"/>
  <c r="P27" i="3"/>
  <c r="H27" i="3"/>
  <c r="D27" i="3"/>
  <c r="L27" i="3" s="1"/>
  <c r="N27" i="3" s="1"/>
  <c r="B27" i="3"/>
  <c r="X26" i="3"/>
  <c r="Z26" i="3" s="1"/>
  <c r="T26" i="3"/>
  <c r="P26" i="3"/>
  <c r="H26" i="3"/>
  <c r="N26" i="3" s="1"/>
  <c r="D26" i="3"/>
  <c r="L26" i="3" s="1"/>
  <c r="B26" i="3"/>
  <c r="T25" i="3"/>
  <c r="P25" i="3"/>
  <c r="X25" i="3" s="1"/>
  <c r="Z25" i="3" s="1"/>
  <c r="L25" i="3"/>
  <c r="H25" i="3"/>
  <c r="N25" i="3" s="1"/>
  <c r="D25" i="3"/>
  <c r="B25" i="3"/>
  <c r="T24" i="3"/>
  <c r="P24" i="3"/>
  <c r="H24" i="3"/>
  <c r="D24" i="3"/>
  <c r="L24" i="3" s="1"/>
  <c r="N24" i="3" s="1"/>
  <c r="B24" i="3"/>
  <c r="T23" i="3"/>
  <c r="P23" i="3"/>
  <c r="X23" i="3" s="1"/>
  <c r="Z23" i="3" s="1"/>
  <c r="H23" i="3"/>
  <c r="D23" i="3"/>
  <c r="B23" i="3"/>
  <c r="T22" i="3"/>
  <c r="P22" i="3"/>
  <c r="X22" i="3" s="1"/>
  <c r="L22" i="3"/>
  <c r="N22" i="3" s="1"/>
  <c r="H22" i="3"/>
  <c r="D22" i="3"/>
  <c r="B22" i="3"/>
  <c r="X21" i="3"/>
  <c r="T21" i="3"/>
  <c r="Z21" i="3" s="1"/>
  <c r="P21" i="3"/>
  <c r="H21" i="3"/>
  <c r="D21" i="3"/>
  <c r="L21" i="3" s="1"/>
  <c r="N21" i="3" s="1"/>
  <c r="B21" i="3"/>
  <c r="T20" i="3"/>
  <c r="P20" i="3"/>
  <c r="X20" i="3" s="1"/>
  <c r="Z20" i="3" s="1"/>
  <c r="H20" i="3"/>
  <c r="D20" i="3"/>
  <c r="B20" i="3"/>
  <c r="T19" i="3"/>
  <c r="P19" i="3"/>
  <c r="H19" i="3"/>
  <c r="D19" i="3"/>
  <c r="L19" i="3" s="1"/>
  <c r="N19" i="3" s="1"/>
  <c r="B19" i="3"/>
  <c r="X18" i="3"/>
  <c r="Z18" i="3" s="1"/>
  <c r="T18" i="3"/>
  <c r="P18" i="3"/>
  <c r="H18" i="3"/>
  <c r="N18" i="3" s="1"/>
  <c r="D18" i="3"/>
  <c r="L18" i="3" s="1"/>
  <c r="B18" i="3"/>
  <c r="T17" i="3"/>
  <c r="P17" i="3"/>
  <c r="X17" i="3" s="1"/>
  <c r="Z17" i="3" s="1"/>
  <c r="L17" i="3"/>
  <c r="H17" i="3"/>
  <c r="N17" i="3" s="1"/>
  <c r="D17" i="3"/>
  <c r="B17" i="3"/>
  <c r="T16" i="3"/>
  <c r="P16" i="3"/>
  <c r="H16" i="3"/>
  <c r="D16" i="3"/>
  <c r="L16" i="3" s="1"/>
  <c r="N16" i="3" s="1"/>
  <c r="B16" i="3"/>
  <c r="T15" i="3"/>
  <c r="P15" i="3"/>
  <c r="P12" i="3" s="1"/>
  <c r="H15" i="3"/>
  <c r="D15" i="3"/>
  <c r="B15" i="3"/>
  <c r="T14" i="3"/>
  <c r="T12" i="3" s="1"/>
  <c r="P14" i="3"/>
  <c r="X14" i="3" s="1"/>
  <c r="L14" i="3"/>
  <c r="N14" i="3" s="1"/>
  <c r="H14" i="3"/>
  <c r="D14" i="3"/>
  <c r="B14" i="3"/>
  <c r="X13" i="3"/>
  <c r="T13" i="3"/>
  <c r="Z13" i="3" s="1"/>
  <c r="P13" i="3"/>
  <c r="H13" i="3"/>
  <c r="D13" i="3"/>
  <c r="L13" i="3" s="1"/>
  <c r="N13" i="3" s="1"/>
  <c r="B13" i="3"/>
  <c r="D4" i="3"/>
  <c r="L21" i="64" l="1"/>
  <c r="X25" i="64"/>
  <c r="L15" i="64"/>
  <c r="X29" i="64"/>
  <c r="X34" i="64"/>
  <c r="L25" i="64"/>
  <c r="L33" i="64"/>
  <c r="L16" i="64"/>
  <c r="L13" i="64"/>
  <c r="X24" i="64"/>
  <c r="X15" i="64"/>
  <c r="V16" i="64"/>
  <c r="X13" i="64"/>
  <c r="R20" i="64"/>
  <c r="L29" i="64"/>
  <c r="Z12" i="64"/>
  <c r="F16" i="64"/>
  <c r="F18" i="64"/>
  <c r="R18" i="64"/>
  <c r="V20" i="64"/>
  <c r="L22" i="64"/>
  <c r="L20" i="64"/>
  <c r="J24" i="64"/>
  <c r="F20" i="64"/>
  <c r="R15" i="64"/>
  <c r="R16" i="64"/>
  <c r="X22" i="64"/>
  <c r="N12" i="64"/>
  <c r="X16" i="64"/>
  <c r="R22" i="64"/>
  <c r="X33" i="64"/>
  <c r="Z38" i="3"/>
  <c r="N74" i="3"/>
  <c r="Z102" i="3"/>
  <c r="L18" i="5"/>
  <c r="N18" i="5" s="1"/>
  <c r="N66" i="3"/>
  <c r="Z182" i="3"/>
  <c r="V269" i="3"/>
  <c r="V284" i="3"/>
  <c r="V280" i="3"/>
  <c r="V272" i="3"/>
  <c r="V247" i="3"/>
  <c r="V243" i="3"/>
  <c r="V239" i="3"/>
  <c r="V235" i="3"/>
  <c r="V231" i="3"/>
  <c r="V223" i="3"/>
  <c r="V215" i="3"/>
  <c r="V203" i="3"/>
  <c r="V191" i="3"/>
  <c r="V187" i="3"/>
  <c r="V175" i="3"/>
  <c r="V163" i="3"/>
  <c r="V155" i="3"/>
  <c r="V147" i="3"/>
  <c r="V139" i="3"/>
  <c r="V131" i="3"/>
  <c r="V123" i="3"/>
  <c r="V115" i="3"/>
  <c r="V204" i="3"/>
  <c r="V188" i="3"/>
  <c r="V132" i="3"/>
  <c r="V124" i="3"/>
  <c r="V254" i="3"/>
  <c r="V246" i="3"/>
  <c r="V242" i="3"/>
  <c r="V238" i="3"/>
  <c r="V234" i="3"/>
  <c r="V230" i="3"/>
  <c r="V226" i="3"/>
  <c r="V214" i="3"/>
  <c r="V206" i="3"/>
  <c r="V194" i="3"/>
  <c r="V190" i="3"/>
  <c r="V186" i="3"/>
  <c r="V174" i="3"/>
  <c r="V170" i="3"/>
  <c r="V168" i="3"/>
  <c r="V162" i="3"/>
  <c r="V154" i="3"/>
  <c r="V146" i="3"/>
  <c r="V138" i="3"/>
  <c r="V130" i="3"/>
  <c r="V122" i="3"/>
  <c r="V114" i="3"/>
  <c r="V260" i="3"/>
  <c r="V224" i="3"/>
  <c r="V274" i="3"/>
  <c r="V257" i="3"/>
  <c r="V253" i="3"/>
  <c r="V245" i="3"/>
  <c r="V237" i="3"/>
  <c r="V233" i="3"/>
  <c r="V229" i="3"/>
  <c r="V225" i="3"/>
  <c r="V217" i="3"/>
  <c r="V205" i="3"/>
  <c r="V193" i="3"/>
  <c r="V185" i="3"/>
  <c r="V181" i="3"/>
  <c r="V173" i="3"/>
  <c r="T168" i="3"/>
  <c r="V161" i="3"/>
  <c r="V153" i="3"/>
  <c r="V145" i="3"/>
  <c r="V137" i="3"/>
  <c r="V129" i="3"/>
  <c r="V121" i="3"/>
  <c r="V113" i="3"/>
  <c r="V240" i="3"/>
  <c r="V200" i="3"/>
  <c r="V116" i="3"/>
  <c r="V108" i="3"/>
  <c r="V271" i="3"/>
  <c r="V256" i="3"/>
  <c r="V252" i="3"/>
  <c r="V236" i="3"/>
  <c r="V232" i="3"/>
  <c r="V228" i="3"/>
  <c r="V220" i="3"/>
  <c r="V216" i="3"/>
  <c r="V208" i="3"/>
  <c r="V196" i="3"/>
  <c r="V192" i="3"/>
  <c r="V184" i="3"/>
  <c r="V180" i="3"/>
  <c r="V172" i="3"/>
  <c r="V160" i="3"/>
  <c r="V152" i="3"/>
  <c r="V144" i="3"/>
  <c r="V136" i="3"/>
  <c r="V128" i="3"/>
  <c r="V120" i="3"/>
  <c r="V112" i="3"/>
  <c r="V264" i="3"/>
  <c r="V164" i="3"/>
  <c r="V140" i="3"/>
  <c r="V276" i="3"/>
  <c r="V263" i="3"/>
  <c r="V259" i="3"/>
  <c r="V255" i="3"/>
  <c r="V251" i="3"/>
  <c r="V227" i="3"/>
  <c r="V219" i="3"/>
  <c r="V211" i="3"/>
  <c r="V207" i="3"/>
  <c r="V199" i="3"/>
  <c r="V195" i="3"/>
  <c r="V183" i="3"/>
  <c r="V179" i="3"/>
  <c r="V171" i="3"/>
  <c r="V159" i="3"/>
  <c r="V151" i="3"/>
  <c r="V143" i="3"/>
  <c r="V135" i="3"/>
  <c r="V127" i="3"/>
  <c r="V119" i="3"/>
  <c r="V111" i="3"/>
  <c r="V248" i="3"/>
  <c r="V176" i="3"/>
  <c r="V156" i="3"/>
  <c r="V148" i="3"/>
  <c r="V268" i="3"/>
  <c r="V262" i="3"/>
  <c r="V258" i="3"/>
  <c r="V250" i="3"/>
  <c r="V222" i="3"/>
  <c r="V218" i="3"/>
  <c r="V210" i="3"/>
  <c r="V202" i="3"/>
  <c r="V198" i="3"/>
  <c r="V182" i="3"/>
  <c r="V178" i="3"/>
  <c r="V166" i="3"/>
  <c r="V158" i="3"/>
  <c r="V150" i="3"/>
  <c r="V142" i="3"/>
  <c r="V134" i="3"/>
  <c r="V126" i="3"/>
  <c r="V118" i="3"/>
  <c r="V110" i="3"/>
  <c r="V244" i="3"/>
  <c r="V275" i="3"/>
  <c r="V273" i="3"/>
  <c r="V270" i="3"/>
  <c r="V265" i="3"/>
  <c r="V261" i="3"/>
  <c r="V249" i="3"/>
  <c r="V241" i="3"/>
  <c r="V221" i="3"/>
  <c r="V213" i="3"/>
  <c r="V209" i="3"/>
  <c r="V201" i="3"/>
  <c r="V197" i="3"/>
  <c r="V189" i="3"/>
  <c r="V177" i="3"/>
  <c r="V165" i="3"/>
  <c r="V157" i="3"/>
  <c r="V149" i="3"/>
  <c r="V141" i="3"/>
  <c r="V133" i="3"/>
  <c r="V125" i="3"/>
  <c r="V117" i="3"/>
  <c r="V109" i="3"/>
  <c r="V285" i="3"/>
  <c r="V212" i="3"/>
  <c r="Z30" i="3"/>
  <c r="Z54" i="3"/>
  <c r="Z78" i="3"/>
  <c r="N42" i="3"/>
  <c r="Z94" i="3"/>
  <c r="L170" i="3"/>
  <c r="N170" i="3" s="1"/>
  <c r="X18" i="5"/>
  <c r="Z18" i="5"/>
  <c r="R271" i="3"/>
  <c r="R274" i="3"/>
  <c r="R275" i="3"/>
  <c r="R273" i="3"/>
  <c r="R270" i="3"/>
  <c r="R248" i="3"/>
  <c r="R244" i="3"/>
  <c r="R240" i="3"/>
  <c r="R224" i="3"/>
  <c r="R221" i="3"/>
  <c r="R209" i="3"/>
  <c r="R204" i="3"/>
  <c r="R197" i="3"/>
  <c r="R188" i="3"/>
  <c r="R176" i="3"/>
  <c r="R164" i="3"/>
  <c r="R156" i="3"/>
  <c r="R148" i="3"/>
  <c r="R140" i="3"/>
  <c r="R132" i="3"/>
  <c r="R124" i="3"/>
  <c r="R116" i="3"/>
  <c r="X12" i="3"/>
  <c r="Z12" i="3" s="1"/>
  <c r="R241" i="3"/>
  <c r="R182" i="3"/>
  <c r="R117" i="3"/>
  <c r="R285" i="3"/>
  <c r="R272" i="3"/>
  <c r="R264" i="3"/>
  <c r="R260" i="3"/>
  <c r="R247" i="3"/>
  <c r="R243" i="3"/>
  <c r="R239" i="3"/>
  <c r="R235" i="3"/>
  <c r="R231" i="3"/>
  <c r="R215" i="3"/>
  <c r="R212" i="3"/>
  <c r="R200" i="3"/>
  <c r="R191" i="3"/>
  <c r="R187" i="3"/>
  <c r="R175" i="3"/>
  <c r="R163" i="3"/>
  <c r="R155" i="3"/>
  <c r="R147" i="3"/>
  <c r="R139" i="3"/>
  <c r="R131" i="3"/>
  <c r="R123" i="3"/>
  <c r="R115" i="3"/>
  <c r="R108" i="3"/>
  <c r="R201" i="3"/>
  <c r="R284" i="3"/>
  <c r="R269" i="3"/>
  <c r="R254" i="3"/>
  <c r="R246" i="3"/>
  <c r="R238" i="3"/>
  <c r="R234" i="3"/>
  <c r="R230" i="3"/>
  <c r="R226" i="3"/>
  <c r="R223" i="3"/>
  <c r="R206" i="3"/>
  <c r="R203" i="3"/>
  <c r="R194" i="3"/>
  <c r="R186" i="3"/>
  <c r="R174" i="3"/>
  <c r="R162" i="3"/>
  <c r="R154" i="3"/>
  <c r="R146" i="3"/>
  <c r="R138" i="3"/>
  <c r="R130" i="3"/>
  <c r="R122" i="3"/>
  <c r="R114" i="3"/>
  <c r="R258" i="3"/>
  <c r="R218" i="3"/>
  <c r="R177" i="3"/>
  <c r="R165" i="3"/>
  <c r="R149" i="3"/>
  <c r="R141" i="3"/>
  <c r="R257" i="3"/>
  <c r="R253" i="3"/>
  <c r="R242" i="3"/>
  <c r="R237" i="3"/>
  <c r="R233" i="3"/>
  <c r="R229" i="3"/>
  <c r="R217" i="3"/>
  <c r="R214" i="3"/>
  <c r="R193" i="3"/>
  <c r="R190" i="3"/>
  <c r="R185" i="3"/>
  <c r="R181" i="3"/>
  <c r="R173" i="3"/>
  <c r="R161" i="3"/>
  <c r="R153" i="3"/>
  <c r="R145" i="3"/>
  <c r="R137" i="3"/>
  <c r="R129" i="3"/>
  <c r="R121" i="3"/>
  <c r="R113" i="3"/>
  <c r="R249" i="3"/>
  <c r="R125" i="3"/>
  <c r="R256" i="3"/>
  <c r="R252" i="3"/>
  <c r="R245" i="3"/>
  <c r="R228" i="3"/>
  <c r="R225" i="3"/>
  <c r="R220" i="3"/>
  <c r="R208" i="3"/>
  <c r="R205" i="3"/>
  <c r="R196" i="3"/>
  <c r="R184" i="3"/>
  <c r="R180" i="3"/>
  <c r="R172" i="3"/>
  <c r="R170" i="3"/>
  <c r="P168" i="3"/>
  <c r="R160" i="3"/>
  <c r="R152" i="3"/>
  <c r="R144" i="3"/>
  <c r="R136" i="3"/>
  <c r="R128" i="3"/>
  <c r="R120" i="3"/>
  <c r="R112" i="3"/>
  <c r="R261" i="3"/>
  <c r="R280" i="3"/>
  <c r="R263" i="3"/>
  <c r="R259" i="3"/>
  <c r="R251" i="3"/>
  <c r="R236" i="3"/>
  <c r="R232" i="3"/>
  <c r="R219" i="3"/>
  <c r="R216" i="3"/>
  <c r="R211" i="3"/>
  <c r="R199" i="3"/>
  <c r="R192" i="3"/>
  <c r="R183" i="3"/>
  <c r="R179" i="3"/>
  <c r="R159" i="3"/>
  <c r="R151" i="3"/>
  <c r="R143" i="3"/>
  <c r="R135" i="3"/>
  <c r="R127" i="3"/>
  <c r="R119" i="3"/>
  <c r="R111" i="3"/>
  <c r="R213" i="3"/>
  <c r="R109" i="3"/>
  <c r="R276" i="3"/>
  <c r="R262" i="3"/>
  <c r="R255" i="3"/>
  <c r="R250" i="3"/>
  <c r="R227" i="3"/>
  <c r="R222" i="3"/>
  <c r="R210" i="3"/>
  <c r="R207" i="3"/>
  <c r="R202" i="3"/>
  <c r="R198" i="3"/>
  <c r="R195" i="3"/>
  <c r="R178" i="3"/>
  <c r="R171" i="3"/>
  <c r="R166" i="3"/>
  <c r="R158" i="3"/>
  <c r="R150" i="3"/>
  <c r="R142" i="3"/>
  <c r="R134" i="3"/>
  <c r="R126" i="3"/>
  <c r="R118" i="3"/>
  <c r="R110" i="3"/>
  <c r="R268" i="3"/>
  <c r="R265" i="3"/>
  <c r="R189" i="3"/>
  <c r="R157" i="3"/>
  <c r="R133" i="3"/>
  <c r="Z22" i="3"/>
  <c r="Z86" i="3"/>
  <c r="Z170" i="3"/>
  <c r="X85" i="6"/>
  <c r="Z85" i="6" s="1"/>
  <c r="L31" i="7"/>
  <c r="N31" i="7" s="1"/>
  <c r="D12" i="3"/>
  <c r="J18" i="4"/>
  <c r="J31" i="4"/>
  <c r="T16" i="5"/>
  <c r="V19" i="5"/>
  <c r="V20" i="5"/>
  <c r="J31" i="5"/>
  <c r="R38" i="5"/>
  <c r="V39" i="5"/>
  <c r="V41" i="5"/>
  <c r="Z44" i="5"/>
  <c r="J59" i="5"/>
  <c r="V61" i="5"/>
  <c r="V68" i="5"/>
  <c r="N79" i="5"/>
  <c r="X88" i="5"/>
  <c r="L13" i="6"/>
  <c r="N13" i="6" s="1"/>
  <c r="D12" i="6"/>
  <c r="X29" i="6"/>
  <c r="Z29" i="6" s="1"/>
  <c r="L34" i="6"/>
  <c r="L36" i="6"/>
  <c r="N57" i="6"/>
  <c r="Z71" i="6"/>
  <c r="Z80" i="6"/>
  <c r="J95" i="6"/>
  <c r="J111" i="6"/>
  <c r="Z143" i="6"/>
  <c r="Z198" i="6"/>
  <c r="J223" i="6"/>
  <c r="Z224" i="6"/>
  <c r="X224" i="6"/>
  <c r="J233" i="6"/>
  <c r="Z241" i="6"/>
  <c r="Z14" i="7"/>
  <c r="N16" i="7"/>
  <c r="N26" i="7"/>
  <c r="Z27" i="7"/>
  <c r="X27" i="7"/>
  <c r="Z37" i="7"/>
  <c r="Z74" i="7"/>
  <c r="T226" i="7"/>
  <c r="X197" i="3"/>
  <c r="Z197" i="3" s="1"/>
  <c r="L203" i="3"/>
  <c r="X209" i="3"/>
  <c r="Z209" i="3" s="1"/>
  <c r="X221" i="3"/>
  <c r="Z221" i="3" s="1"/>
  <c r="L223" i="3"/>
  <c r="N223" i="3" s="1"/>
  <c r="P267" i="3"/>
  <c r="L269" i="3"/>
  <c r="X270" i="3"/>
  <c r="X273" i="3"/>
  <c r="Z273" i="3" s="1"/>
  <c r="N285" i="3"/>
  <c r="P16" i="4"/>
  <c r="J20" i="4"/>
  <c r="X28" i="4"/>
  <c r="Z28" i="4" s="1"/>
  <c r="J73" i="5"/>
  <c r="J67" i="5"/>
  <c r="J47" i="5"/>
  <c r="J84" i="5"/>
  <c r="J78" i="5"/>
  <c r="J66" i="5"/>
  <c r="J62" i="5"/>
  <c r="J58" i="5"/>
  <c r="J52" i="5"/>
  <c r="J44" i="5"/>
  <c r="J34" i="5"/>
  <c r="J30" i="5"/>
  <c r="J81" i="5"/>
  <c r="J77" i="5"/>
  <c r="J69" i="5"/>
  <c r="J65" i="5"/>
  <c r="J61" i="5"/>
  <c r="J55" i="5"/>
  <c r="J49" i="5"/>
  <c r="J41" i="5"/>
  <c r="J33" i="5"/>
  <c r="J29" i="5"/>
  <c r="J21" i="5"/>
  <c r="J94" i="5"/>
  <c r="J88" i="5"/>
  <c r="J80" i="5"/>
  <c r="J76" i="5"/>
  <c r="J72" i="5"/>
  <c r="J64" i="5"/>
  <c r="J60" i="5"/>
  <c r="J46" i="5"/>
  <c r="J38" i="5"/>
  <c r="J32" i="5"/>
  <c r="J28" i="5"/>
  <c r="J20" i="5"/>
  <c r="J16" i="5"/>
  <c r="J92" i="5"/>
  <c r="J86" i="5"/>
  <c r="J74" i="5"/>
  <c r="J68" i="5"/>
  <c r="J54" i="5"/>
  <c r="J48" i="5"/>
  <c r="J40" i="5"/>
  <c r="X19" i="5"/>
  <c r="Z19" i="5" s="1"/>
  <c r="J27" i="5"/>
  <c r="R30" i="5"/>
  <c r="L31" i="5"/>
  <c r="N31" i="5" s="1"/>
  <c r="V35" i="5"/>
  <c r="R36" i="5"/>
  <c r="Z38" i="5"/>
  <c r="J51" i="5"/>
  <c r="X52" i="5"/>
  <c r="J56" i="5"/>
  <c r="N57" i="5"/>
  <c r="N59" i="5"/>
  <c r="V80" i="5"/>
  <c r="J90" i="5"/>
  <c r="N73" i="6"/>
  <c r="L73" i="6"/>
  <c r="L194" i="6"/>
  <c r="N194" i="6" s="1"/>
  <c r="J229" i="6"/>
  <c r="H12" i="3"/>
  <c r="Z14" i="3"/>
  <c r="X16" i="3"/>
  <c r="Z16" i="3" s="1"/>
  <c r="X24" i="3"/>
  <c r="Z24" i="3" s="1"/>
  <c r="L28" i="3"/>
  <c r="N28" i="3" s="1"/>
  <c r="X40" i="3"/>
  <c r="Z40" i="3" s="1"/>
  <c r="X72" i="3"/>
  <c r="Z72" i="3" s="1"/>
  <c r="L76" i="3"/>
  <c r="X80" i="3"/>
  <c r="Z80" i="3" s="1"/>
  <c r="L84" i="3"/>
  <c r="N84" i="3" s="1"/>
  <c r="X88" i="3"/>
  <c r="Z88" i="3" s="1"/>
  <c r="X96" i="3"/>
  <c r="L100" i="3"/>
  <c r="X104" i="3"/>
  <c r="Z104" i="3" s="1"/>
  <c r="N269" i="3"/>
  <c r="J26" i="4"/>
  <c r="L12" i="5"/>
  <c r="J14" i="5"/>
  <c r="D90" i="5"/>
  <c r="L16" i="5"/>
  <c r="R18" i="5"/>
  <c r="R29" i="5"/>
  <c r="V30" i="5"/>
  <c r="R34" i="5"/>
  <c r="V40" i="5"/>
  <c r="R49" i="5"/>
  <c r="J50" i="5"/>
  <c r="Z52" i="5"/>
  <c r="J57" i="5"/>
  <c r="R58" i="5"/>
  <c r="V60" i="5"/>
  <c r="R66" i="5"/>
  <c r="J71" i="5"/>
  <c r="R78" i="5"/>
  <c r="P12" i="6"/>
  <c r="Z37" i="6"/>
  <c r="Z39" i="6"/>
  <c r="Z40" i="6"/>
  <c r="N67" i="6"/>
  <c r="Z69" i="6"/>
  <c r="X69" i="6"/>
  <c r="Z79" i="6"/>
  <c r="Z163" i="6"/>
  <c r="N168" i="6"/>
  <c r="J199" i="6"/>
  <c r="J213" i="6"/>
  <c r="Z35" i="7"/>
  <c r="X35" i="7"/>
  <c r="L39" i="7"/>
  <c r="N39" i="7" s="1"/>
  <c r="Z31" i="6"/>
  <c r="Z53" i="6"/>
  <c r="N240" i="6"/>
  <c r="L240" i="6"/>
  <c r="X15" i="3"/>
  <c r="Z15" i="3" s="1"/>
  <c r="L20" i="3"/>
  <c r="N20" i="3" s="1"/>
  <c r="X32" i="3"/>
  <c r="Z32" i="3" s="1"/>
  <c r="L36" i="3"/>
  <c r="L44" i="3"/>
  <c r="N44" i="3" s="1"/>
  <c r="X48" i="3"/>
  <c r="Z48" i="3" s="1"/>
  <c r="L52" i="3"/>
  <c r="N52" i="3" s="1"/>
  <c r="X56" i="3"/>
  <c r="Z56" i="3" s="1"/>
  <c r="L60" i="3"/>
  <c r="N60" i="3" s="1"/>
  <c r="X64" i="3"/>
  <c r="Z64" i="3" s="1"/>
  <c r="L68" i="3"/>
  <c r="N68" i="3" s="1"/>
  <c r="L92" i="3"/>
  <c r="N92" i="3" s="1"/>
  <c r="D267" i="3"/>
  <c r="L267" i="3" s="1"/>
  <c r="N267" i="3" s="1"/>
  <c r="T267" i="3"/>
  <c r="N273" i="3"/>
  <c r="X284" i="3"/>
  <c r="Z284" i="3" s="1"/>
  <c r="F29" i="4"/>
  <c r="F26" i="4"/>
  <c r="F20" i="4"/>
  <c r="F16" i="4"/>
  <c r="F24" i="4"/>
  <c r="D16" i="4"/>
  <c r="L14" i="4"/>
  <c r="N28" i="4"/>
  <c r="N12" i="5"/>
  <c r="J19" i="5"/>
  <c r="J22" i="5"/>
  <c r="J23" i="5"/>
  <c r="J26" i="5"/>
  <c r="R28" i="5"/>
  <c r="V29" i="5"/>
  <c r="R33" i="5"/>
  <c r="X40" i="5"/>
  <c r="Z40" i="5" s="1"/>
  <c r="J45" i="5"/>
  <c r="N46" i="5"/>
  <c r="V49" i="5"/>
  <c r="R56" i="5"/>
  <c r="R65" i="5"/>
  <c r="V72" i="5"/>
  <c r="J83" i="5"/>
  <c r="L88" i="5"/>
  <c r="T12" i="6"/>
  <c r="Z13" i="6"/>
  <c r="Z15" i="6"/>
  <c r="Z16" i="6"/>
  <c r="L18" i="6"/>
  <c r="N18" i="6" s="1"/>
  <c r="L20" i="6"/>
  <c r="L33" i="6"/>
  <c r="X37" i="6"/>
  <c r="N44" i="6"/>
  <c r="Z64" i="6"/>
  <c r="L81" i="6"/>
  <c r="N81" i="6" s="1"/>
  <c r="J127" i="6"/>
  <c r="J135" i="6"/>
  <c r="N144" i="6"/>
  <c r="J159" i="6"/>
  <c r="N165" i="6"/>
  <c r="N170" i="6"/>
  <c r="L170" i="6"/>
  <c r="P12" i="7"/>
  <c r="N15" i="7"/>
  <c r="L15" i="7"/>
  <c r="Z50" i="7"/>
  <c r="N276" i="3"/>
  <c r="J22" i="4"/>
  <c r="J28" i="4"/>
  <c r="R80" i="5"/>
  <c r="R76" i="5"/>
  <c r="R72" i="5"/>
  <c r="R64" i="5"/>
  <c r="R60" i="5"/>
  <c r="R57" i="5"/>
  <c r="R83" i="5"/>
  <c r="R75" i="5"/>
  <c r="R71" i="5"/>
  <c r="R68" i="5"/>
  <c r="R51" i="5"/>
  <c r="R48" i="5"/>
  <c r="R43" i="5"/>
  <c r="R40" i="5"/>
  <c r="R27" i="5"/>
  <c r="R92" i="5"/>
  <c r="R86" i="5"/>
  <c r="R79" i="5"/>
  <c r="R74" i="5"/>
  <c r="R63" i="5"/>
  <c r="R59" i="5"/>
  <c r="R54" i="5"/>
  <c r="R31" i="5"/>
  <c r="R26" i="5"/>
  <c r="R19" i="5"/>
  <c r="R97" i="5"/>
  <c r="R90" i="5"/>
  <c r="R85" i="5"/>
  <c r="R82" i="5"/>
  <c r="R70" i="5"/>
  <c r="R53" i="5"/>
  <c r="R50" i="5"/>
  <c r="R45" i="5"/>
  <c r="R42" i="5"/>
  <c r="R37" i="5"/>
  <c r="R25" i="5"/>
  <c r="R14" i="5"/>
  <c r="R84" i="5"/>
  <c r="R67" i="5"/>
  <c r="R52" i="5"/>
  <c r="R47" i="5"/>
  <c r="R44" i="5"/>
  <c r="R39" i="5"/>
  <c r="R35" i="5"/>
  <c r="H90" i="5"/>
  <c r="R32" i="5"/>
  <c r="V47" i="5"/>
  <c r="R55" i="5"/>
  <c r="J63" i="5"/>
  <c r="V65" i="5"/>
  <c r="J70" i="5"/>
  <c r="R73" i="5"/>
  <c r="R94" i="5"/>
  <c r="J238" i="6"/>
  <c r="J226" i="6"/>
  <c r="J222" i="6"/>
  <c r="J216" i="6"/>
  <c r="J196" i="6"/>
  <c r="J190" i="6"/>
  <c r="J176" i="6"/>
  <c r="J166" i="6"/>
  <c r="J158" i="6"/>
  <c r="J154" i="6"/>
  <c r="J146" i="6"/>
  <c r="J134" i="6"/>
  <c r="J126" i="6"/>
  <c r="J118" i="6"/>
  <c r="J110" i="6"/>
  <c r="J102" i="6"/>
  <c r="J94" i="6"/>
  <c r="J88" i="6"/>
  <c r="J241" i="6"/>
  <c r="J225" i="6"/>
  <c r="J221" i="6"/>
  <c r="J207" i="6"/>
  <c r="J203" i="6"/>
  <c r="J193" i="6"/>
  <c r="J187" i="6"/>
  <c r="J181" i="6"/>
  <c r="J169" i="6"/>
  <c r="J163" i="6"/>
  <c r="J157" i="6"/>
  <c r="J153" i="6"/>
  <c r="J145" i="6"/>
  <c r="J133" i="6"/>
  <c r="J125" i="6"/>
  <c r="J117" i="6"/>
  <c r="J109" i="6"/>
  <c r="J101" i="6"/>
  <c r="J93" i="6"/>
  <c r="J232" i="6"/>
  <c r="J228" i="6"/>
  <c r="J220" i="6"/>
  <c r="J212" i="6"/>
  <c r="J198" i="6"/>
  <c r="J192" i="6"/>
  <c r="J184" i="6"/>
  <c r="J178" i="6"/>
  <c r="J172" i="6"/>
  <c r="J156" i="6"/>
  <c r="J152" i="6"/>
  <c r="H141" i="6"/>
  <c r="J141" i="6" s="1"/>
  <c r="J132" i="6"/>
  <c r="J124" i="6"/>
  <c r="J116" i="6"/>
  <c r="J108" i="6"/>
  <c r="J100" i="6"/>
  <c r="J92" i="6"/>
  <c r="J245" i="6"/>
  <c r="J239" i="6"/>
  <c r="J231" i="6"/>
  <c r="J219" i="6"/>
  <c r="J215" i="6"/>
  <c r="J211" i="6"/>
  <c r="J195" i="6"/>
  <c r="J189" i="6"/>
  <c r="J183" i="6"/>
  <c r="J175" i="6"/>
  <c r="J171" i="6"/>
  <c r="J165" i="6"/>
  <c r="J151" i="6"/>
  <c r="J143" i="6"/>
  <c r="J139" i="6"/>
  <c r="J131" i="6"/>
  <c r="J123" i="6"/>
  <c r="J115" i="6"/>
  <c r="J107" i="6"/>
  <c r="J99" i="6"/>
  <c r="J91" i="6"/>
  <c r="J234" i="6"/>
  <c r="J230" i="6"/>
  <c r="J224" i="6"/>
  <c r="J218" i="6"/>
  <c r="J214" i="6"/>
  <c r="J210" i="6"/>
  <c r="J206" i="6"/>
  <c r="J202" i="6"/>
  <c r="J186" i="6"/>
  <c r="J180" i="6"/>
  <c r="J174" i="6"/>
  <c r="J168" i="6"/>
  <c r="J162" i="6"/>
  <c r="J150" i="6"/>
  <c r="J144" i="6"/>
  <c r="J138" i="6"/>
  <c r="J130" i="6"/>
  <c r="J122" i="6"/>
  <c r="J114" i="6"/>
  <c r="J106" i="6"/>
  <c r="J98" i="6"/>
  <c r="J90" i="6"/>
  <c r="J237" i="6"/>
  <c r="J227" i="6"/>
  <c r="J217" i="6"/>
  <c r="J209" i="6"/>
  <c r="J205" i="6"/>
  <c r="J201" i="6"/>
  <c r="J197" i="6"/>
  <c r="J191" i="6"/>
  <c r="J177" i="6"/>
  <c r="J161" i="6"/>
  <c r="J155" i="6"/>
  <c r="J149" i="6"/>
  <c r="J137" i="6"/>
  <c r="J129" i="6"/>
  <c r="J121" i="6"/>
  <c r="J113" i="6"/>
  <c r="J105" i="6"/>
  <c r="J97" i="6"/>
  <c r="J89" i="6"/>
  <c r="J240" i="6"/>
  <c r="J208" i="6"/>
  <c r="J204" i="6"/>
  <c r="J200" i="6"/>
  <c r="J194" i="6"/>
  <c r="J188" i="6"/>
  <c r="J182" i="6"/>
  <c r="J170" i="6"/>
  <c r="J164" i="6"/>
  <c r="J160" i="6"/>
  <c r="J148" i="6"/>
  <c r="J136" i="6"/>
  <c r="J128" i="6"/>
  <c r="J120" i="6"/>
  <c r="J112" i="6"/>
  <c r="J104" i="6"/>
  <c r="J96" i="6"/>
  <c r="N19" i="6"/>
  <c r="N20" i="6"/>
  <c r="X22" i="6"/>
  <c r="Z22" i="6" s="1"/>
  <c r="X24" i="6"/>
  <c r="X46" i="6"/>
  <c r="Z46" i="6" s="1"/>
  <c r="X48" i="6"/>
  <c r="X77" i="6"/>
  <c r="Z77" i="6" s="1"/>
  <c r="J103" i="6"/>
  <c r="X168" i="6"/>
  <c r="Z168" i="6" s="1"/>
  <c r="D12" i="7"/>
  <c r="L15" i="3"/>
  <c r="N15" i="3" s="1"/>
  <c r="X19" i="3"/>
  <c r="Z19" i="3" s="1"/>
  <c r="L23" i="3"/>
  <c r="N23" i="3" s="1"/>
  <c r="X27" i="3"/>
  <c r="Z27" i="3" s="1"/>
  <c r="L31" i="3"/>
  <c r="N31" i="3" s="1"/>
  <c r="X35" i="3"/>
  <c r="Z35" i="3" s="1"/>
  <c r="L39" i="3"/>
  <c r="N39" i="3" s="1"/>
  <c r="X43" i="3"/>
  <c r="Z43" i="3" s="1"/>
  <c r="L47" i="3"/>
  <c r="X51" i="3"/>
  <c r="Z51" i="3" s="1"/>
  <c r="L55" i="3"/>
  <c r="X59" i="3"/>
  <c r="Z59" i="3" s="1"/>
  <c r="L63" i="3"/>
  <c r="N63" i="3" s="1"/>
  <c r="X67" i="3"/>
  <c r="Z67" i="3" s="1"/>
  <c r="L71" i="3"/>
  <c r="N71" i="3" s="1"/>
  <c r="X75" i="3"/>
  <c r="Z75" i="3" s="1"/>
  <c r="L79" i="3"/>
  <c r="X83" i="3"/>
  <c r="Z83" i="3" s="1"/>
  <c r="L87" i="3"/>
  <c r="N87" i="3" s="1"/>
  <c r="X91" i="3"/>
  <c r="Z91" i="3" s="1"/>
  <c r="L95" i="3"/>
  <c r="N95" i="3" s="1"/>
  <c r="X99" i="3"/>
  <c r="Z99" i="3" s="1"/>
  <c r="L103" i="3"/>
  <c r="X275" i="3"/>
  <c r="Z275" i="3" s="1"/>
  <c r="L12" i="4"/>
  <c r="H16" i="4"/>
  <c r="L18" i="4"/>
  <c r="J29" i="4"/>
  <c r="V83" i="5"/>
  <c r="V79" i="5"/>
  <c r="V75" i="5"/>
  <c r="V71" i="5"/>
  <c r="V63" i="5"/>
  <c r="V59" i="5"/>
  <c r="V51" i="5"/>
  <c r="V43" i="5"/>
  <c r="V97" i="5"/>
  <c r="V92" i="5"/>
  <c r="V90" i="5"/>
  <c r="V86" i="5"/>
  <c r="V82" i="5"/>
  <c r="V74" i="5"/>
  <c r="V70" i="5"/>
  <c r="V54" i="5"/>
  <c r="V50" i="5"/>
  <c r="V42" i="5"/>
  <c r="V26" i="5"/>
  <c r="V85" i="5"/>
  <c r="V73" i="5"/>
  <c r="V53" i="5"/>
  <c r="V45" i="5"/>
  <c r="V37" i="5"/>
  <c r="V25" i="5"/>
  <c r="V84" i="5"/>
  <c r="V56" i="5"/>
  <c r="V52" i="5"/>
  <c r="V44" i="5"/>
  <c r="V36" i="5"/>
  <c r="V24" i="5"/>
  <c r="Z12" i="5"/>
  <c r="V94" i="5"/>
  <c r="V88" i="5"/>
  <c r="V78" i="5"/>
  <c r="V66" i="5"/>
  <c r="V62" i="5"/>
  <c r="V58" i="5"/>
  <c r="V46" i="5"/>
  <c r="V38" i="5"/>
  <c r="V34" i="5"/>
  <c r="N16" i="5"/>
  <c r="V18" i="5"/>
  <c r="V31" i="5"/>
  <c r="V32" i="5"/>
  <c r="J39" i="5"/>
  <c r="R46" i="5"/>
  <c r="V48" i="5"/>
  <c r="J53" i="5"/>
  <c r="V57" i="5"/>
  <c r="L68" i="5"/>
  <c r="N68" i="5" s="1"/>
  <c r="R69" i="5"/>
  <c r="J75" i="5"/>
  <c r="J82" i="5"/>
  <c r="Z84" i="5"/>
  <c r="Z23" i="6"/>
  <c r="Z24" i="6"/>
  <c r="Z47" i="6"/>
  <c r="Z48" i="6"/>
  <c r="J119" i="6"/>
  <c r="X144" i="6"/>
  <c r="Z144" i="6" s="1"/>
  <c r="J173" i="6"/>
  <c r="N182" i="6"/>
  <c r="L182" i="6"/>
  <c r="N189" i="6"/>
  <c r="Z207" i="6"/>
  <c r="Z20" i="7"/>
  <c r="L23" i="7"/>
  <c r="N23" i="7" s="1"/>
  <c r="X43" i="7"/>
  <c r="Z43" i="7" s="1"/>
  <c r="Z54" i="7"/>
  <c r="N12" i="4"/>
  <c r="J14" i="4"/>
  <c r="J16" i="4"/>
  <c r="X12" i="5"/>
  <c r="P16" i="5"/>
  <c r="R21" i="5"/>
  <c r="R22" i="5"/>
  <c r="R23" i="5"/>
  <c r="J35" i="5"/>
  <c r="J36" i="5"/>
  <c r="J37" i="5"/>
  <c r="N38" i="5"/>
  <c r="N40" i="5"/>
  <c r="J43" i="5"/>
  <c r="Z46" i="5"/>
  <c r="V55" i="5"/>
  <c r="Z57" i="5"/>
  <c r="R62" i="5"/>
  <c r="V64" i="5"/>
  <c r="V69" i="5"/>
  <c r="V76" i="5"/>
  <c r="R81" i="5"/>
  <c r="R88" i="5"/>
  <c r="X21" i="6"/>
  <c r="Z21" i="6" s="1"/>
  <c r="N27" i="6"/>
  <c r="N28" i="6"/>
  <c r="X30" i="6"/>
  <c r="Z30" i="6" s="1"/>
  <c r="X32" i="6"/>
  <c r="Z32" i="6" s="1"/>
  <c r="L41" i="6"/>
  <c r="X45" i="6"/>
  <c r="Z45" i="6" s="1"/>
  <c r="X54" i="6"/>
  <c r="Z54" i="6" s="1"/>
  <c r="Z55" i="6"/>
  <c r="N58" i="6"/>
  <c r="Z62" i="6"/>
  <c r="N65" i="6"/>
  <c r="L65" i="6"/>
  <c r="Z72" i="6"/>
  <c r="N74" i="6"/>
  <c r="N84" i="6"/>
  <c r="N143" i="6"/>
  <c r="J147" i="6"/>
  <c r="J179" i="6"/>
  <c r="X180" i="6"/>
  <c r="Z180" i="6" s="1"/>
  <c r="H12" i="7"/>
  <c r="X19" i="7"/>
  <c r="Z19" i="7" s="1"/>
  <c r="T12" i="7"/>
  <c r="Z161" i="7"/>
  <c r="Z171" i="7"/>
  <c r="N223" i="7"/>
  <c r="N78" i="8"/>
  <c r="Z183" i="8"/>
  <c r="Z197" i="8"/>
  <c r="Z200" i="8"/>
  <c r="Z207" i="8"/>
  <c r="N225" i="8"/>
  <c r="Z245" i="8"/>
  <c r="Z15" i="11"/>
  <c r="X15" i="11"/>
  <c r="X33" i="13"/>
  <c r="Z33" i="13" s="1"/>
  <c r="F71" i="5"/>
  <c r="F75" i="5"/>
  <c r="F83" i="5"/>
  <c r="F88" i="5"/>
  <c r="F94" i="5"/>
  <c r="T236" i="6"/>
  <c r="X236" i="6" s="1"/>
  <c r="Z45" i="7"/>
  <c r="Z49" i="7"/>
  <c r="Z53" i="7"/>
  <c r="Z57" i="7"/>
  <c r="Z61" i="7"/>
  <c r="Z65" i="7"/>
  <c r="Z69" i="7"/>
  <c r="Z77" i="7"/>
  <c r="Z83" i="7"/>
  <c r="N163" i="7"/>
  <c r="L169" i="7"/>
  <c r="N173" i="7"/>
  <c r="N189" i="7"/>
  <c r="X217" i="7"/>
  <c r="L219" i="7"/>
  <c r="D12" i="8"/>
  <c r="N14" i="8"/>
  <c r="H12" i="8"/>
  <c r="Z26" i="8"/>
  <c r="N30" i="8"/>
  <c r="Z50" i="8"/>
  <c r="N185" i="8"/>
  <c r="N202" i="8"/>
  <c r="N209" i="8"/>
  <c r="Z220" i="8"/>
  <c r="R146" i="11"/>
  <c r="R129" i="11"/>
  <c r="R117" i="11"/>
  <c r="R114" i="11"/>
  <c r="R101" i="11"/>
  <c r="R97" i="11"/>
  <c r="R77" i="11"/>
  <c r="R69" i="11"/>
  <c r="R61" i="11"/>
  <c r="R163" i="11"/>
  <c r="R160" i="11"/>
  <c r="R157" i="11"/>
  <c r="R152" i="11"/>
  <c r="R125" i="11"/>
  <c r="R120" i="11"/>
  <c r="R108" i="11"/>
  <c r="R105" i="11"/>
  <c r="R100" i="11"/>
  <c r="R96" i="11"/>
  <c r="R89" i="11"/>
  <c r="R84" i="11"/>
  <c r="R76" i="11"/>
  <c r="R68" i="11"/>
  <c r="R60" i="11"/>
  <c r="R169" i="11"/>
  <c r="R151" i="11"/>
  <c r="R135" i="11"/>
  <c r="R131" i="11"/>
  <c r="R128" i="11"/>
  <c r="R119" i="11"/>
  <c r="R116" i="11"/>
  <c r="R99" i="11"/>
  <c r="R95" i="11"/>
  <c r="R83" i="11"/>
  <c r="R75" i="11"/>
  <c r="R67" i="11"/>
  <c r="R59" i="11"/>
  <c r="R159" i="11"/>
  <c r="R154" i="11"/>
  <c r="R150" i="11"/>
  <c r="R142" i="11"/>
  <c r="R138" i="11"/>
  <c r="R134" i="11"/>
  <c r="R122" i="11"/>
  <c r="R110" i="11"/>
  <c r="R107" i="11"/>
  <c r="R94" i="11"/>
  <c r="R82" i="11"/>
  <c r="R74" i="11"/>
  <c r="R66" i="11"/>
  <c r="R58" i="11"/>
  <c r="R156" i="11"/>
  <c r="R153" i="11"/>
  <c r="R148" i="11"/>
  <c r="R144" i="11"/>
  <c r="R140" i="11"/>
  <c r="R124" i="11"/>
  <c r="R121" i="11"/>
  <c r="R112" i="11"/>
  <c r="R109" i="11"/>
  <c r="R104" i="11"/>
  <c r="R92" i="11"/>
  <c r="R80" i="11"/>
  <c r="R72" i="11"/>
  <c r="R64" i="11"/>
  <c r="R57" i="11"/>
  <c r="R162" i="11"/>
  <c r="R147" i="11"/>
  <c r="R136" i="11"/>
  <c r="R132" i="11"/>
  <c r="R127" i="11"/>
  <c r="R115" i="11"/>
  <c r="R103" i="11"/>
  <c r="R91" i="11"/>
  <c r="R79" i="11"/>
  <c r="R71" i="11"/>
  <c r="R63" i="11"/>
  <c r="R164" i="11"/>
  <c r="R158" i="11"/>
  <c r="R143" i="11"/>
  <c r="R130" i="11"/>
  <c r="P86" i="11"/>
  <c r="R78" i="11"/>
  <c r="R165" i="11"/>
  <c r="R93" i="11"/>
  <c r="R81" i="11"/>
  <c r="R70" i="11"/>
  <c r="R65" i="11"/>
  <c r="R126" i="11"/>
  <c r="R113" i="11"/>
  <c r="R102" i="11"/>
  <c r="R73" i="11"/>
  <c r="R145" i="11"/>
  <c r="R141" i="11"/>
  <c r="R137" i="11"/>
  <c r="R123" i="11"/>
  <c r="R98" i="11"/>
  <c r="R88" i="11"/>
  <c r="R139" i="11"/>
  <c r="R118" i="11"/>
  <c r="R111" i="11"/>
  <c r="R90" i="11"/>
  <c r="R62" i="11"/>
  <c r="R133" i="11"/>
  <c r="R121" i="15"/>
  <c r="R108" i="15"/>
  <c r="R103" i="15"/>
  <c r="R95" i="15"/>
  <c r="R92" i="15"/>
  <c r="R80" i="15"/>
  <c r="R75" i="15"/>
  <c r="R72" i="15"/>
  <c r="R60" i="15"/>
  <c r="R55" i="15"/>
  <c r="R51" i="15"/>
  <c r="R39" i="15"/>
  <c r="R28" i="15"/>
  <c r="R111" i="15"/>
  <c r="R102" i="15"/>
  <c r="R87" i="15"/>
  <c r="R66" i="15"/>
  <c r="R63" i="15"/>
  <c r="R50" i="15"/>
  <c r="R38" i="15"/>
  <c r="R116" i="15"/>
  <c r="R105" i="15"/>
  <c r="R101" i="15"/>
  <c r="R94" i="15"/>
  <c r="R77" i="15"/>
  <c r="R74" i="15"/>
  <c r="R69" i="15"/>
  <c r="R57" i="15"/>
  <c r="R54" i="15"/>
  <c r="R49" i="15"/>
  <c r="R45" i="15"/>
  <c r="R37" i="15"/>
  <c r="R35" i="15"/>
  <c r="P33" i="15"/>
  <c r="R100" i="15"/>
  <c r="R84" i="15"/>
  <c r="R68" i="15"/>
  <c r="R65" i="15"/>
  <c r="R48" i="15"/>
  <c r="R44" i="15"/>
  <c r="R114" i="15"/>
  <c r="R107" i="15"/>
  <c r="R104" i="15"/>
  <c r="R99" i="15"/>
  <c r="R91" i="15"/>
  <c r="R83" i="15"/>
  <c r="R79" i="15"/>
  <c r="R76" i="15"/>
  <c r="R71" i="15"/>
  <c r="R59" i="15"/>
  <c r="R56" i="15"/>
  <c r="R47" i="15"/>
  <c r="R43" i="15"/>
  <c r="R36" i="15"/>
  <c r="R31" i="15"/>
  <c r="R117" i="15"/>
  <c r="R110" i="15"/>
  <c r="R98" i="15"/>
  <c r="R90" i="15"/>
  <c r="R86" i="15"/>
  <c r="R82" i="15"/>
  <c r="R67" i="15"/>
  <c r="R62" i="15"/>
  <c r="R42" i="15"/>
  <c r="R30" i="15"/>
  <c r="R109" i="15"/>
  <c r="R106" i="15"/>
  <c r="R97" i="15"/>
  <c r="R93" i="15"/>
  <c r="R89" i="15"/>
  <c r="R81" i="15"/>
  <c r="R78" i="15"/>
  <c r="R73" i="15"/>
  <c r="R70" i="15"/>
  <c r="R61" i="15"/>
  <c r="R58" i="15"/>
  <c r="R53" i="15"/>
  <c r="R46" i="15"/>
  <c r="R41" i="15"/>
  <c r="R29" i="15"/>
  <c r="R115" i="15"/>
  <c r="R112" i="15"/>
  <c r="R96" i="15"/>
  <c r="R88" i="15"/>
  <c r="R85" i="15"/>
  <c r="R64" i="15"/>
  <c r="R52" i="15"/>
  <c r="R40" i="15"/>
  <c r="X12" i="15"/>
  <c r="L155" i="6"/>
  <c r="N155" i="6" s="1"/>
  <c r="X165" i="6"/>
  <c r="Z165" i="6" s="1"/>
  <c r="X189" i="6"/>
  <c r="Z189" i="6" s="1"/>
  <c r="L191" i="6"/>
  <c r="N191" i="6" s="1"/>
  <c r="L227" i="6"/>
  <c r="L237" i="6"/>
  <c r="N237" i="6" s="1"/>
  <c r="X239" i="6"/>
  <c r="Z239" i="6" s="1"/>
  <c r="Z217" i="7"/>
  <c r="N219" i="7"/>
  <c r="Z42" i="8"/>
  <c r="N54" i="8"/>
  <c r="Z74" i="8"/>
  <c r="Z82" i="8"/>
  <c r="N94" i="8"/>
  <c r="Z216" i="8"/>
  <c r="Z225" i="8"/>
  <c r="Z239" i="8"/>
  <c r="F91" i="9"/>
  <c r="F99" i="9"/>
  <c r="F93" i="9"/>
  <c r="F88" i="9"/>
  <c r="F77" i="9"/>
  <c r="F71" i="9"/>
  <c r="F68" i="9"/>
  <c r="F86" i="9"/>
  <c r="F81" i="9"/>
  <c r="F70" i="9"/>
  <c r="F65" i="9"/>
  <c r="F62" i="9"/>
  <c r="F46" i="9"/>
  <c r="F42" i="9"/>
  <c r="F34" i="9"/>
  <c r="F25" i="9"/>
  <c r="F92" i="9"/>
  <c r="F89" i="9"/>
  <c r="F87" i="9"/>
  <c r="F56" i="9"/>
  <c r="F53" i="9"/>
  <c r="F45" i="9"/>
  <c r="F41" i="9"/>
  <c r="F30" i="9"/>
  <c r="F90" i="9"/>
  <c r="F76" i="9"/>
  <c r="F72" i="9"/>
  <c r="F59" i="9"/>
  <c r="F44" i="9"/>
  <c r="F40" i="9"/>
  <c r="D30" i="9"/>
  <c r="F28" i="9"/>
  <c r="F95" i="9"/>
  <c r="F78" i="9"/>
  <c r="F75" i="9"/>
  <c r="F73" i="9"/>
  <c r="F55" i="9"/>
  <c r="F50" i="9"/>
  <c r="F39" i="9"/>
  <c r="F27" i="9"/>
  <c r="F80" i="9"/>
  <c r="F79" i="9"/>
  <c r="F74" i="9"/>
  <c r="F69" i="9"/>
  <c r="F64" i="9"/>
  <c r="F61" i="9"/>
  <c r="F58" i="9"/>
  <c r="F38" i="9"/>
  <c r="F33" i="9"/>
  <c r="F32" i="9"/>
  <c r="F26" i="9"/>
  <c r="F84" i="9"/>
  <c r="F83" i="9"/>
  <c r="F63" i="9"/>
  <c r="F60" i="9"/>
  <c r="F48" i="9"/>
  <c r="F43" i="9"/>
  <c r="F36" i="9"/>
  <c r="F85" i="9"/>
  <c r="F54" i="9"/>
  <c r="F51" i="9"/>
  <c r="F47" i="9"/>
  <c r="F35" i="9"/>
  <c r="Z33" i="9"/>
  <c r="R41" i="9"/>
  <c r="F82" i="9"/>
  <c r="Z33" i="10"/>
  <c r="X33" i="10"/>
  <c r="T16" i="4"/>
  <c r="F21" i="5"/>
  <c r="F29" i="5"/>
  <c r="F33" i="5"/>
  <c r="F41" i="5"/>
  <c r="F44" i="5"/>
  <c r="F49" i="5"/>
  <c r="F52" i="5"/>
  <c r="F61" i="5"/>
  <c r="F65" i="5"/>
  <c r="F69" i="5"/>
  <c r="F77" i="5"/>
  <c r="F81" i="5"/>
  <c r="F84" i="5"/>
  <c r="H236" i="6"/>
  <c r="J236" i="6" s="1"/>
  <c r="Z173" i="7"/>
  <c r="N175" i="7"/>
  <c r="N185" i="7"/>
  <c r="L203" i="7"/>
  <c r="N203" i="7" s="1"/>
  <c r="N46" i="8"/>
  <c r="X90" i="8"/>
  <c r="N178" i="8"/>
  <c r="Z185" i="8"/>
  <c r="Z188" i="8"/>
  <c r="Z209" i="8"/>
  <c r="N211" i="8"/>
  <c r="N241" i="8"/>
  <c r="N32" i="9"/>
  <c r="F37" i="9"/>
  <c r="H12" i="10"/>
  <c r="L13" i="10"/>
  <c r="N13" i="10" s="1"/>
  <c r="L21" i="10"/>
  <c r="N21" i="10" s="1"/>
  <c r="N87" i="10"/>
  <c r="L87" i="10"/>
  <c r="R106" i="11"/>
  <c r="L14" i="13"/>
  <c r="N14" i="13" s="1"/>
  <c r="D12" i="13"/>
  <c r="V16" i="4"/>
  <c r="V20" i="4"/>
  <c r="V26" i="4"/>
  <c r="F22" i="5"/>
  <c r="F30" i="5"/>
  <c r="F34" i="5"/>
  <c r="F58" i="5"/>
  <c r="F62" i="5"/>
  <c r="F66" i="5"/>
  <c r="F73" i="5"/>
  <c r="F78" i="5"/>
  <c r="L46" i="7"/>
  <c r="L50" i="7"/>
  <c r="N50" i="7" s="1"/>
  <c r="L54" i="7"/>
  <c r="N54" i="7" s="1"/>
  <c r="L58" i="7"/>
  <c r="L62" i="7"/>
  <c r="N62" i="7" s="1"/>
  <c r="L66" i="7"/>
  <c r="N66" i="7" s="1"/>
  <c r="L70" i="7"/>
  <c r="N70" i="7" s="1"/>
  <c r="L74" i="7"/>
  <c r="N74" i="7" s="1"/>
  <c r="L78" i="7"/>
  <c r="N78" i="7" s="1"/>
  <c r="N137" i="7"/>
  <c r="X163" i="7"/>
  <c r="Z163" i="7" s="1"/>
  <c r="X185" i="7"/>
  <c r="Z185" i="7" s="1"/>
  <c r="L187" i="7"/>
  <c r="Z219" i="7"/>
  <c r="L227" i="7"/>
  <c r="D226" i="7"/>
  <c r="Z229" i="7"/>
  <c r="P12" i="8"/>
  <c r="X18" i="8"/>
  <c r="Z18" i="8" s="1"/>
  <c r="L22" i="8"/>
  <c r="X34" i="8"/>
  <c r="Z41" i="8"/>
  <c r="Z73" i="8"/>
  <c r="Z81" i="8"/>
  <c r="Z90" i="8"/>
  <c r="Z191" i="8"/>
  <c r="X241" i="8"/>
  <c r="X249" i="8"/>
  <c r="P248" i="8"/>
  <c r="X14" i="9"/>
  <c r="X32" i="9"/>
  <c r="F49" i="9"/>
  <c r="F67" i="9"/>
  <c r="N27" i="11"/>
  <c r="H12" i="11"/>
  <c r="L27" i="11"/>
  <c r="R155" i="11"/>
  <c r="F67" i="5"/>
  <c r="F70" i="5"/>
  <c r="F82" i="5"/>
  <c r="F90" i="5"/>
  <c r="F97" i="5"/>
  <c r="N171" i="7"/>
  <c r="Z175" i="7"/>
  <c r="N187" i="7"/>
  <c r="N227" i="7"/>
  <c r="N22" i="8"/>
  <c r="Z34" i="8"/>
  <c r="Z241" i="8"/>
  <c r="Z249" i="8"/>
  <c r="X255" i="8"/>
  <c r="R92" i="9"/>
  <c r="R89" i="9"/>
  <c r="R85" i="9"/>
  <c r="R73" i="9"/>
  <c r="R95" i="9"/>
  <c r="R84" i="9"/>
  <c r="R80" i="9"/>
  <c r="R72" i="9"/>
  <c r="R69" i="9"/>
  <c r="R64" i="9"/>
  <c r="R82" i="9"/>
  <c r="R78" i="9"/>
  <c r="R71" i="9"/>
  <c r="R66" i="9"/>
  <c r="R79" i="9"/>
  <c r="R70" i="9"/>
  <c r="R63" i="9"/>
  <c r="R58" i="9"/>
  <c r="R43" i="9"/>
  <c r="R38" i="9"/>
  <c r="R26" i="9"/>
  <c r="R81" i="9"/>
  <c r="R67" i="9"/>
  <c r="R65" i="9"/>
  <c r="R57" i="9"/>
  <c r="R54" i="9"/>
  <c r="R49" i="9"/>
  <c r="R37" i="9"/>
  <c r="R99" i="9"/>
  <c r="R83" i="9"/>
  <c r="R68" i="9"/>
  <c r="R60" i="9"/>
  <c r="R48" i="9"/>
  <c r="R36" i="9"/>
  <c r="R25" i="9"/>
  <c r="R56" i="9"/>
  <c r="R51" i="9"/>
  <c r="R47" i="9"/>
  <c r="R35" i="9"/>
  <c r="R62" i="9"/>
  <c r="R59" i="9"/>
  <c r="R46" i="9"/>
  <c r="R42" i="9"/>
  <c r="R34" i="9"/>
  <c r="R32" i="9"/>
  <c r="P30" i="9"/>
  <c r="R30" i="9" s="1"/>
  <c r="R93" i="9"/>
  <c r="R91" i="9"/>
  <c r="R87" i="9"/>
  <c r="R86" i="9"/>
  <c r="R77" i="9"/>
  <c r="R76" i="9"/>
  <c r="R61" i="9"/>
  <c r="R44" i="9"/>
  <c r="R40" i="9"/>
  <c r="R33" i="9"/>
  <c r="R28" i="9"/>
  <c r="R75" i="9"/>
  <c r="R74" i="9"/>
  <c r="R55" i="9"/>
  <c r="R52" i="9"/>
  <c r="R39" i="9"/>
  <c r="R27" i="9"/>
  <c r="Z14" i="9"/>
  <c r="T12" i="9"/>
  <c r="X22" i="9"/>
  <c r="Z32" i="9"/>
  <c r="Z43" i="9"/>
  <c r="X61" i="9"/>
  <c r="Z61" i="9" s="1"/>
  <c r="L63" i="9"/>
  <c r="L50" i="13"/>
  <c r="N50" i="13" s="1"/>
  <c r="N53" i="7"/>
  <c r="N57" i="7"/>
  <c r="N65" i="7"/>
  <c r="N69" i="7"/>
  <c r="X136" i="7"/>
  <c r="Z136" i="7" s="1"/>
  <c r="X137" i="7"/>
  <c r="Z137" i="7" s="1"/>
  <c r="N161" i="7"/>
  <c r="Z203" i="7"/>
  <c r="X227" i="7"/>
  <c r="Z227" i="7" s="1"/>
  <c r="N21" i="8"/>
  <c r="N38" i="8"/>
  <c r="N62" i="8"/>
  <c r="L70" i="8"/>
  <c r="N70" i="8" s="1"/>
  <c r="N193" i="8"/>
  <c r="N197" i="8"/>
  <c r="Z255" i="8"/>
  <c r="L18" i="9"/>
  <c r="N25" i="9"/>
  <c r="R50" i="9"/>
  <c r="F57" i="9"/>
  <c r="F66" i="9"/>
  <c r="R88" i="9"/>
  <c r="Z111" i="10"/>
  <c r="L35" i="11"/>
  <c r="N35" i="11" s="1"/>
  <c r="N54" i="11"/>
  <c r="L54" i="11"/>
  <c r="R149" i="11"/>
  <c r="X76" i="9"/>
  <c r="Z76" i="9" s="1"/>
  <c r="N88" i="9"/>
  <c r="Z62" i="10"/>
  <c r="X18" i="11"/>
  <c r="Z18" i="11" s="1"/>
  <c r="X16" i="12"/>
  <c r="Z16" i="12" s="1"/>
  <c r="N20" i="12"/>
  <c r="L20" i="12"/>
  <c r="X21" i="12"/>
  <c r="Z21" i="12" s="1"/>
  <c r="L85" i="12"/>
  <c r="N85" i="12" s="1"/>
  <c r="D84" i="12"/>
  <c r="L84" i="12" s="1"/>
  <c r="N84" i="12" s="1"/>
  <c r="L37" i="13"/>
  <c r="N37" i="13" s="1"/>
  <c r="X38" i="13"/>
  <c r="Z38" i="13" s="1"/>
  <c r="H248" i="8"/>
  <c r="L248" i="8" s="1"/>
  <c r="X71" i="9"/>
  <c r="Z71" i="9" s="1"/>
  <c r="X92" i="9"/>
  <c r="Z92" i="9" s="1"/>
  <c r="Z17" i="10"/>
  <c r="Z25" i="10"/>
  <c r="L30" i="10"/>
  <c r="N30" i="10" s="1"/>
  <c r="X34" i="10"/>
  <c r="Z35" i="10"/>
  <c r="Z36" i="10"/>
  <c r="X72" i="10"/>
  <c r="Z72" i="10" s="1"/>
  <c r="X85" i="10"/>
  <c r="Z85" i="10" s="1"/>
  <c r="N103" i="10"/>
  <c r="X111" i="10"/>
  <c r="N14" i="11"/>
  <c r="L14" i="11"/>
  <c r="X23" i="11"/>
  <c r="Z23" i="11" s="1"/>
  <c r="X31" i="11"/>
  <c r="Z31" i="11" s="1"/>
  <c r="N43" i="11"/>
  <c r="Z121" i="11"/>
  <c r="N123" i="11"/>
  <c r="Z139" i="11"/>
  <c r="L13" i="12"/>
  <c r="N13" i="12" s="1"/>
  <c r="D12" i="12"/>
  <c r="P12" i="12"/>
  <c r="X14" i="12"/>
  <c r="Z14" i="12" s="1"/>
  <c r="N25" i="12"/>
  <c r="L25" i="12"/>
  <c r="N34" i="12"/>
  <c r="X79" i="12"/>
  <c r="Z79" i="12" s="1"/>
  <c r="L81" i="12"/>
  <c r="X86" i="12"/>
  <c r="X17" i="13"/>
  <c r="Z17" i="13" s="1"/>
  <c r="P226" i="7"/>
  <c r="X226" i="7" s="1"/>
  <c r="L228" i="7"/>
  <c r="N228" i="7" s="1"/>
  <c r="X228" i="8"/>
  <c r="Z228" i="8" s="1"/>
  <c r="N67" i="9"/>
  <c r="N29" i="10"/>
  <c r="N40" i="10"/>
  <c r="L106" i="10"/>
  <c r="N106" i="10" s="1"/>
  <c r="N19" i="11"/>
  <c r="Z55" i="11"/>
  <c r="X55" i="11"/>
  <c r="L165" i="11"/>
  <c r="L17" i="12"/>
  <c r="N17" i="12" s="1"/>
  <c r="Z35" i="12"/>
  <c r="X55" i="12"/>
  <c r="Z55" i="12" s="1"/>
  <c r="L57" i="12"/>
  <c r="N57" i="12" s="1"/>
  <c r="N72" i="12"/>
  <c r="X85" i="12"/>
  <c r="N45" i="13"/>
  <c r="L45" i="13"/>
  <c r="Z46" i="13"/>
  <c r="X46" i="13"/>
  <c r="Z57" i="13"/>
  <c r="X57" i="13"/>
  <c r="T12" i="8"/>
  <c r="H12" i="9"/>
  <c r="N69" i="9"/>
  <c r="D12" i="10"/>
  <c r="X13" i="10"/>
  <c r="Z13" i="10" s="1"/>
  <c r="P12" i="10"/>
  <c r="Z103" i="10"/>
  <c r="X115" i="10"/>
  <c r="Z115" i="10" s="1"/>
  <c r="P114" i="10"/>
  <c r="X114" i="10" s="1"/>
  <c r="Z114" i="10" s="1"/>
  <c r="Z50" i="11"/>
  <c r="X50" i="11"/>
  <c r="N163" i="11"/>
  <c r="N165" i="11"/>
  <c r="T12" i="12"/>
  <c r="Z13" i="12"/>
  <c r="X13" i="12"/>
  <c r="Z34" i="12"/>
  <c r="Z85" i="12"/>
  <c r="T84" i="12"/>
  <c r="N18" i="13"/>
  <c r="L18" i="13"/>
  <c r="X25" i="13"/>
  <c r="Z25" i="13" s="1"/>
  <c r="L29" i="13"/>
  <c r="N29" i="13" s="1"/>
  <c r="Z41" i="13"/>
  <c r="X41" i="13"/>
  <c r="L59" i="13"/>
  <c r="N59" i="13" s="1"/>
  <c r="N19" i="10"/>
  <c r="Z31" i="10"/>
  <c r="L37" i="10"/>
  <c r="N37" i="10" s="1"/>
  <c r="X40" i="10"/>
  <c r="Z40" i="10" s="1"/>
  <c r="X96" i="10"/>
  <c r="Z96" i="10" s="1"/>
  <c r="L117" i="10"/>
  <c r="N117" i="10" s="1"/>
  <c r="D12" i="11"/>
  <c r="L46" i="11"/>
  <c r="N46" i="11" s="1"/>
  <c r="X109" i="11"/>
  <c r="L111" i="11"/>
  <c r="L116" i="11"/>
  <c r="N125" i="11"/>
  <c r="L139" i="11"/>
  <c r="X72" i="12"/>
  <c r="Z72" i="12" s="1"/>
  <c r="Z81" i="12"/>
  <c r="N13" i="13"/>
  <c r="L13" i="13"/>
  <c r="H12" i="13"/>
  <c r="T12" i="13"/>
  <c r="X14" i="13"/>
  <c r="Z14" i="13" s="1"/>
  <c r="Z30" i="13"/>
  <c r="X30" i="13"/>
  <c r="N34" i="13"/>
  <c r="L34" i="13"/>
  <c r="N30" i="11"/>
  <c r="L30" i="11"/>
  <c r="L38" i="11"/>
  <c r="N38" i="11" s="1"/>
  <c r="Z42" i="11"/>
  <c r="X42" i="11"/>
  <c r="Z109" i="11"/>
  <c r="N139" i="11"/>
  <c r="H12" i="12"/>
  <c r="X24" i="12"/>
  <c r="Z24" i="12" s="1"/>
  <c r="P12" i="13"/>
  <c r="N53" i="13"/>
  <c r="L53" i="13"/>
  <c r="X54" i="13"/>
  <c r="Z54" i="13" s="1"/>
  <c r="H226" i="7"/>
  <c r="T248" i="8"/>
  <c r="Z65" i="9"/>
  <c r="Z67" i="9"/>
  <c r="Z81" i="9"/>
  <c r="N92" i="9"/>
  <c r="T12" i="10"/>
  <c r="N16" i="10"/>
  <c r="X18" i="10"/>
  <c r="Z18" i="10" s="1"/>
  <c r="Z19" i="10"/>
  <c r="Z20" i="10"/>
  <c r="X28" i="10"/>
  <c r="L32" i="10"/>
  <c r="N32" i="10" s="1"/>
  <c r="N35" i="10"/>
  <c r="N72" i="10"/>
  <c r="Z116" i="10"/>
  <c r="Z117" i="10"/>
  <c r="L22" i="11"/>
  <c r="N22" i="11" s="1"/>
  <c r="Z26" i="11"/>
  <c r="X26" i="11"/>
  <c r="L28" i="11"/>
  <c r="X32" i="11"/>
  <c r="Z32" i="11" s="1"/>
  <c r="Z34" i="11"/>
  <c r="X34" i="11"/>
  <c r="L36" i="11"/>
  <c r="N36" i="11" s="1"/>
  <c r="Z39" i="11"/>
  <c r="X47" i="11"/>
  <c r="Z47" i="11" s="1"/>
  <c r="N51" i="11"/>
  <c r="L51" i="11"/>
  <c r="X57" i="11"/>
  <c r="Z57" i="11" s="1"/>
  <c r="X153" i="11"/>
  <c r="Z153" i="11" s="1"/>
  <c r="L155" i="11"/>
  <c r="Z165" i="11"/>
  <c r="L49" i="12"/>
  <c r="Z57" i="12"/>
  <c r="X60" i="12"/>
  <c r="L21" i="13"/>
  <c r="N21" i="13" s="1"/>
  <c r="X22" i="13"/>
  <c r="Z22" i="13" s="1"/>
  <c r="N26" i="13"/>
  <c r="L26" i="13"/>
  <c r="N42" i="13"/>
  <c r="L42" i="13"/>
  <c r="X49" i="13"/>
  <c r="Z49" i="13" s="1"/>
  <c r="V111" i="14"/>
  <c r="V107" i="14"/>
  <c r="V95" i="14"/>
  <c r="V91" i="14"/>
  <c r="V87" i="14"/>
  <c r="V83" i="14"/>
  <c r="V79" i="14"/>
  <c r="V75" i="14"/>
  <c r="V67" i="14"/>
  <c r="V59" i="14"/>
  <c r="V51" i="14"/>
  <c r="V43" i="14"/>
  <c r="V39" i="14"/>
  <c r="V31" i="14"/>
  <c r="V120" i="14"/>
  <c r="V110" i="14"/>
  <c r="V106" i="14"/>
  <c r="V94" i="14"/>
  <c r="V90" i="14"/>
  <c r="V86" i="14"/>
  <c r="V82" i="14"/>
  <c r="V78" i="14"/>
  <c r="V70" i="14"/>
  <c r="V62" i="14"/>
  <c r="V50" i="14"/>
  <c r="V42" i="14"/>
  <c r="V38" i="14"/>
  <c r="V30" i="14"/>
  <c r="V115" i="14"/>
  <c r="V101" i="14"/>
  <c r="V93" i="14"/>
  <c r="V89" i="14"/>
  <c r="V85" i="14"/>
  <c r="V77" i="14"/>
  <c r="V69" i="14"/>
  <c r="V61" i="14"/>
  <c r="V53" i="14"/>
  <c r="V41" i="14"/>
  <c r="V37" i="14"/>
  <c r="V25" i="14"/>
  <c r="V100" i="14"/>
  <c r="V92" i="14"/>
  <c r="V84" i="14"/>
  <c r="V72" i="14"/>
  <c r="V64" i="14"/>
  <c r="V56" i="14"/>
  <c r="V52" i="14"/>
  <c r="V40" i="14"/>
  <c r="V36" i="14"/>
  <c r="V24" i="14"/>
  <c r="V103" i="14"/>
  <c r="V99" i="14"/>
  <c r="V71" i="14"/>
  <c r="V63" i="14"/>
  <c r="V55" i="14"/>
  <c r="V47" i="14"/>
  <c r="V35" i="14"/>
  <c r="V23" i="14"/>
  <c r="V116" i="14"/>
  <c r="V102" i="14"/>
  <c r="V98" i="14"/>
  <c r="V74" i="14"/>
  <c r="V66" i="14"/>
  <c r="V58" i="14"/>
  <c r="V54" i="14"/>
  <c r="V46" i="14"/>
  <c r="V34" i="14"/>
  <c r="V109" i="14"/>
  <c r="V105" i="14"/>
  <c r="V97" i="14"/>
  <c r="V81" i="14"/>
  <c r="V73" i="14"/>
  <c r="V65" i="14"/>
  <c r="V57" i="14"/>
  <c r="V49" i="14"/>
  <c r="V45" i="14"/>
  <c r="V33" i="14"/>
  <c r="V29" i="14"/>
  <c r="V114" i="14"/>
  <c r="V108" i="14"/>
  <c r="V104" i="14"/>
  <c r="V96" i="14"/>
  <c r="V88" i="14"/>
  <c r="V80" i="14"/>
  <c r="V76" i="14"/>
  <c r="V68" i="14"/>
  <c r="V60" i="14"/>
  <c r="V48" i="14"/>
  <c r="V44" i="14"/>
  <c r="V32" i="14"/>
  <c r="T27" i="14"/>
  <c r="V27" i="14" s="1"/>
  <c r="Z12" i="14"/>
  <c r="L29" i="14"/>
  <c r="N29" i="14" s="1"/>
  <c r="Z69" i="14"/>
  <c r="N25" i="15"/>
  <c r="N58" i="15"/>
  <c r="N92" i="15"/>
  <c r="N106" i="15"/>
  <c r="Z16" i="16"/>
  <c r="X26" i="16"/>
  <c r="Z26" i="16" s="1"/>
  <c r="Z37" i="16"/>
  <c r="Z48" i="16"/>
  <c r="N50" i="16"/>
  <c r="H114" i="10"/>
  <c r="L114" i="10" s="1"/>
  <c r="T162" i="11"/>
  <c r="L123" i="13"/>
  <c r="Z77" i="14"/>
  <c r="Z14" i="15"/>
  <c r="Z56" i="15"/>
  <c r="Z67" i="15"/>
  <c r="Z78" i="15"/>
  <c r="N80" i="15"/>
  <c r="Z104" i="15"/>
  <c r="N18" i="16"/>
  <c r="Z20" i="16"/>
  <c r="H162" i="11"/>
  <c r="L162" i="11" s="1"/>
  <c r="P84" i="12"/>
  <c r="X84" i="12" s="1"/>
  <c r="Z169" i="13"/>
  <c r="Z174" i="13"/>
  <c r="N15" i="14"/>
  <c r="X29" i="14"/>
  <c r="Z40" i="14"/>
  <c r="Z84" i="14"/>
  <c r="V116" i="15"/>
  <c r="V102" i="15"/>
  <c r="V94" i="15"/>
  <c r="V74" i="15"/>
  <c r="V66" i="15"/>
  <c r="V54" i="15"/>
  <c r="V50" i="15"/>
  <c r="V38" i="15"/>
  <c r="T33" i="15"/>
  <c r="V105" i="15"/>
  <c r="V101" i="15"/>
  <c r="V77" i="15"/>
  <c r="V69" i="15"/>
  <c r="V65" i="15"/>
  <c r="V57" i="15"/>
  <c r="V49" i="15"/>
  <c r="V45" i="15"/>
  <c r="V37" i="15"/>
  <c r="V104" i="15"/>
  <c r="V100" i="15"/>
  <c r="V84" i="15"/>
  <c r="V76" i="15"/>
  <c r="V68" i="15"/>
  <c r="V56" i="15"/>
  <c r="V48" i="15"/>
  <c r="V44" i="15"/>
  <c r="V36" i="15"/>
  <c r="V117" i="15"/>
  <c r="V107" i="15"/>
  <c r="V99" i="15"/>
  <c r="V91" i="15"/>
  <c r="V83" i="15"/>
  <c r="V79" i="15"/>
  <c r="V71" i="15"/>
  <c r="V67" i="15"/>
  <c r="V59" i="15"/>
  <c r="V47" i="15"/>
  <c r="V43" i="15"/>
  <c r="V31" i="15"/>
  <c r="V110" i="15"/>
  <c r="V106" i="15"/>
  <c r="V98" i="15"/>
  <c r="V90" i="15"/>
  <c r="V86" i="15"/>
  <c r="V82" i="15"/>
  <c r="V78" i="15"/>
  <c r="V70" i="15"/>
  <c r="V62" i="15"/>
  <c r="V58" i="15"/>
  <c r="V46" i="15"/>
  <c r="V42" i="15"/>
  <c r="V30" i="15"/>
  <c r="V115" i="15"/>
  <c r="V109" i="15"/>
  <c r="V97" i="15"/>
  <c r="V93" i="15"/>
  <c r="V89" i="15"/>
  <c r="V85" i="15"/>
  <c r="V81" i="15"/>
  <c r="V73" i="15"/>
  <c r="V61" i="15"/>
  <c r="V53" i="15"/>
  <c r="V41" i="15"/>
  <c r="V29" i="15"/>
  <c r="V112" i="15"/>
  <c r="V108" i="15"/>
  <c r="V96" i="15"/>
  <c r="V92" i="15"/>
  <c r="V88" i="15"/>
  <c r="V80" i="15"/>
  <c r="V72" i="15"/>
  <c r="V64" i="15"/>
  <c r="V60" i="15"/>
  <c r="V52" i="15"/>
  <c r="V40" i="15"/>
  <c r="V28" i="15"/>
  <c r="Z12" i="15"/>
  <c r="V121" i="15"/>
  <c r="V111" i="15"/>
  <c r="V103" i="15"/>
  <c r="V95" i="15"/>
  <c r="V87" i="15"/>
  <c r="V75" i="15"/>
  <c r="V63" i="15"/>
  <c r="V55" i="15"/>
  <c r="V51" i="15"/>
  <c r="V39" i="15"/>
  <c r="V35" i="15"/>
  <c r="V33" i="15"/>
  <c r="N17" i="15"/>
  <c r="N35" i="15"/>
  <c r="Z36" i="15"/>
  <c r="Z117" i="15"/>
  <c r="T12" i="11"/>
  <c r="L97" i="13"/>
  <c r="N163" i="13"/>
  <c r="R108" i="14"/>
  <c r="R96" i="14"/>
  <c r="R88" i="14"/>
  <c r="R80" i="14"/>
  <c r="R76" i="14"/>
  <c r="R73" i="14"/>
  <c r="R68" i="14"/>
  <c r="R65" i="14"/>
  <c r="R60" i="14"/>
  <c r="R57" i="14"/>
  <c r="R44" i="14"/>
  <c r="R32" i="14"/>
  <c r="R27" i="14"/>
  <c r="X12" i="14"/>
  <c r="R114" i="14"/>
  <c r="R111" i="14"/>
  <c r="R107" i="14"/>
  <c r="R104" i="14"/>
  <c r="R95" i="14"/>
  <c r="R91" i="14"/>
  <c r="R87" i="14"/>
  <c r="R83" i="14"/>
  <c r="R79" i="14"/>
  <c r="R51" i="14"/>
  <c r="R48" i="14"/>
  <c r="R43" i="14"/>
  <c r="R39" i="14"/>
  <c r="R31" i="14"/>
  <c r="R29" i="14"/>
  <c r="P27" i="14"/>
  <c r="R120" i="14"/>
  <c r="R94" i="14"/>
  <c r="R90" i="14"/>
  <c r="R86" i="14"/>
  <c r="R78" i="14"/>
  <c r="R75" i="14"/>
  <c r="R70" i="14"/>
  <c r="R67" i="14"/>
  <c r="R62" i="14"/>
  <c r="R59" i="14"/>
  <c r="R42" i="14"/>
  <c r="R38" i="14"/>
  <c r="R110" i="14"/>
  <c r="R106" i="14"/>
  <c r="R101" i="14"/>
  <c r="R93" i="14"/>
  <c r="R85" i="14"/>
  <c r="R82" i="14"/>
  <c r="R53" i="14"/>
  <c r="R50" i="14"/>
  <c r="R41" i="14"/>
  <c r="R37" i="14"/>
  <c r="R30" i="14"/>
  <c r="R25" i="14"/>
  <c r="R115" i="14"/>
  <c r="R100" i="14"/>
  <c r="R89" i="14"/>
  <c r="R77" i="14"/>
  <c r="R72" i="14"/>
  <c r="R69" i="14"/>
  <c r="R64" i="14"/>
  <c r="R61" i="14"/>
  <c r="R56" i="14"/>
  <c r="R36" i="14"/>
  <c r="R24" i="14"/>
  <c r="R103" i="14"/>
  <c r="R99" i="14"/>
  <c r="R92" i="14"/>
  <c r="R84" i="14"/>
  <c r="R55" i="14"/>
  <c r="R52" i="14"/>
  <c r="R47" i="14"/>
  <c r="R40" i="14"/>
  <c r="R35" i="14"/>
  <c r="R113" i="14"/>
  <c r="R98" i="14"/>
  <c r="R74" i="14"/>
  <c r="R71" i="14"/>
  <c r="R66" i="14"/>
  <c r="R63" i="14"/>
  <c r="R58" i="14"/>
  <c r="R46" i="14"/>
  <c r="R34" i="14"/>
  <c r="R23" i="14"/>
  <c r="R116" i="14"/>
  <c r="R109" i="14"/>
  <c r="R105" i="14"/>
  <c r="R102" i="14"/>
  <c r="R97" i="14"/>
  <c r="R81" i="14"/>
  <c r="R54" i="14"/>
  <c r="R49" i="14"/>
  <c r="R45" i="14"/>
  <c r="R33" i="14"/>
  <c r="N19" i="14"/>
  <c r="Z115" i="14"/>
  <c r="X35" i="15"/>
  <c r="Z46" i="15"/>
  <c r="J105" i="16"/>
  <c r="J89" i="16"/>
  <c r="J83" i="16"/>
  <c r="J96" i="16"/>
  <c r="J88" i="16"/>
  <c r="J106" i="16"/>
  <c r="J98" i="16"/>
  <c r="J86" i="16"/>
  <c r="J82" i="16"/>
  <c r="J78" i="16"/>
  <c r="J101" i="16"/>
  <c r="J95" i="16"/>
  <c r="J85" i="16"/>
  <c r="J77" i="16"/>
  <c r="J110" i="16"/>
  <c r="J104" i="16"/>
  <c r="J100" i="16"/>
  <c r="J87" i="16"/>
  <c r="J81" i="16"/>
  <c r="J72" i="16"/>
  <c r="J68" i="16"/>
  <c r="J60" i="16"/>
  <c r="J52" i="16"/>
  <c r="J46" i="16"/>
  <c r="J32" i="16"/>
  <c r="N12" i="16"/>
  <c r="J99" i="16"/>
  <c r="J84" i="16"/>
  <c r="J79" i="16"/>
  <c r="J75" i="16"/>
  <c r="J71" i="16"/>
  <c r="J65" i="16"/>
  <c r="J57" i="16"/>
  <c r="J51" i="16"/>
  <c r="J43" i="16"/>
  <c r="J37" i="16"/>
  <c r="J31" i="16"/>
  <c r="J80" i="16"/>
  <c r="J70" i="16"/>
  <c r="J62" i="16"/>
  <c r="J54" i="16"/>
  <c r="J48" i="16"/>
  <c r="J42" i="16"/>
  <c r="J30" i="16"/>
  <c r="J20" i="16"/>
  <c r="J67" i="16"/>
  <c r="J59" i="16"/>
  <c r="J45" i="16"/>
  <c r="J41" i="16"/>
  <c r="J29" i="16"/>
  <c r="J93" i="16"/>
  <c r="J90" i="16"/>
  <c r="J74" i="16"/>
  <c r="J64" i="16"/>
  <c r="J56" i="16"/>
  <c r="J50" i="16"/>
  <c r="J40" i="16"/>
  <c r="J36" i="16"/>
  <c r="J28" i="16"/>
  <c r="J24" i="16"/>
  <c r="J92" i="16"/>
  <c r="J91" i="16"/>
  <c r="J69" i="16"/>
  <c r="J61" i="16"/>
  <c r="J53" i="16"/>
  <c r="J47" i="16"/>
  <c r="J39" i="16"/>
  <c r="J35" i="16"/>
  <c r="H24" i="16"/>
  <c r="J94" i="16"/>
  <c r="J76" i="16"/>
  <c r="J66" i="16"/>
  <c r="J58" i="16"/>
  <c r="J44" i="16"/>
  <c r="J38" i="16"/>
  <c r="J34" i="16"/>
  <c r="J26" i="16"/>
  <c r="J22" i="16"/>
  <c r="J97" i="16"/>
  <c r="J73" i="16"/>
  <c r="J63" i="16"/>
  <c r="J55" i="16"/>
  <c r="J49" i="16"/>
  <c r="J33" i="16"/>
  <c r="J27" i="16"/>
  <c r="J21" i="16"/>
  <c r="F97" i="16"/>
  <c r="F94" i="16"/>
  <c r="F90" i="16"/>
  <c r="F81" i="16"/>
  <c r="F100" i="16"/>
  <c r="F89" i="16"/>
  <c r="F99" i="16"/>
  <c r="F87" i="16"/>
  <c r="F79" i="16"/>
  <c r="F103" i="16"/>
  <c r="F98" i="16"/>
  <c r="F93" i="16"/>
  <c r="F86" i="16"/>
  <c r="F82" i="16"/>
  <c r="F78" i="16"/>
  <c r="F106" i="16"/>
  <c r="F96" i="16"/>
  <c r="F95" i="16"/>
  <c r="F76" i="16"/>
  <c r="F73" i="16"/>
  <c r="F49" i="16"/>
  <c r="F44" i="16"/>
  <c r="F33" i="16"/>
  <c r="F21" i="16"/>
  <c r="F101" i="16"/>
  <c r="F72" i="16"/>
  <c r="F68" i="16"/>
  <c r="F63" i="16"/>
  <c r="F60" i="16"/>
  <c r="F55" i="16"/>
  <c r="F52" i="16"/>
  <c r="F32" i="16"/>
  <c r="F27" i="16"/>
  <c r="F26" i="16"/>
  <c r="L12" i="16"/>
  <c r="F88" i="16"/>
  <c r="F84" i="16"/>
  <c r="F83" i="16"/>
  <c r="F75" i="16"/>
  <c r="F71" i="16"/>
  <c r="F51" i="16"/>
  <c r="F46" i="16"/>
  <c r="F43" i="16"/>
  <c r="F31" i="16"/>
  <c r="F110" i="16"/>
  <c r="F85" i="16"/>
  <c r="F80" i="16"/>
  <c r="F70" i="16"/>
  <c r="F65" i="16"/>
  <c r="F62" i="16"/>
  <c r="F57" i="16"/>
  <c r="F54" i="16"/>
  <c r="F42" i="16"/>
  <c r="F37" i="16"/>
  <c r="F30" i="16"/>
  <c r="F48" i="16"/>
  <c r="F45" i="16"/>
  <c r="F41" i="16"/>
  <c r="F29" i="16"/>
  <c r="F20" i="16"/>
  <c r="F67" i="16"/>
  <c r="F64" i="16"/>
  <c r="F59" i="16"/>
  <c r="F56" i="16"/>
  <c r="F40" i="16"/>
  <c r="F36" i="16"/>
  <c r="F28" i="16"/>
  <c r="F105" i="16"/>
  <c r="F104" i="16"/>
  <c r="F92" i="16"/>
  <c r="F91" i="16"/>
  <c r="F77" i="16"/>
  <c r="F74" i="16"/>
  <c r="F50" i="16"/>
  <c r="F47" i="16"/>
  <c r="F39" i="16"/>
  <c r="F35" i="16"/>
  <c r="F69" i="16"/>
  <c r="F66" i="16"/>
  <c r="F61" i="16"/>
  <c r="F58" i="16"/>
  <c r="F53" i="16"/>
  <c r="F38" i="16"/>
  <c r="F34" i="16"/>
  <c r="D24" i="16"/>
  <c r="F22" i="16"/>
  <c r="N67" i="16"/>
  <c r="N97" i="13"/>
  <c r="Z29" i="14"/>
  <c r="N67" i="14"/>
  <c r="N113" i="14"/>
  <c r="Z35" i="15"/>
  <c r="N26" i="16"/>
  <c r="L26" i="16"/>
  <c r="X97" i="13"/>
  <c r="Z97" i="13" s="1"/>
  <c r="Z145" i="13"/>
  <c r="Z163" i="13"/>
  <c r="N23" i="14"/>
  <c r="Z52" i="14"/>
  <c r="N89" i="14"/>
  <c r="N48" i="16"/>
  <c r="R98" i="16"/>
  <c r="R95" i="16"/>
  <c r="R86" i="16"/>
  <c r="R82" i="16"/>
  <c r="R78" i="16"/>
  <c r="R104" i="16"/>
  <c r="R101" i="16"/>
  <c r="R85" i="16"/>
  <c r="R100" i="16"/>
  <c r="R91" i="16"/>
  <c r="R76" i="16"/>
  <c r="R105" i="16"/>
  <c r="R94" i="16"/>
  <c r="R90" i="16"/>
  <c r="R83" i="16"/>
  <c r="R30" i="16"/>
  <c r="R42" i="16"/>
  <c r="R54" i="16"/>
  <c r="R59" i="16"/>
  <c r="R62" i="16"/>
  <c r="R67" i="16"/>
  <c r="R70" i="16"/>
  <c r="R79" i="16"/>
  <c r="R80" i="16"/>
  <c r="R84" i="16"/>
  <c r="R88" i="16"/>
  <c r="P12" i="17"/>
  <c r="X14" i="17"/>
  <c r="L19" i="17"/>
  <c r="Z48" i="17"/>
  <c r="X48" i="17"/>
  <c r="X56" i="17"/>
  <c r="Z56" i="17" s="1"/>
  <c r="Z64" i="17"/>
  <c r="X64" i="17"/>
  <c r="X73" i="17"/>
  <c r="X88" i="17"/>
  <c r="Z88" i="17" s="1"/>
  <c r="J56" i="18"/>
  <c r="J46" i="18"/>
  <c r="J40" i="18"/>
  <c r="J32" i="18"/>
  <c r="J28" i="18"/>
  <c r="H17" i="18"/>
  <c r="J63" i="18"/>
  <c r="J59" i="18"/>
  <c r="J53" i="18"/>
  <c r="J43" i="18"/>
  <c r="J37" i="18"/>
  <c r="J31" i="18"/>
  <c r="J27" i="18"/>
  <c r="J19" i="18"/>
  <c r="J48" i="18"/>
  <c r="J42" i="18"/>
  <c r="J26" i="18"/>
  <c r="J20" i="18"/>
  <c r="J61" i="18"/>
  <c r="J55" i="18"/>
  <c r="J45" i="18"/>
  <c r="J39" i="18"/>
  <c r="J25" i="18"/>
  <c r="J15" i="18"/>
  <c r="J64" i="18"/>
  <c r="J58" i="18"/>
  <c r="J52" i="18"/>
  <c r="J36" i="18"/>
  <c r="J30" i="18"/>
  <c r="J24" i="18"/>
  <c r="J51" i="18"/>
  <c r="J47" i="18"/>
  <c r="J41" i="18"/>
  <c r="J35" i="18"/>
  <c r="J23" i="18"/>
  <c r="J68" i="18"/>
  <c r="J60" i="18"/>
  <c r="J54" i="18"/>
  <c r="J50" i="18"/>
  <c r="J44" i="18"/>
  <c r="J38" i="18"/>
  <c r="J34" i="18"/>
  <c r="J21" i="18"/>
  <c r="Z39" i="18"/>
  <c r="P12" i="19"/>
  <c r="X15" i="19"/>
  <c r="N101" i="19"/>
  <c r="H100" i="19"/>
  <c r="L101" i="19"/>
  <c r="P22" i="20"/>
  <c r="D172" i="13"/>
  <c r="T172" i="13"/>
  <c r="X172" i="13" s="1"/>
  <c r="D12" i="14"/>
  <c r="X14" i="14"/>
  <c r="Z14" i="14" s="1"/>
  <c r="L18" i="14"/>
  <c r="N18" i="14" s="1"/>
  <c r="X13" i="15"/>
  <c r="T12" i="16"/>
  <c r="L15" i="16"/>
  <c r="R20" i="16"/>
  <c r="R31" i="16"/>
  <c r="R43" i="16"/>
  <c r="R48" i="16"/>
  <c r="R51" i="16"/>
  <c r="R71" i="16"/>
  <c r="R75" i="16"/>
  <c r="R87" i="16"/>
  <c r="R99" i="16"/>
  <c r="L25" i="17"/>
  <c r="N25" i="17" s="1"/>
  <c r="L75" i="17"/>
  <c r="Z84" i="17"/>
  <c r="L19" i="18"/>
  <c r="N19" i="18" s="1"/>
  <c r="N44" i="18"/>
  <c r="L44" i="18"/>
  <c r="Z15" i="19"/>
  <c r="L18" i="19"/>
  <c r="N18" i="19" s="1"/>
  <c r="N26" i="19"/>
  <c r="L26" i="19"/>
  <c r="Z27" i="19"/>
  <c r="N34" i="19"/>
  <c r="L34" i="19"/>
  <c r="X153" i="13"/>
  <c r="Z153" i="13" s="1"/>
  <c r="X165" i="13"/>
  <c r="Z165" i="13" s="1"/>
  <c r="L167" i="13"/>
  <c r="L173" i="13"/>
  <c r="N173" i="13" s="1"/>
  <c r="X175" i="13"/>
  <c r="Z175" i="13" s="1"/>
  <c r="H12" i="14"/>
  <c r="X15" i="14"/>
  <c r="Z15" i="14" s="1"/>
  <c r="X57" i="14"/>
  <c r="Z57" i="14" s="1"/>
  <c r="L59" i="14"/>
  <c r="N59" i="14" s="1"/>
  <c r="X65" i="14"/>
  <c r="Z65" i="14" s="1"/>
  <c r="L67" i="14"/>
  <c r="X73" i="14"/>
  <c r="Z73" i="14" s="1"/>
  <c r="L75" i="14"/>
  <c r="N75" i="14" s="1"/>
  <c r="T113" i="14"/>
  <c r="D12" i="15"/>
  <c r="Z13" i="15"/>
  <c r="X28" i="15"/>
  <c r="Z28" i="15" s="1"/>
  <c r="L54" i="15"/>
  <c r="N54" i="15" s="1"/>
  <c r="X60" i="15"/>
  <c r="Z60" i="15" s="1"/>
  <c r="X72" i="15"/>
  <c r="Z72" i="15" s="1"/>
  <c r="L74" i="15"/>
  <c r="N74" i="15" s="1"/>
  <c r="X80" i="15"/>
  <c r="Z80" i="15" s="1"/>
  <c r="X92" i="15"/>
  <c r="Z92" i="15" s="1"/>
  <c r="L94" i="15"/>
  <c r="N94" i="15" s="1"/>
  <c r="X108" i="15"/>
  <c r="Z108" i="15" s="1"/>
  <c r="L116" i="15"/>
  <c r="X12" i="16"/>
  <c r="L16" i="16"/>
  <c r="R32" i="16"/>
  <c r="R37" i="16"/>
  <c r="R52" i="16"/>
  <c r="R57" i="16"/>
  <c r="R60" i="16"/>
  <c r="R65" i="16"/>
  <c r="R68" i="16"/>
  <c r="R72" i="16"/>
  <c r="R81" i="16"/>
  <c r="R96" i="16"/>
  <c r="X100" i="16"/>
  <c r="Z100" i="16" s="1"/>
  <c r="H103" i="16"/>
  <c r="L104" i="16"/>
  <c r="N104" i="16" s="1"/>
  <c r="N19" i="17"/>
  <c r="N50" i="17"/>
  <c r="L50" i="17"/>
  <c r="L58" i="17"/>
  <c r="N58" i="17" s="1"/>
  <c r="Z73" i="17"/>
  <c r="J29" i="18"/>
  <c r="Z30" i="18"/>
  <c r="X30" i="18"/>
  <c r="V30" i="18"/>
  <c r="J49" i="18"/>
  <c r="H172" i="13"/>
  <c r="H12" i="15"/>
  <c r="R21" i="16"/>
  <c r="R33" i="16"/>
  <c r="R46" i="16"/>
  <c r="R49" i="16"/>
  <c r="R73" i="16"/>
  <c r="R97" i="16"/>
  <c r="T12" i="17"/>
  <c r="Z13" i="17"/>
  <c r="L15" i="17"/>
  <c r="N15" i="17" s="1"/>
  <c r="D12" i="17"/>
  <c r="N75" i="17"/>
  <c r="X22" i="19"/>
  <c r="Z22" i="19" s="1"/>
  <c r="D114" i="15"/>
  <c r="T114" i="15"/>
  <c r="V114" i="15" s="1"/>
  <c r="R22" i="16"/>
  <c r="R27" i="16"/>
  <c r="R34" i="16"/>
  <c r="R38" i="16"/>
  <c r="R55" i="16"/>
  <c r="R58" i="16"/>
  <c r="R63" i="16"/>
  <c r="R66" i="16"/>
  <c r="L74" i="16"/>
  <c r="R77" i="16"/>
  <c r="P103" i="16"/>
  <c r="X103" i="16" s="1"/>
  <c r="X13" i="17"/>
  <c r="J33" i="18"/>
  <c r="L64" i="18"/>
  <c r="N64" i="18" s="1"/>
  <c r="D63" i="18"/>
  <c r="L63" i="18" s="1"/>
  <c r="N63" i="18" s="1"/>
  <c r="X14" i="19"/>
  <c r="Z14" i="19" s="1"/>
  <c r="N20" i="19"/>
  <c r="N28" i="19"/>
  <c r="X30" i="19"/>
  <c r="Z30" i="19" s="1"/>
  <c r="L14" i="14"/>
  <c r="N14" i="14" s="1"/>
  <c r="X18" i="14"/>
  <c r="Z18" i="14" s="1"/>
  <c r="R35" i="16"/>
  <c r="R39" i="16"/>
  <c r="R44" i="16"/>
  <c r="R47" i="16"/>
  <c r="R92" i="16"/>
  <c r="R93" i="16"/>
  <c r="X95" i="16"/>
  <c r="Z95" i="16" s="1"/>
  <c r="R106" i="16"/>
  <c r="X25" i="17"/>
  <c r="Z25" i="17" s="1"/>
  <c r="J22" i="18"/>
  <c r="J57" i="18"/>
  <c r="N60" i="18"/>
  <c r="L60" i="18"/>
  <c r="T12" i="19"/>
  <c r="X125" i="13"/>
  <c r="L127" i="13"/>
  <c r="N127" i="13" s="1"/>
  <c r="X137" i="13"/>
  <c r="Z137" i="13" s="1"/>
  <c r="L139" i="13"/>
  <c r="N139" i="13" s="1"/>
  <c r="X89" i="14"/>
  <c r="Z89" i="14" s="1"/>
  <c r="H114" i="15"/>
  <c r="P24" i="16"/>
  <c r="R26" i="16"/>
  <c r="R28" i="16"/>
  <c r="R36" i="16"/>
  <c r="R40" i="16"/>
  <c r="R53" i="16"/>
  <c r="R56" i="16"/>
  <c r="R61" i="16"/>
  <c r="R64" i="16"/>
  <c r="R69" i="16"/>
  <c r="N81" i="16"/>
  <c r="L95" i="16"/>
  <c r="N95" i="16" s="1"/>
  <c r="Z106" i="16"/>
  <c r="T103" i="16"/>
  <c r="R110" i="16"/>
  <c r="Z68" i="17"/>
  <c r="X68" i="17"/>
  <c r="J17" i="18"/>
  <c r="X58" i="18"/>
  <c r="Z58" i="18" s="1"/>
  <c r="V58" i="18"/>
  <c r="L19" i="19"/>
  <c r="D12" i="19"/>
  <c r="R24" i="16"/>
  <c r="R29" i="16"/>
  <c r="R41" i="16"/>
  <c r="R45" i="16"/>
  <c r="R50" i="16"/>
  <c r="R74" i="16"/>
  <c r="R89" i="16"/>
  <c r="N14" i="17"/>
  <c r="L14" i="17"/>
  <c r="H12" i="17"/>
  <c r="Z15" i="17"/>
  <c r="X36" i="17"/>
  <c r="Z36" i="17" s="1"/>
  <c r="Z44" i="17"/>
  <c r="D12" i="18"/>
  <c r="Z55" i="18"/>
  <c r="Z64" i="18"/>
  <c r="T63" i="18"/>
  <c r="X64" i="18"/>
  <c r="V64" i="18"/>
  <c r="Z16" i="19"/>
  <c r="N27" i="19"/>
  <c r="Z32" i="19"/>
  <c r="Z81" i="19"/>
  <c r="Z85" i="19"/>
  <c r="N22" i="21"/>
  <c r="V15" i="18"/>
  <c r="V27" i="18"/>
  <c r="V31" i="18"/>
  <c r="V39" i="18"/>
  <c r="V43" i="18"/>
  <c r="V55" i="18"/>
  <c r="V59" i="18"/>
  <c r="H12" i="19"/>
  <c r="Z103" i="19"/>
  <c r="Z28" i="20"/>
  <c r="V20" i="18"/>
  <c r="V28" i="18"/>
  <c r="V32" i="18"/>
  <c r="V40" i="18"/>
  <c r="V48" i="18"/>
  <c r="V56" i="18"/>
  <c r="L56" i="19"/>
  <c r="N56" i="19" s="1"/>
  <c r="L72" i="19"/>
  <c r="L95" i="19"/>
  <c r="N95" i="19" s="1"/>
  <c r="D100" i="19"/>
  <c r="L100" i="19" s="1"/>
  <c r="P100" i="19"/>
  <c r="X100" i="19" s="1"/>
  <c r="Z100" i="19" s="1"/>
  <c r="X102" i="19"/>
  <c r="H26" i="20"/>
  <c r="N22" i="20"/>
  <c r="P12" i="18"/>
  <c r="V21" i="18"/>
  <c r="V29" i="18"/>
  <c r="V33" i="18"/>
  <c r="V37" i="18"/>
  <c r="V49" i="18"/>
  <c r="V53" i="18"/>
  <c r="V57" i="18"/>
  <c r="N18" i="21"/>
  <c r="T17" i="18"/>
  <c r="V22" i="18"/>
  <c r="V34" i="18"/>
  <c r="V38" i="18"/>
  <c r="V46" i="18"/>
  <c r="V50" i="18"/>
  <c r="V54" i="18"/>
  <c r="V68" i="18"/>
  <c r="V17" i="18"/>
  <c r="V19" i="18"/>
  <c r="V23" i="18"/>
  <c r="V35" i="18"/>
  <c r="V47" i="18"/>
  <c r="V51" i="18"/>
  <c r="L15" i="19"/>
  <c r="N15" i="19" s="1"/>
  <c r="X19" i="19"/>
  <c r="L23" i="19"/>
  <c r="N23" i="19" s="1"/>
  <c r="X27" i="19"/>
  <c r="L31" i="19"/>
  <c r="V24" i="18"/>
  <c r="V36" i="18"/>
  <c r="V44" i="18"/>
  <c r="V52" i="18"/>
  <c r="N88" i="19"/>
  <c r="L88" i="19"/>
  <c r="T31" i="21"/>
  <c r="Z16" i="21"/>
  <c r="D64" i="23"/>
  <c r="Z12" i="20"/>
  <c r="R14" i="20"/>
  <c r="J16" i="20"/>
  <c r="R18" i="20"/>
  <c r="J20" i="20"/>
  <c r="R22" i="20"/>
  <c r="J26" i="20"/>
  <c r="R28" i="20"/>
  <c r="J29" i="20"/>
  <c r="R31" i="20"/>
  <c r="F14" i="21"/>
  <c r="V14" i="21"/>
  <c r="F22" i="21"/>
  <c r="V22" i="21"/>
  <c r="R23" i="21"/>
  <c r="J24" i="21"/>
  <c r="F27" i="21"/>
  <c r="J29" i="21"/>
  <c r="D16" i="22"/>
  <c r="V18" i="22"/>
  <c r="X19" i="22"/>
  <c r="Z19" i="22" s="1"/>
  <c r="R26" i="22"/>
  <c r="V30" i="22"/>
  <c r="R31" i="22"/>
  <c r="Z33" i="22"/>
  <c r="R34" i="22"/>
  <c r="J37" i="22"/>
  <c r="F38" i="22"/>
  <c r="L41" i="22"/>
  <c r="N41" i="22" s="1"/>
  <c r="J47" i="22"/>
  <c r="F48" i="22"/>
  <c r="F50" i="22"/>
  <c r="F51" i="22"/>
  <c r="F52" i="22"/>
  <c r="F54" i="22"/>
  <c r="F55" i="22"/>
  <c r="F56" i="22"/>
  <c r="F58" i="22"/>
  <c r="V59" i="22"/>
  <c r="F62" i="22"/>
  <c r="L67" i="22"/>
  <c r="F69" i="22"/>
  <c r="F16" i="23"/>
  <c r="F22" i="23"/>
  <c r="F33" i="23"/>
  <c r="R35" i="23"/>
  <c r="R37" i="23"/>
  <c r="F42" i="23"/>
  <c r="N43" i="23"/>
  <c r="V45" i="23"/>
  <c r="V50" i="23"/>
  <c r="V52" i="23"/>
  <c r="V53" i="23"/>
  <c r="F58" i="23"/>
  <c r="V62" i="23"/>
  <c r="T16" i="24"/>
  <c r="Z14" i="24"/>
  <c r="X14" i="24"/>
  <c r="N19" i="24"/>
  <c r="F40" i="24"/>
  <c r="J42" i="24"/>
  <c r="Z44" i="24"/>
  <c r="F32" i="25"/>
  <c r="N46" i="25"/>
  <c r="Z49" i="25"/>
  <c r="Z20" i="28"/>
  <c r="V34" i="28"/>
  <c r="Z50" i="28"/>
  <c r="V58" i="28"/>
  <c r="Z59" i="28"/>
  <c r="X63" i="28"/>
  <c r="Z63" i="28" s="1"/>
  <c r="V86" i="28"/>
  <c r="Z100" i="28"/>
  <c r="Z18" i="29"/>
  <c r="L20" i="20"/>
  <c r="R24" i="20"/>
  <c r="L29" i="20"/>
  <c r="N29" i="20" s="1"/>
  <c r="L12" i="21"/>
  <c r="X14" i="21"/>
  <c r="P16" i="21"/>
  <c r="F18" i="21"/>
  <c r="R18" i="21"/>
  <c r="F19" i="21"/>
  <c r="R20" i="21"/>
  <c r="X22" i="21"/>
  <c r="Z22" i="21" s="1"/>
  <c r="V23" i="21"/>
  <c r="L24" i="21"/>
  <c r="N24" i="21" s="1"/>
  <c r="J27" i="21"/>
  <c r="F22" i="22"/>
  <c r="F23" i="22"/>
  <c r="V26" i="22"/>
  <c r="R27" i="22"/>
  <c r="R28" i="22"/>
  <c r="V29" i="22"/>
  <c r="V33" i="22"/>
  <c r="V34" i="22"/>
  <c r="R36" i="22"/>
  <c r="N37" i="22"/>
  <c r="J38" i="22"/>
  <c r="F41" i="22"/>
  <c r="V43" i="22"/>
  <c r="V45" i="22"/>
  <c r="R46" i="22"/>
  <c r="J50" i="22"/>
  <c r="J51" i="22"/>
  <c r="J54" i="22"/>
  <c r="J55" i="22"/>
  <c r="J58" i="22"/>
  <c r="F59" i="22"/>
  <c r="Z59" i="22"/>
  <c r="J61" i="22"/>
  <c r="F63" i="22"/>
  <c r="H69" i="22"/>
  <c r="V71" i="22"/>
  <c r="F76" i="22"/>
  <c r="F26" i="23"/>
  <c r="V37" i="23"/>
  <c r="Z49" i="23"/>
  <c r="J28" i="24"/>
  <c r="F33" i="24"/>
  <c r="F46" i="24"/>
  <c r="J52" i="24"/>
  <c r="X67" i="24"/>
  <c r="Z14" i="25"/>
  <c r="T16" i="25"/>
  <c r="Z19" i="25"/>
  <c r="F40" i="25"/>
  <c r="F51" i="25"/>
  <c r="H16" i="26"/>
  <c r="N14" i="26"/>
  <c r="L14" i="26"/>
  <c r="P47" i="26"/>
  <c r="X16" i="26"/>
  <c r="T53" i="27"/>
  <c r="Z18" i="27"/>
  <c r="V30" i="28"/>
  <c r="L57" i="28"/>
  <c r="N57" i="28" s="1"/>
  <c r="V14" i="20"/>
  <c r="N16" i="20"/>
  <c r="V18" i="20"/>
  <c r="V22" i="20"/>
  <c r="V24" i="20"/>
  <c r="V28" i="20"/>
  <c r="V31" i="20"/>
  <c r="Z14" i="21"/>
  <c r="F25" i="21"/>
  <c r="R26" i="21"/>
  <c r="R29" i="21"/>
  <c r="N18" i="22"/>
  <c r="J22" i="22"/>
  <c r="V25" i="22"/>
  <c r="J39" i="22"/>
  <c r="F40" i="22"/>
  <c r="F42" i="22"/>
  <c r="V46" i="22"/>
  <c r="J69" i="22"/>
  <c r="F57" i="23"/>
  <c r="F54" i="23"/>
  <c r="F50" i="23"/>
  <c r="F46" i="23"/>
  <c r="F41" i="23"/>
  <c r="F71" i="23"/>
  <c r="F64" i="23"/>
  <c r="F53" i="23"/>
  <c r="F37" i="23"/>
  <c r="F32" i="23"/>
  <c r="F28" i="23"/>
  <c r="F21" i="23"/>
  <c r="F59" i="23"/>
  <c r="F56" i="23"/>
  <c r="F52" i="23"/>
  <c r="F43" i="23"/>
  <c r="F40" i="23"/>
  <c r="F20" i="23"/>
  <c r="F66" i="23"/>
  <c r="F60" i="23"/>
  <c r="F55" i="23"/>
  <c r="F51" i="23"/>
  <c r="F48" i="23"/>
  <c r="F44" i="23"/>
  <c r="F24" i="23"/>
  <c r="F19" i="23"/>
  <c r="F18" i="23"/>
  <c r="L12" i="23"/>
  <c r="F47" i="23"/>
  <c r="F38" i="23"/>
  <c r="F35" i="23"/>
  <c r="F23" i="23"/>
  <c r="F14" i="23"/>
  <c r="L14" i="23"/>
  <c r="N19" i="23"/>
  <c r="R34" i="23"/>
  <c r="V36" i="23"/>
  <c r="X43" i="23"/>
  <c r="V49" i="23"/>
  <c r="J16" i="24"/>
  <c r="F23" i="24"/>
  <c r="J32" i="24"/>
  <c r="J40" i="24"/>
  <c r="F63" i="24"/>
  <c r="N33" i="25"/>
  <c r="N34" i="26"/>
  <c r="L34" i="26"/>
  <c r="L18" i="27"/>
  <c r="Z37" i="27"/>
  <c r="X37" i="27"/>
  <c r="Z40" i="28"/>
  <c r="N65" i="28"/>
  <c r="L65" i="28"/>
  <c r="V102" i="28"/>
  <c r="L12" i="20"/>
  <c r="X14" i="20"/>
  <c r="R33" i="21"/>
  <c r="R27" i="21"/>
  <c r="D16" i="21"/>
  <c r="J19" i="21"/>
  <c r="J25" i="21"/>
  <c r="J38" i="21"/>
  <c r="F73" i="22"/>
  <c r="F67" i="22"/>
  <c r="F71" i="22"/>
  <c r="F65" i="22"/>
  <c r="F28" i="22"/>
  <c r="F21" i="22"/>
  <c r="F64" i="22"/>
  <c r="F61" i="22"/>
  <c r="F29" i="22"/>
  <c r="F25" i="22"/>
  <c r="F60" i="22"/>
  <c r="F47" i="22"/>
  <c r="F44" i="22"/>
  <c r="F39" i="22"/>
  <c r="F36" i="22"/>
  <c r="F24" i="22"/>
  <c r="F19" i="22"/>
  <c r="F18" i="22"/>
  <c r="L12" i="22"/>
  <c r="J18" i="22"/>
  <c r="J21" i="22"/>
  <c r="X28" i="22"/>
  <c r="Z28" i="22" s="1"/>
  <c r="F33" i="22"/>
  <c r="J42" i="22"/>
  <c r="F45" i="22"/>
  <c r="R49" i="22"/>
  <c r="R53" i="22"/>
  <c r="R57" i="22"/>
  <c r="J59" i="22"/>
  <c r="J64" i="22"/>
  <c r="X18" i="23"/>
  <c r="Z18" i="23" s="1"/>
  <c r="F25" i="23"/>
  <c r="F31" i="23"/>
  <c r="Z34" i="23"/>
  <c r="X34" i="23"/>
  <c r="R43" i="23"/>
  <c r="R59" i="23"/>
  <c r="F62" i="23"/>
  <c r="F68" i="23"/>
  <c r="R71" i="23"/>
  <c r="Z19" i="24"/>
  <c r="F22" i="24"/>
  <c r="F37" i="24"/>
  <c r="F38" i="24"/>
  <c r="F45" i="24"/>
  <c r="L49" i="24"/>
  <c r="F60" i="24"/>
  <c r="J62" i="24"/>
  <c r="N16" i="25"/>
  <c r="H56" i="25"/>
  <c r="F22" i="25"/>
  <c r="Z28" i="26"/>
  <c r="N39" i="27"/>
  <c r="L39" i="27"/>
  <c r="N20" i="28"/>
  <c r="V66" i="28"/>
  <c r="Z78" i="28"/>
  <c r="N12" i="20"/>
  <c r="J14" i="20"/>
  <c r="R16" i="20"/>
  <c r="J18" i="20"/>
  <c r="R20" i="20"/>
  <c r="J22" i="20"/>
  <c r="R26" i="20"/>
  <c r="J28" i="20"/>
  <c r="J31" i="20"/>
  <c r="V35" i="21"/>
  <c r="V29" i="21"/>
  <c r="V38" i="21"/>
  <c r="V33" i="21"/>
  <c r="V31" i="21"/>
  <c r="V27" i="21"/>
  <c r="F16" i="21"/>
  <c r="V16" i="21"/>
  <c r="V18" i="21"/>
  <c r="L19" i="21"/>
  <c r="N19" i="21" s="1"/>
  <c r="F23" i="21"/>
  <c r="R24" i="21"/>
  <c r="F26" i="21"/>
  <c r="V26" i="21"/>
  <c r="J35" i="21"/>
  <c r="J71" i="22"/>
  <c r="J65" i="22"/>
  <c r="J62" i="22"/>
  <c r="J56" i="22"/>
  <c r="J52" i="22"/>
  <c r="J48" i="22"/>
  <c r="J40" i="22"/>
  <c r="J32" i="22"/>
  <c r="J20" i="22"/>
  <c r="J16" i="22"/>
  <c r="J60" i="22"/>
  <c r="J44" i="22"/>
  <c r="J36" i="22"/>
  <c r="J24" i="22"/>
  <c r="J14" i="22"/>
  <c r="N12" i="22"/>
  <c r="J73" i="22"/>
  <c r="J67" i="22"/>
  <c r="J63" i="22"/>
  <c r="J57" i="22"/>
  <c r="J53" i="22"/>
  <c r="J49" i="22"/>
  <c r="J41" i="22"/>
  <c r="J33" i="22"/>
  <c r="J23" i="22"/>
  <c r="F30" i="22"/>
  <c r="F31" i="22"/>
  <c r="F32" i="22"/>
  <c r="F34" i="22"/>
  <c r="V35" i="22"/>
  <c r="V37" i="22"/>
  <c r="R38" i="22"/>
  <c r="J43" i="22"/>
  <c r="R47" i="22"/>
  <c r="R50" i="22"/>
  <c r="R51" i="22"/>
  <c r="R54" i="22"/>
  <c r="R55" i="22"/>
  <c r="R58" i="22"/>
  <c r="V61" i="22"/>
  <c r="R63" i="22"/>
  <c r="L64" i="22"/>
  <c r="V69" i="22"/>
  <c r="T16" i="23"/>
  <c r="V22" i="23"/>
  <c r="F30" i="23"/>
  <c r="V34" i="23"/>
  <c r="Z43" i="23"/>
  <c r="F45" i="23"/>
  <c r="Z59" i="23"/>
  <c r="N62" i="23"/>
  <c r="L62" i="23"/>
  <c r="F14" i="24"/>
  <c r="F21" i="24"/>
  <c r="J22" i="24"/>
  <c r="N49" i="24"/>
  <c r="N18" i="27"/>
  <c r="N21" i="28"/>
  <c r="L21" i="28"/>
  <c r="Z53" i="28"/>
  <c r="D45" i="29"/>
  <c r="N19" i="29"/>
  <c r="L19" i="29"/>
  <c r="L83" i="19"/>
  <c r="N83" i="19" s="1"/>
  <c r="D16" i="20"/>
  <c r="T16" i="20"/>
  <c r="X16" i="20" s="1"/>
  <c r="X12" i="21"/>
  <c r="H16" i="21"/>
  <c r="F20" i="21"/>
  <c r="J23" i="21"/>
  <c r="F33" i="21"/>
  <c r="R61" i="22"/>
  <c r="R29" i="22"/>
  <c r="R25" i="22"/>
  <c r="R14" i="22"/>
  <c r="R71" i="22"/>
  <c r="R65" i="22"/>
  <c r="R62" i="22"/>
  <c r="R21" i="22"/>
  <c r="R16" i="22"/>
  <c r="R76" i="22"/>
  <c r="R69" i="22"/>
  <c r="R56" i="22"/>
  <c r="R52" i="22"/>
  <c r="R48" i="22"/>
  <c r="R45" i="22"/>
  <c r="R40" i="22"/>
  <c r="R37" i="22"/>
  <c r="R32" i="22"/>
  <c r="R20" i="22"/>
  <c r="R18" i="22"/>
  <c r="P16" i="22"/>
  <c r="X14" i="22"/>
  <c r="T16" i="22"/>
  <c r="J19" i="22"/>
  <c r="F20" i="22"/>
  <c r="V21" i="22"/>
  <c r="R22" i="22"/>
  <c r="V23" i="22"/>
  <c r="F26" i="22"/>
  <c r="F27" i="22"/>
  <c r="L28" i="22"/>
  <c r="J30" i="22"/>
  <c r="J31" i="22"/>
  <c r="J34" i="22"/>
  <c r="F35" i="22"/>
  <c r="Z35" i="22"/>
  <c r="V38" i="22"/>
  <c r="X39" i="22"/>
  <c r="R41" i="22"/>
  <c r="R42" i="22"/>
  <c r="J45" i="22"/>
  <c r="F46" i="22"/>
  <c r="V49" i="22"/>
  <c r="V50" i="22"/>
  <c r="V53" i="22"/>
  <c r="V54" i="22"/>
  <c r="V57" i="22"/>
  <c r="V58" i="22"/>
  <c r="R60" i="22"/>
  <c r="Z62" i="22"/>
  <c r="V63" i="22"/>
  <c r="V65" i="22"/>
  <c r="R58" i="23"/>
  <c r="R55" i="23"/>
  <c r="R51" i="23"/>
  <c r="R42" i="23"/>
  <c r="R30" i="23"/>
  <c r="R38" i="23"/>
  <c r="R33" i="23"/>
  <c r="R29" i="23"/>
  <c r="R25" i="23"/>
  <c r="R14" i="23"/>
  <c r="R66" i="23"/>
  <c r="R60" i="23"/>
  <c r="R57" i="23"/>
  <c r="R48" i="23"/>
  <c r="R44" i="23"/>
  <c r="R41" i="23"/>
  <c r="R24" i="23"/>
  <c r="X12" i="23"/>
  <c r="R56" i="23"/>
  <c r="R52" i="23"/>
  <c r="R49" i="23"/>
  <c r="R45" i="23"/>
  <c r="R40" i="23"/>
  <c r="R20" i="23"/>
  <c r="R18" i="23"/>
  <c r="P16" i="23"/>
  <c r="R68" i="23"/>
  <c r="R62" i="23"/>
  <c r="R39" i="23"/>
  <c r="R36" i="23"/>
  <c r="R31" i="23"/>
  <c r="R27" i="23"/>
  <c r="V16" i="23"/>
  <c r="V20" i="23"/>
  <c r="V21" i="23"/>
  <c r="R26" i="23"/>
  <c r="R32" i="23"/>
  <c r="F36" i="23"/>
  <c r="F39" i="23"/>
  <c r="V40" i="23"/>
  <c r="N45" i="23"/>
  <c r="R46" i="23"/>
  <c r="L49" i="23"/>
  <c r="N51" i="23"/>
  <c r="R54" i="23"/>
  <c r="L55" i="23"/>
  <c r="N55" i="23" s="1"/>
  <c r="R64" i="23"/>
  <c r="J21" i="24"/>
  <c r="F35" i="24"/>
  <c r="J48" i="24"/>
  <c r="J60" i="24"/>
  <c r="F60" i="25"/>
  <c r="F54" i="25"/>
  <c r="F44" i="25"/>
  <c r="F25" i="25"/>
  <c r="F58" i="25"/>
  <c r="F52" i="25"/>
  <c r="F39" i="25"/>
  <c r="F36" i="25"/>
  <c r="F24" i="25"/>
  <c r="F19" i="25"/>
  <c r="F18" i="25"/>
  <c r="L12" i="25"/>
  <c r="F46" i="25"/>
  <c r="F43" i="25"/>
  <c r="F23" i="25"/>
  <c r="F14" i="25"/>
  <c r="F49" i="25"/>
  <c r="F42" i="25"/>
  <c r="F38" i="25"/>
  <c r="F33" i="25"/>
  <c r="F63" i="25"/>
  <c r="F56" i="25"/>
  <c r="F45" i="25"/>
  <c r="F41" i="25"/>
  <c r="F21" i="25"/>
  <c r="F47" i="25"/>
  <c r="F31" i="25"/>
  <c r="F27" i="25"/>
  <c r="F16" i="25"/>
  <c r="F50" i="25"/>
  <c r="F37" i="25"/>
  <c r="F34" i="25"/>
  <c r="F30" i="25"/>
  <c r="F26" i="25"/>
  <c r="D16" i="25"/>
  <c r="F28" i="25"/>
  <c r="Z44" i="25"/>
  <c r="L42" i="26"/>
  <c r="N42" i="26" s="1"/>
  <c r="D50" i="27"/>
  <c r="N19" i="27"/>
  <c r="L19" i="27"/>
  <c r="Z41" i="27"/>
  <c r="V95" i="28"/>
  <c r="V91" i="28"/>
  <c r="V83" i="28"/>
  <c r="V79" i="28"/>
  <c r="V75" i="28"/>
  <c r="V71" i="28"/>
  <c r="V67" i="28"/>
  <c r="V59" i="28"/>
  <c r="V51" i="28"/>
  <c r="V47" i="28"/>
  <c r="V39" i="28"/>
  <c r="V27" i="28"/>
  <c r="V15" i="28"/>
  <c r="V106" i="28"/>
  <c r="V100" i="28"/>
  <c r="V94" i="28"/>
  <c r="V90" i="28"/>
  <c r="V82" i="28"/>
  <c r="V78" i="28"/>
  <c r="V74" i="28"/>
  <c r="V70" i="28"/>
  <c r="V62" i="28"/>
  <c r="V54" i="28"/>
  <c r="V50" i="28"/>
  <c r="V38" i="28"/>
  <c r="V26" i="28"/>
  <c r="V14" i="28"/>
  <c r="V97" i="28"/>
  <c r="V93" i="28"/>
  <c r="V81" i="28"/>
  <c r="V69" i="28"/>
  <c r="V61" i="28"/>
  <c r="V53" i="28"/>
  <c r="V41" i="28"/>
  <c r="V37" i="28"/>
  <c r="V25" i="28"/>
  <c r="V96" i="28"/>
  <c r="V92" i="28"/>
  <c r="V64" i="28"/>
  <c r="V56" i="28"/>
  <c r="V44" i="28"/>
  <c r="V40" i="28"/>
  <c r="V36" i="28"/>
  <c r="V24" i="28"/>
  <c r="V20" i="28"/>
  <c r="V18" i="28"/>
  <c r="Z12" i="28"/>
  <c r="V87" i="28"/>
  <c r="V63" i="28"/>
  <c r="V55" i="28"/>
  <c r="V43" i="28"/>
  <c r="V35" i="28"/>
  <c r="V31" i="28"/>
  <c r="V23" i="28"/>
  <c r="T18" i="28"/>
  <c r="X12" i="28"/>
  <c r="V99" i="28"/>
  <c r="V89" i="28"/>
  <c r="V85" i="28"/>
  <c r="V77" i="28"/>
  <c r="V73" i="28"/>
  <c r="V65" i="28"/>
  <c r="V57" i="28"/>
  <c r="V49" i="28"/>
  <c r="V45" i="28"/>
  <c r="V33" i="28"/>
  <c r="V29" i="28"/>
  <c r="V21" i="28"/>
  <c r="V88" i="28"/>
  <c r="V84" i="28"/>
  <c r="V80" i="28"/>
  <c r="V76" i="28"/>
  <c r="V72" i="28"/>
  <c r="V68" i="28"/>
  <c r="V60" i="28"/>
  <c r="V52" i="28"/>
  <c r="V48" i="28"/>
  <c r="V32" i="28"/>
  <c r="V28" i="28"/>
  <c r="V16" i="28"/>
  <c r="V46" i="28"/>
  <c r="Z47" i="28"/>
  <c r="V104" i="28"/>
  <c r="V16" i="20"/>
  <c r="V20" i="20"/>
  <c r="V26" i="20"/>
  <c r="F21" i="21"/>
  <c r="R22" i="21"/>
  <c r="R25" i="21"/>
  <c r="L29" i="21"/>
  <c r="R35" i="21"/>
  <c r="R38" i="21"/>
  <c r="V73" i="22"/>
  <c r="V67" i="22"/>
  <c r="V60" i="22"/>
  <c r="V44" i="22"/>
  <c r="V36" i="22"/>
  <c r="V28" i="22"/>
  <c r="V24" i="22"/>
  <c r="Z12" i="22"/>
  <c r="V64" i="22"/>
  <c r="V56" i="22"/>
  <c r="V52" i="22"/>
  <c r="V48" i="22"/>
  <c r="V40" i="22"/>
  <c r="V32" i="22"/>
  <c r="V20" i="22"/>
  <c r="V55" i="22"/>
  <c r="V51" i="22"/>
  <c r="V47" i="22"/>
  <c r="V39" i="22"/>
  <c r="V31" i="22"/>
  <c r="V27" i="22"/>
  <c r="V19" i="22"/>
  <c r="V16" i="22"/>
  <c r="V22" i="22"/>
  <c r="J26" i="22"/>
  <c r="J27" i="22"/>
  <c r="N28" i="22"/>
  <c r="J29" i="22"/>
  <c r="N35" i="22"/>
  <c r="F37" i="22"/>
  <c r="R39" i="22"/>
  <c r="Z41" i="22"/>
  <c r="V42" i="22"/>
  <c r="R44" i="22"/>
  <c r="J46" i="22"/>
  <c r="R59" i="22"/>
  <c r="V62" i="22"/>
  <c r="R64" i="22"/>
  <c r="V57" i="23"/>
  <c r="V41" i="23"/>
  <c r="V33" i="23"/>
  <c r="V29" i="23"/>
  <c r="V71" i="23"/>
  <c r="V66" i="23"/>
  <c r="V64" i="23"/>
  <c r="V60" i="23"/>
  <c r="V48" i="23"/>
  <c r="V44" i="23"/>
  <c r="V32" i="23"/>
  <c r="V28" i="23"/>
  <c r="V24" i="23"/>
  <c r="Z12" i="23"/>
  <c r="V59" i="23"/>
  <c r="V47" i="23"/>
  <c r="V43" i="23"/>
  <c r="V35" i="23"/>
  <c r="V23" i="23"/>
  <c r="V55" i="23"/>
  <c r="V51" i="23"/>
  <c r="V39" i="23"/>
  <c r="V31" i="23"/>
  <c r="V27" i="23"/>
  <c r="V19" i="23"/>
  <c r="V58" i="23"/>
  <c r="V42" i="23"/>
  <c r="V38" i="23"/>
  <c r="V30" i="23"/>
  <c r="V26" i="23"/>
  <c r="V14" i="23"/>
  <c r="L18" i="23"/>
  <c r="N18" i="23" s="1"/>
  <c r="V25" i="23"/>
  <c r="F29" i="23"/>
  <c r="Z32" i="23"/>
  <c r="F34" i="23"/>
  <c r="N36" i="23"/>
  <c r="L36" i="23"/>
  <c r="V46" i="23"/>
  <c r="F49" i="23"/>
  <c r="V54" i="23"/>
  <c r="V68" i="23"/>
  <c r="F76" i="24"/>
  <c r="F69" i="24"/>
  <c r="F58" i="24"/>
  <c r="F54" i="24"/>
  <c r="F50" i="24"/>
  <c r="F26" i="24"/>
  <c r="D16" i="24"/>
  <c r="F64" i="24"/>
  <c r="F61" i="24"/>
  <c r="F57" i="24"/>
  <c r="F53" i="24"/>
  <c r="F44" i="24"/>
  <c r="F41" i="24"/>
  <c r="F36" i="24"/>
  <c r="F25" i="24"/>
  <c r="F56" i="24"/>
  <c r="F24" i="24"/>
  <c r="F19" i="24"/>
  <c r="F18" i="24"/>
  <c r="L12" i="24"/>
  <c r="F73" i="24"/>
  <c r="F67" i="24"/>
  <c r="F49" i="24"/>
  <c r="F34" i="24"/>
  <c r="F55" i="24"/>
  <c r="F48" i="24"/>
  <c r="F32" i="24"/>
  <c r="F28" i="24"/>
  <c r="F20" i="24"/>
  <c r="F62" i="24"/>
  <c r="F59" i="24"/>
  <c r="F51" i="24"/>
  <c r="F47" i="24"/>
  <c r="F42" i="24"/>
  <c r="F39" i="24"/>
  <c r="F31" i="24"/>
  <c r="F27" i="24"/>
  <c r="F16" i="24"/>
  <c r="F30" i="24"/>
  <c r="Z49" i="24"/>
  <c r="F29" i="25"/>
  <c r="F35" i="25"/>
  <c r="Z39" i="25"/>
  <c r="X32" i="26"/>
  <c r="Z32" i="26" s="1"/>
  <c r="V42" i="28"/>
  <c r="N45" i="28"/>
  <c r="L45" i="28"/>
  <c r="N63" i="28"/>
  <c r="N99" i="28"/>
  <c r="F35" i="21"/>
  <c r="F29" i="21"/>
  <c r="F38" i="21"/>
  <c r="F31" i="21"/>
  <c r="Z18" i="22"/>
  <c r="V41" i="22"/>
  <c r="F49" i="22"/>
  <c r="F53" i="22"/>
  <c r="F57" i="22"/>
  <c r="R73" i="22"/>
  <c r="Z45" i="23"/>
  <c r="N49" i="23"/>
  <c r="J61" i="24"/>
  <c r="J57" i="24"/>
  <c r="J53" i="24"/>
  <c r="J41" i="24"/>
  <c r="J25" i="24"/>
  <c r="J19" i="24"/>
  <c r="J56" i="24"/>
  <c r="J46" i="24"/>
  <c r="J38" i="24"/>
  <c r="J30" i="24"/>
  <c r="J24" i="24"/>
  <c r="J14" i="24"/>
  <c r="N12" i="24"/>
  <c r="J73" i="24"/>
  <c r="J67" i="24"/>
  <c r="J63" i="24"/>
  <c r="J49" i="24"/>
  <c r="J43" i="24"/>
  <c r="J35" i="24"/>
  <c r="J23" i="24"/>
  <c r="J71" i="24"/>
  <c r="J65" i="24"/>
  <c r="J55" i="24"/>
  <c r="J45" i="24"/>
  <c r="J37" i="24"/>
  <c r="J33" i="24"/>
  <c r="J29" i="24"/>
  <c r="J76" i="24"/>
  <c r="J69" i="24"/>
  <c r="J59" i="24"/>
  <c r="J51" i="24"/>
  <c r="J47" i="24"/>
  <c r="J39" i="24"/>
  <c r="J31" i="24"/>
  <c r="J27" i="24"/>
  <c r="H16" i="24"/>
  <c r="J64" i="24"/>
  <c r="J58" i="24"/>
  <c r="J54" i="24"/>
  <c r="J50" i="24"/>
  <c r="J44" i="24"/>
  <c r="J36" i="24"/>
  <c r="J26" i="24"/>
  <c r="J18" i="24"/>
  <c r="F29" i="24"/>
  <c r="J34" i="24"/>
  <c r="F43" i="24"/>
  <c r="F52" i="24"/>
  <c r="L55" i="24"/>
  <c r="N55" i="24" s="1"/>
  <c r="F65" i="24"/>
  <c r="P16" i="25"/>
  <c r="X14" i="25"/>
  <c r="D51" i="26"/>
  <c r="N38" i="26"/>
  <c r="L38" i="26"/>
  <c r="Z35" i="27"/>
  <c r="Z55" i="28"/>
  <c r="X55" i="28"/>
  <c r="N27" i="29"/>
  <c r="L27" i="29"/>
  <c r="N33" i="29"/>
  <c r="L33" i="29"/>
  <c r="J22" i="23"/>
  <c r="J28" i="23"/>
  <c r="J32" i="23"/>
  <c r="J46" i="23"/>
  <c r="J50" i="23"/>
  <c r="J54" i="23"/>
  <c r="J64" i="23"/>
  <c r="J71" i="23"/>
  <c r="V16" i="24"/>
  <c r="V18" i="24"/>
  <c r="V22" i="24"/>
  <c r="R23" i="24"/>
  <c r="V34" i="24"/>
  <c r="R35" i="24"/>
  <c r="R40" i="24"/>
  <c r="V42" i="24"/>
  <c r="R43" i="24"/>
  <c r="R52" i="24"/>
  <c r="R60" i="24"/>
  <c r="V62" i="24"/>
  <c r="R63" i="24"/>
  <c r="J19" i="25"/>
  <c r="V21" i="25"/>
  <c r="R22" i="25"/>
  <c r="J25" i="25"/>
  <c r="R35" i="25"/>
  <c r="V37" i="25"/>
  <c r="R38" i="25"/>
  <c r="J39" i="25"/>
  <c r="V41" i="25"/>
  <c r="R42" i="25"/>
  <c r="V45" i="25"/>
  <c r="R51" i="25"/>
  <c r="L16" i="26"/>
  <c r="R19" i="26"/>
  <c r="F22" i="26"/>
  <c r="V25" i="26"/>
  <c r="R26" i="26"/>
  <c r="V29" i="26"/>
  <c r="J33" i="26"/>
  <c r="J37" i="26"/>
  <c r="J41" i="26"/>
  <c r="J45" i="26"/>
  <c r="R47" i="26"/>
  <c r="J51" i="26"/>
  <c r="R54" i="26"/>
  <c r="F14" i="27"/>
  <c r="V14" i="27"/>
  <c r="J22" i="27"/>
  <c r="F23" i="27"/>
  <c r="V26" i="27"/>
  <c r="R27" i="27"/>
  <c r="J28" i="27"/>
  <c r="V30" i="27"/>
  <c r="R31" i="27"/>
  <c r="V34" i="27"/>
  <c r="J38" i="27"/>
  <c r="V42" i="27"/>
  <c r="F46" i="27"/>
  <c r="V46" i="27"/>
  <c r="V48" i="27"/>
  <c r="F53" i="27"/>
  <c r="V53" i="27"/>
  <c r="N12" i="28"/>
  <c r="J14" i="28"/>
  <c r="J24" i="28"/>
  <c r="F25" i="28"/>
  <c r="R29" i="28"/>
  <c r="F32" i="28"/>
  <c r="R33" i="28"/>
  <c r="J36" i="28"/>
  <c r="F37" i="28"/>
  <c r="F41" i="28"/>
  <c r="R42" i="28"/>
  <c r="J44" i="28"/>
  <c r="R49" i="28"/>
  <c r="J50" i="28"/>
  <c r="J56" i="28"/>
  <c r="J64" i="28"/>
  <c r="R73" i="28"/>
  <c r="J74" i="28"/>
  <c r="R77" i="28"/>
  <c r="J78" i="28"/>
  <c r="R85" i="28"/>
  <c r="F88" i="28"/>
  <c r="R89" i="28"/>
  <c r="J90" i="28"/>
  <c r="F93" i="28"/>
  <c r="F97" i="28"/>
  <c r="D99" i="28"/>
  <c r="L99" i="28" s="1"/>
  <c r="T99" i="28"/>
  <c r="J100" i="28"/>
  <c r="R102" i="28"/>
  <c r="J106" i="28"/>
  <c r="R109" i="28"/>
  <c r="J42" i="29"/>
  <c r="J40" i="29"/>
  <c r="J34" i="29"/>
  <c r="J45" i="29"/>
  <c r="J38" i="29"/>
  <c r="F14" i="29"/>
  <c r="V14" i="29"/>
  <c r="J22" i="29"/>
  <c r="F23" i="29"/>
  <c r="R24" i="29"/>
  <c r="J26" i="29"/>
  <c r="V30" i="29"/>
  <c r="F32" i="29"/>
  <c r="X33" i="29"/>
  <c r="X18" i="30"/>
  <c r="Z18" i="30" s="1"/>
  <c r="N22" i="30"/>
  <c r="L22" i="30"/>
  <c r="F48" i="30"/>
  <c r="N52" i="30"/>
  <c r="N18" i="31"/>
  <c r="N25" i="31"/>
  <c r="N14" i="32"/>
  <c r="H12" i="32"/>
  <c r="J23" i="23"/>
  <c r="J35" i="23"/>
  <c r="J41" i="23"/>
  <c r="J47" i="23"/>
  <c r="J57" i="23"/>
  <c r="X12" i="24"/>
  <c r="V23" i="24"/>
  <c r="R24" i="24"/>
  <c r="V35" i="24"/>
  <c r="V43" i="24"/>
  <c r="R49" i="24"/>
  <c r="V55" i="24"/>
  <c r="R56" i="24"/>
  <c r="V63" i="24"/>
  <c r="R67" i="24"/>
  <c r="R73" i="24"/>
  <c r="V16" i="25"/>
  <c r="J18" i="25"/>
  <c r="V18" i="25"/>
  <c r="V22" i="25"/>
  <c r="R23" i="25"/>
  <c r="J26" i="25"/>
  <c r="J30" i="25"/>
  <c r="J34" i="25"/>
  <c r="V38" i="25"/>
  <c r="V42" i="25"/>
  <c r="R43" i="25"/>
  <c r="J44" i="25"/>
  <c r="J50" i="25"/>
  <c r="J54" i="25"/>
  <c r="R56" i="25"/>
  <c r="J60" i="25"/>
  <c r="R63" i="25"/>
  <c r="F14" i="26"/>
  <c r="V14" i="26"/>
  <c r="J22" i="26"/>
  <c r="F23" i="26"/>
  <c r="V26" i="26"/>
  <c r="R27" i="26"/>
  <c r="J28" i="26"/>
  <c r="F31" i="26"/>
  <c r="R32" i="26"/>
  <c r="F34" i="26"/>
  <c r="V34" i="26"/>
  <c r="R35" i="26"/>
  <c r="F38" i="26"/>
  <c r="V38" i="26"/>
  <c r="R39" i="26"/>
  <c r="F42" i="26"/>
  <c r="V42" i="26"/>
  <c r="R43" i="26"/>
  <c r="T47" i="26"/>
  <c r="R49" i="26"/>
  <c r="L12" i="27"/>
  <c r="P16" i="27"/>
  <c r="F18" i="27"/>
  <c r="R18" i="27"/>
  <c r="F19" i="27"/>
  <c r="V19" i="27"/>
  <c r="R20" i="27"/>
  <c r="J23" i="27"/>
  <c r="F24" i="27"/>
  <c r="V27" i="27"/>
  <c r="V31" i="27"/>
  <c r="R32" i="27"/>
  <c r="J33" i="27"/>
  <c r="F36" i="27"/>
  <c r="R37" i="27"/>
  <c r="F39" i="27"/>
  <c r="V39" i="27"/>
  <c r="R40" i="27"/>
  <c r="J41" i="27"/>
  <c r="P18" i="28"/>
  <c r="F20" i="28"/>
  <c r="R20" i="28"/>
  <c r="F21" i="28"/>
  <c r="R22" i="28"/>
  <c r="J25" i="28"/>
  <c r="F26" i="28"/>
  <c r="R30" i="28"/>
  <c r="R34" i="28"/>
  <c r="J37" i="28"/>
  <c r="F38" i="28"/>
  <c r="J41" i="28"/>
  <c r="F45" i="28"/>
  <c r="R46" i="28"/>
  <c r="J47" i="28"/>
  <c r="F54" i="28"/>
  <c r="R55" i="28"/>
  <c r="F57" i="28"/>
  <c r="R58" i="28"/>
  <c r="J59" i="28"/>
  <c r="F62" i="28"/>
  <c r="R63" i="28"/>
  <c r="F65" i="28"/>
  <c r="R66" i="28"/>
  <c r="J67" i="28"/>
  <c r="F70" i="28"/>
  <c r="F82" i="28"/>
  <c r="R86" i="28"/>
  <c r="J93" i="28"/>
  <c r="F94" i="28"/>
  <c r="J97" i="28"/>
  <c r="F99" i="28"/>
  <c r="D102" i="28"/>
  <c r="R104" i="28"/>
  <c r="L12" i="29"/>
  <c r="P16" i="29"/>
  <c r="F18" i="29"/>
  <c r="R18" i="29"/>
  <c r="F19" i="29"/>
  <c r="V19" i="29"/>
  <c r="R20" i="29"/>
  <c r="J23" i="29"/>
  <c r="F27" i="29"/>
  <c r="V27" i="29"/>
  <c r="R28" i="29"/>
  <c r="J29" i="29"/>
  <c r="J32" i="29"/>
  <c r="Z13" i="30"/>
  <c r="T12" i="30"/>
  <c r="F40" i="30"/>
  <c r="X52" i="30"/>
  <c r="Z52" i="30" s="1"/>
  <c r="F64" i="30"/>
  <c r="F79" i="30"/>
  <c r="Z14" i="31"/>
  <c r="T12" i="31"/>
  <c r="J18" i="31"/>
  <c r="L22" i="32"/>
  <c r="N22" i="32" s="1"/>
  <c r="N34" i="32"/>
  <c r="L34" i="32"/>
  <c r="R22" i="27"/>
  <c r="R35" i="27"/>
  <c r="R38" i="27"/>
  <c r="J39" i="28"/>
  <c r="J45" i="28"/>
  <c r="J51" i="28"/>
  <c r="J57" i="28"/>
  <c r="J65" i="28"/>
  <c r="J71" i="28"/>
  <c r="J75" i="28"/>
  <c r="J79" i="28"/>
  <c r="J83" i="28"/>
  <c r="J91" i="28"/>
  <c r="J95" i="28"/>
  <c r="J99" i="28"/>
  <c r="R40" i="29"/>
  <c r="R34" i="29"/>
  <c r="R31" i="29"/>
  <c r="R45" i="29"/>
  <c r="R33" i="29"/>
  <c r="R42" i="29"/>
  <c r="R36" i="29"/>
  <c r="T38" i="29"/>
  <c r="V21" i="29"/>
  <c r="R22" i="29"/>
  <c r="R26" i="29"/>
  <c r="F30" i="29"/>
  <c r="F40" i="29"/>
  <c r="L25" i="30"/>
  <c r="F32" i="30"/>
  <c r="X68" i="30"/>
  <c r="Z68" i="30" s="1"/>
  <c r="J52" i="31"/>
  <c r="Z27" i="32"/>
  <c r="R22" i="26"/>
  <c r="R45" i="26"/>
  <c r="R51" i="26"/>
  <c r="V16" i="27"/>
  <c r="V18" i="27"/>
  <c r="V22" i="27"/>
  <c r="R23" i="27"/>
  <c r="F27" i="27"/>
  <c r="R28" i="27"/>
  <c r="F31" i="27"/>
  <c r="V38" i="27"/>
  <c r="F44" i="27"/>
  <c r="V44" i="27"/>
  <c r="F50" i="27"/>
  <c r="V50" i="27"/>
  <c r="J28" i="28"/>
  <c r="J42" i="28"/>
  <c r="J48" i="28"/>
  <c r="J52" i="28"/>
  <c r="J60" i="28"/>
  <c r="J68" i="28"/>
  <c r="J72" i="28"/>
  <c r="J76" i="28"/>
  <c r="J80" i="28"/>
  <c r="J84" i="28"/>
  <c r="J102" i="28"/>
  <c r="J109" i="28"/>
  <c r="V33" i="29"/>
  <c r="V42" i="29"/>
  <c r="V36" i="29"/>
  <c r="F16" i="29"/>
  <c r="V16" i="29"/>
  <c r="V18" i="29"/>
  <c r="V22" i="29"/>
  <c r="R23" i="29"/>
  <c r="V26" i="29"/>
  <c r="V31" i="29"/>
  <c r="R32" i="29"/>
  <c r="F45" i="29"/>
  <c r="F92" i="30"/>
  <c r="F81" i="30"/>
  <c r="F69" i="30"/>
  <c r="F57" i="30"/>
  <c r="F45" i="30"/>
  <c r="F37" i="30"/>
  <c r="F29" i="30"/>
  <c r="F106" i="30"/>
  <c r="F99" i="30"/>
  <c r="F87" i="30"/>
  <c r="F84" i="30"/>
  <c r="F80" i="30"/>
  <c r="F75" i="30"/>
  <c r="F72" i="30"/>
  <c r="F56" i="30"/>
  <c r="F44" i="30"/>
  <c r="F36" i="30"/>
  <c r="F28" i="30"/>
  <c r="F94" i="30"/>
  <c r="F91" i="30"/>
  <c r="F83" i="30"/>
  <c r="F71" i="30"/>
  <c r="F66" i="30"/>
  <c r="F55" i="30"/>
  <c r="F43" i="30"/>
  <c r="F35" i="30"/>
  <c r="F90" i="30"/>
  <c r="F86" i="30"/>
  <c r="F77" i="30"/>
  <c r="F74" i="30"/>
  <c r="F61" i="30"/>
  <c r="F54" i="30"/>
  <c r="F42" i="30"/>
  <c r="F34" i="30"/>
  <c r="F93" i="30"/>
  <c r="F89" i="30"/>
  <c r="F68" i="30"/>
  <c r="F65" i="30"/>
  <c r="F50" i="30"/>
  <c r="F41" i="30"/>
  <c r="F33" i="30"/>
  <c r="F101" i="30"/>
  <c r="F95" i="30"/>
  <c r="F82" i="30"/>
  <c r="F70" i="30"/>
  <c r="F67" i="30"/>
  <c r="F63" i="30"/>
  <c r="F59" i="30"/>
  <c r="F47" i="30"/>
  <c r="F39" i="30"/>
  <c r="F31" i="30"/>
  <c r="F85" i="30"/>
  <c r="F78" i="30"/>
  <c r="F73" i="30"/>
  <c r="F62" i="30"/>
  <c r="F58" i="30"/>
  <c r="F53" i="30"/>
  <c r="F52" i="30"/>
  <c r="F46" i="30"/>
  <c r="F38" i="30"/>
  <c r="F30" i="30"/>
  <c r="H12" i="30"/>
  <c r="L12" i="30" s="1"/>
  <c r="N14" i="30"/>
  <c r="L14" i="30"/>
  <c r="Z25" i="31"/>
  <c r="J28" i="31"/>
  <c r="J48" i="31"/>
  <c r="Z53" i="31"/>
  <c r="Z18" i="32"/>
  <c r="H16" i="23"/>
  <c r="L16" i="23" s="1"/>
  <c r="J27" i="23"/>
  <c r="J31" i="23"/>
  <c r="J39" i="23"/>
  <c r="J45" i="23"/>
  <c r="P16" i="24"/>
  <c r="R18" i="24"/>
  <c r="R20" i="24"/>
  <c r="R28" i="24"/>
  <c r="X30" i="24"/>
  <c r="Z30" i="24" s="1"/>
  <c r="V31" i="24"/>
  <c r="R32" i="24"/>
  <c r="X38" i="24"/>
  <c r="Z38" i="24" s="1"/>
  <c r="V39" i="24"/>
  <c r="L40" i="24"/>
  <c r="N40" i="24" s="1"/>
  <c r="X46" i="24"/>
  <c r="Z46" i="24" s="1"/>
  <c r="V47" i="24"/>
  <c r="R48" i="24"/>
  <c r="V51" i="24"/>
  <c r="L52" i="24"/>
  <c r="L60" i="24"/>
  <c r="N60" i="24" s="1"/>
  <c r="R69" i="24"/>
  <c r="R76" i="24"/>
  <c r="J22" i="25"/>
  <c r="V26" i="25"/>
  <c r="R27" i="25"/>
  <c r="X29" i="25"/>
  <c r="Z29" i="25" s="1"/>
  <c r="V30" i="25"/>
  <c r="R31" i="25"/>
  <c r="X33" i="25"/>
  <c r="Z33" i="25" s="1"/>
  <c r="V34" i="25"/>
  <c r="L35" i="25"/>
  <c r="J38" i="25"/>
  <c r="J42" i="25"/>
  <c r="R44" i="25"/>
  <c r="V46" i="25"/>
  <c r="R47" i="25"/>
  <c r="L51" i="25"/>
  <c r="R54" i="25"/>
  <c r="J56" i="25"/>
  <c r="F16" i="26"/>
  <c r="V16" i="26"/>
  <c r="J18" i="26"/>
  <c r="V18" i="26"/>
  <c r="L19" i="26"/>
  <c r="N19" i="26" s="1"/>
  <c r="V22" i="26"/>
  <c r="R23" i="26"/>
  <c r="J26" i="26"/>
  <c r="F27" i="26"/>
  <c r="R28" i="26"/>
  <c r="F30" i="26"/>
  <c r="R31" i="26"/>
  <c r="F35" i="26"/>
  <c r="F39" i="26"/>
  <c r="F43" i="26"/>
  <c r="X12" i="27"/>
  <c r="H16" i="27"/>
  <c r="F20" i="27"/>
  <c r="V23" i="27"/>
  <c r="R24" i="27"/>
  <c r="J27" i="27"/>
  <c r="J31" i="27"/>
  <c r="F32" i="27"/>
  <c r="R33" i="27"/>
  <c r="F35" i="27"/>
  <c r="V35" i="27"/>
  <c r="R36" i="27"/>
  <c r="F40" i="27"/>
  <c r="R41" i="27"/>
  <c r="X44" i="27"/>
  <c r="H18" i="28"/>
  <c r="L18" i="28" s="1"/>
  <c r="F22" i="28"/>
  <c r="J29" i="28"/>
  <c r="F30" i="28"/>
  <c r="J33" i="28"/>
  <c r="F34" i="28"/>
  <c r="X40" i="28"/>
  <c r="L42" i="28"/>
  <c r="N42" i="28" s="1"/>
  <c r="F46" i="28"/>
  <c r="R47" i="28"/>
  <c r="J49" i="28"/>
  <c r="F53" i="28"/>
  <c r="R54" i="28"/>
  <c r="J55" i="28"/>
  <c r="F58" i="28"/>
  <c r="R59" i="28"/>
  <c r="F61" i="28"/>
  <c r="R62" i="28"/>
  <c r="J63" i="28"/>
  <c r="F66" i="28"/>
  <c r="R67" i="28"/>
  <c r="F69" i="28"/>
  <c r="R70" i="28"/>
  <c r="J73" i="28"/>
  <c r="J77" i="28"/>
  <c r="F81" i="28"/>
  <c r="R82" i="28"/>
  <c r="J85" i="28"/>
  <c r="F86" i="28"/>
  <c r="J89" i="28"/>
  <c r="X92" i="28"/>
  <c r="Z92" i="28" s="1"/>
  <c r="X96" i="28"/>
  <c r="Z96" i="28" s="1"/>
  <c r="X12" i="29"/>
  <c r="H38" i="29"/>
  <c r="F20" i="29"/>
  <c r="V23" i="29"/>
  <c r="F28" i="29"/>
  <c r="R29" i="29"/>
  <c r="F31" i="29"/>
  <c r="V32" i="29"/>
  <c r="V34" i="29"/>
  <c r="Z21" i="30"/>
  <c r="Z27" i="30"/>
  <c r="D50" i="30"/>
  <c r="Z79" i="30"/>
  <c r="Z82" i="30"/>
  <c r="N92" i="30"/>
  <c r="P12" i="31"/>
  <c r="X15" i="31"/>
  <c r="X29" i="31"/>
  <c r="T12" i="32"/>
  <c r="D12" i="32"/>
  <c r="L15" i="32"/>
  <c r="N15" i="32" s="1"/>
  <c r="Z17" i="32"/>
  <c r="X26" i="32"/>
  <c r="Z26" i="32" s="1"/>
  <c r="R16" i="24"/>
  <c r="R21" i="24"/>
  <c r="R29" i="24"/>
  <c r="R33" i="24"/>
  <c r="R37" i="24"/>
  <c r="R42" i="24"/>
  <c r="R45" i="24"/>
  <c r="R62" i="24"/>
  <c r="R65" i="24"/>
  <c r="R71" i="24"/>
  <c r="X12" i="26"/>
  <c r="L18" i="26"/>
  <c r="N18" i="26" s="1"/>
  <c r="X18" i="26"/>
  <c r="Z18" i="26" s="1"/>
  <c r="R24" i="26"/>
  <c r="Z12" i="27"/>
  <c r="R14" i="27"/>
  <c r="Z16" i="27"/>
  <c r="F21" i="27"/>
  <c r="V24" i="27"/>
  <c r="R25" i="27"/>
  <c r="F28" i="27"/>
  <c r="V28" i="27"/>
  <c r="R29" i="27"/>
  <c r="V36" i="27"/>
  <c r="R46" i="27"/>
  <c r="R53" i="27"/>
  <c r="J18" i="28"/>
  <c r="J22" i="28"/>
  <c r="J30" i="28"/>
  <c r="J34" i="28"/>
  <c r="J40" i="28"/>
  <c r="J46" i="28"/>
  <c r="J58" i="28"/>
  <c r="J66" i="28"/>
  <c r="J86" i="28"/>
  <c r="J92" i="28"/>
  <c r="J96" i="28"/>
  <c r="P99" i="28"/>
  <c r="X99" i="28" s="1"/>
  <c r="J104" i="28"/>
  <c r="Z12" i="29"/>
  <c r="R14" i="29"/>
  <c r="Z16" i="29"/>
  <c r="F21" i="29"/>
  <c r="V40" i="29"/>
  <c r="V45" i="29"/>
  <c r="F76" i="30"/>
  <c r="F103" i="30"/>
  <c r="J47" i="31"/>
  <c r="J41" i="31"/>
  <c r="J33" i="31"/>
  <c r="J25" i="31"/>
  <c r="J21" i="31"/>
  <c r="J62" i="31"/>
  <c r="J56" i="31"/>
  <c r="J50" i="31"/>
  <c r="J38" i="31"/>
  <c r="J26" i="31"/>
  <c r="J20" i="31"/>
  <c r="N12" i="31"/>
  <c r="J53" i="31"/>
  <c r="J43" i="31"/>
  <c r="J35" i="31"/>
  <c r="J29" i="31"/>
  <c r="J19" i="31"/>
  <c r="J67" i="31"/>
  <c r="J60" i="31"/>
  <c r="J46" i="31"/>
  <c r="J40" i="31"/>
  <c r="J32" i="31"/>
  <c r="J55" i="31"/>
  <c r="J49" i="31"/>
  <c r="J45" i="31"/>
  <c r="J37" i="31"/>
  <c r="J51" i="31"/>
  <c r="J39" i="31"/>
  <c r="J31" i="31"/>
  <c r="J27" i="31"/>
  <c r="J23" i="31"/>
  <c r="J64" i="31"/>
  <c r="J58" i="31"/>
  <c r="J54" i="31"/>
  <c r="J44" i="31"/>
  <c r="J36" i="31"/>
  <c r="J30" i="31"/>
  <c r="H23" i="31"/>
  <c r="N30" i="35"/>
  <c r="L30" i="35"/>
  <c r="Z34" i="35"/>
  <c r="X34" i="35"/>
  <c r="R22" i="24"/>
  <c r="R34" i="24"/>
  <c r="R14" i="26"/>
  <c r="R25" i="26"/>
  <c r="R29" i="26"/>
  <c r="R34" i="26"/>
  <c r="R38" i="26"/>
  <c r="L16" i="27"/>
  <c r="R19" i="27"/>
  <c r="F22" i="27"/>
  <c r="V25" i="27"/>
  <c r="R26" i="27"/>
  <c r="V29" i="27"/>
  <c r="R30" i="27"/>
  <c r="F33" i="27"/>
  <c r="V33" i="27"/>
  <c r="R34" i="27"/>
  <c r="F38" i="27"/>
  <c r="R39" i="27"/>
  <c r="R42" i="27"/>
  <c r="J23" i="28"/>
  <c r="J31" i="28"/>
  <c r="J35" i="28"/>
  <c r="J43" i="28"/>
  <c r="J53" i="28"/>
  <c r="J61" i="28"/>
  <c r="J69" i="28"/>
  <c r="J81" i="28"/>
  <c r="F33" i="29"/>
  <c r="F42" i="29"/>
  <c r="F36" i="29"/>
  <c r="L16" i="29"/>
  <c r="R19" i="29"/>
  <c r="F22" i="29"/>
  <c r="F26" i="29"/>
  <c r="R27" i="29"/>
  <c r="F29" i="29"/>
  <c r="V29" i="29"/>
  <c r="R30" i="29"/>
  <c r="F38" i="29"/>
  <c r="F88" i="30"/>
  <c r="N19" i="35"/>
  <c r="L19" i="35"/>
  <c r="P12" i="30"/>
  <c r="N61" i="30"/>
  <c r="Z75" i="30"/>
  <c r="N77" i="30"/>
  <c r="L15" i="31"/>
  <c r="X15" i="32"/>
  <c r="Z15" i="32" s="1"/>
  <c r="L19" i="32"/>
  <c r="N19" i="32" s="1"/>
  <c r="X23" i="32"/>
  <c r="Z23" i="32" s="1"/>
  <c r="Z31" i="32"/>
  <c r="N36" i="32"/>
  <c r="L61" i="32"/>
  <c r="N61" i="32" s="1"/>
  <c r="F140" i="35"/>
  <c r="F132" i="35"/>
  <c r="F116" i="35"/>
  <c r="F104" i="35"/>
  <c r="F100" i="35"/>
  <c r="F88" i="35"/>
  <c r="F76" i="35"/>
  <c r="F68" i="35"/>
  <c r="F60" i="35"/>
  <c r="F122" i="35"/>
  <c r="F119" i="35"/>
  <c r="F110" i="35"/>
  <c r="F107" i="35"/>
  <c r="F99" i="35"/>
  <c r="F95" i="35"/>
  <c r="F75" i="35"/>
  <c r="F67" i="35"/>
  <c r="F59" i="35"/>
  <c r="F147" i="35"/>
  <c r="F142" i="35"/>
  <c r="F137" i="35"/>
  <c r="F125" i="35"/>
  <c r="F118" i="35"/>
  <c r="F106" i="35"/>
  <c r="F98" i="35"/>
  <c r="F94" i="35"/>
  <c r="D84" i="35"/>
  <c r="F82" i="35"/>
  <c r="F74" i="35"/>
  <c r="F66" i="35"/>
  <c r="F58" i="35"/>
  <c r="F151" i="35"/>
  <c r="F128" i="35"/>
  <c r="F121" i="35"/>
  <c r="F112" i="35"/>
  <c r="F109" i="35"/>
  <c r="F97" i="35"/>
  <c r="F93" i="35"/>
  <c r="F81" i="35"/>
  <c r="F73" i="35"/>
  <c r="F65" i="35"/>
  <c r="F145" i="35"/>
  <c r="F139" i="35"/>
  <c r="F136" i="35"/>
  <c r="F131" i="35"/>
  <c r="F124" i="35"/>
  <c r="F115" i="35"/>
  <c r="F103" i="35"/>
  <c r="F92" i="35"/>
  <c r="F87" i="35"/>
  <c r="F86" i="35"/>
  <c r="F80" i="35"/>
  <c r="F72" i="35"/>
  <c r="F64" i="35"/>
  <c r="F129" i="35"/>
  <c r="F123" i="35"/>
  <c r="F120" i="35"/>
  <c r="F113" i="35"/>
  <c r="F108" i="35"/>
  <c r="F102" i="35"/>
  <c r="F61" i="35"/>
  <c r="F135" i="35"/>
  <c r="F130" i="35"/>
  <c r="F90" i="35"/>
  <c r="F57" i="35"/>
  <c r="F146" i="35"/>
  <c r="F141" i="35"/>
  <c r="F114" i="35"/>
  <c r="F69" i="35"/>
  <c r="F62" i="35"/>
  <c r="F91" i="35"/>
  <c r="F77" i="35"/>
  <c r="F126" i="35"/>
  <c r="F117" i="35"/>
  <c r="F105" i="35"/>
  <c r="F78" i="35"/>
  <c r="F138" i="35"/>
  <c r="F133" i="35"/>
  <c r="F127" i="35"/>
  <c r="F111" i="35"/>
  <c r="F101" i="35"/>
  <c r="F96" i="35"/>
  <c r="F71" i="35"/>
  <c r="N28" i="35"/>
  <c r="L28" i="35"/>
  <c r="X145" i="35"/>
  <c r="Z145" i="35" s="1"/>
  <c r="P144" i="35"/>
  <c r="L32" i="36"/>
  <c r="N32" i="36" s="1"/>
  <c r="L35" i="32"/>
  <c r="N35" i="32" s="1"/>
  <c r="X36" i="32"/>
  <c r="Z36" i="32" s="1"/>
  <c r="N80" i="32"/>
  <c r="L80" i="32"/>
  <c r="N15" i="35"/>
  <c r="Z87" i="35"/>
  <c r="D12" i="31"/>
  <c r="P12" i="32"/>
  <c r="L32" i="32"/>
  <c r="N32" i="32" s="1"/>
  <c r="L92" i="32"/>
  <c r="Z106" i="32"/>
  <c r="V57" i="33"/>
  <c r="V52" i="33"/>
  <c r="V50" i="33"/>
  <c r="V46" i="33"/>
  <c r="V38" i="33"/>
  <c r="V26" i="33"/>
  <c r="T21" i="33"/>
  <c r="V45" i="33"/>
  <c r="V37" i="33"/>
  <c r="V25" i="33"/>
  <c r="V40" i="33"/>
  <c r="V32" i="33"/>
  <c r="V24" i="33"/>
  <c r="Z12" i="33"/>
  <c r="V39" i="33"/>
  <c r="V31" i="33"/>
  <c r="V19" i="33"/>
  <c r="V41" i="33"/>
  <c r="V33" i="33"/>
  <c r="V29" i="33"/>
  <c r="V44" i="33"/>
  <c r="V36" i="33"/>
  <c r="V28" i="33"/>
  <c r="N16" i="33"/>
  <c r="L16" i="33"/>
  <c r="Z18" i="33"/>
  <c r="V30" i="33"/>
  <c r="V34" i="33"/>
  <c r="N14" i="35"/>
  <c r="L14" i="35"/>
  <c r="X15" i="35"/>
  <c r="Z15" i="35" s="1"/>
  <c r="N68" i="36"/>
  <c r="L68" i="36"/>
  <c r="Z35" i="32"/>
  <c r="L40" i="32"/>
  <c r="N92" i="32"/>
  <c r="Z103" i="32"/>
  <c r="N117" i="32"/>
  <c r="Z23" i="33"/>
  <c r="H12" i="35"/>
  <c r="L22" i="35"/>
  <c r="N22" i="35" s="1"/>
  <c r="X23" i="35"/>
  <c r="Z23" i="35" s="1"/>
  <c r="Z33" i="35"/>
  <c r="X33" i="35"/>
  <c r="F70" i="35"/>
  <c r="N117" i="35"/>
  <c r="L120" i="35"/>
  <c r="N120" i="35" s="1"/>
  <c r="N40" i="32"/>
  <c r="N96" i="32"/>
  <c r="D12" i="33"/>
  <c r="X27" i="35"/>
  <c r="Z27" i="35" s="1"/>
  <c r="L29" i="35"/>
  <c r="N29" i="35" s="1"/>
  <c r="L35" i="35"/>
  <c r="N35" i="35"/>
  <c r="N54" i="35"/>
  <c r="L54" i="35"/>
  <c r="F63" i="35"/>
  <c r="F79" i="35"/>
  <c r="Z55" i="37"/>
  <c r="X55" i="37"/>
  <c r="L31" i="32"/>
  <c r="Z61" i="32"/>
  <c r="Z62" i="32"/>
  <c r="N72" i="32"/>
  <c r="H12" i="33"/>
  <c r="N13" i="33"/>
  <c r="L23" i="33"/>
  <c r="N23" i="33" s="1"/>
  <c r="X39" i="33"/>
  <c r="L41" i="33"/>
  <c r="N41" i="33" s="1"/>
  <c r="V42" i="33"/>
  <c r="N16" i="35"/>
  <c r="Z32" i="35"/>
  <c r="X32" i="35"/>
  <c r="N38" i="35"/>
  <c r="N27" i="32"/>
  <c r="X13" i="33"/>
  <c r="P12" i="33"/>
  <c r="Z39" i="33"/>
  <c r="T12" i="35"/>
  <c r="P12" i="35"/>
  <c r="X16" i="35"/>
  <c r="Z16" i="35" s="1"/>
  <c r="X18" i="35"/>
  <c r="Z18" i="35" s="1"/>
  <c r="Z35" i="35"/>
  <c r="X35" i="35"/>
  <c r="F89" i="35"/>
  <c r="F134" i="35"/>
  <c r="X141" i="35"/>
  <c r="Z141" i="35" s="1"/>
  <c r="L22" i="36"/>
  <c r="N22" i="36" s="1"/>
  <c r="X82" i="32"/>
  <c r="X94" i="32"/>
  <c r="L96" i="32"/>
  <c r="L100" i="32"/>
  <c r="N100" i="32" s="1"/>
  <c r="X116" i="32"/>
  <c r="L13" i="33"/>
  <c r="Z57" i="35"/>
  <c r="Z103" i="35"/>
  <c r="L105" i="35"/>
  <c r="L117" i="35"/>
  <c r="Z131" i="35"/>
  <c r="D30" i="36"/>
  <c r="F34" i="36"/>
  <c r="V38" i="36"/>
  <c r="F46" i="36"/>
  <c r="P12" i="39"/>
  <c r="X14" i="39"/>
  <c r="Z116" i="32"/>
  <c r="X36" i="35"/>
  <c r="Z36" i="35" s="1"/>
  <c r="L40" i="35"/>
  <c r="N96" i="35"/>
  <c r="X139" i="35"/>
  <c r="T144" i="35"/>
  <c r="F30" i="36"/>
  <c r="N62" i="36"/>
  <c r="P12" i="37"/>
  <c r="X15" i="37"/>
  <c r="Z28" i="35"/>
  <c r="Z43" i="35"/>
  <c r="Z44" i="35"/>
  <c r="N48" i="35"/>
  <c r="R71" i="36"/>
  <c r="R79" i="36"/>
  <c r="R87" i="36"/>
  <c r="R70" i="36"/>
  <c r="R65" i="36"/>
  <c r="R61" i="36"/>
  <c r="R58" i="36"/>
  <c r="R42" i="36"/>
  <c r="R37" i="36"/>
  <c r="R73" i="36"/>
  <c r="R69" i="36"/>
  <c r="R66" i="36"/>
  <c r="R62" i="36"/>
  <c r="R57" i="36"/>
  <c r="R83" i="36"/>
  <c r="R80" i="36"/>
  <c r="R77" i="36"/>
  <c r="R72" i="36"/>
  <c r="R56" i="36"/>
  <c r="R53" i="36"/>
  <c r="R55" i="36"/>
  <c r="R49" i="36"/>
  <c r="R38" i="36"/>
  <c r="R35" i="36"/>
  <c r="R46" i="36"/>
  <c r="R34" i="36"/>
  <c r="R32" i="36"/>
  <c r="P30" i="36"/>
  <c r="R30" i="36" s="1"/>
  <c r="R82" i="36"/>
  <c r="R63" i="36"/>
  <c r="R54" i="36"/>
  <c r="R45" i="36"/>
  <c r="R44" i="36"/>
  <c r="R43" i="36"/>
  <c r="R74" i="36"/>
  <c r="R68" i="36"/>
  <c r="R64" i="36"/>
  <c r="R60" i="36"/>
  <c r="R59" i="36"/>
  <c r="R33" i="36"/>
  <c r="R28" i="36"/>
  <c r="X12" i="36"/>
  <c r="R52" i="36"/>
  <c r="R51" i="36"/>
  <c r="R48" i="36"/>
  <c r="R75" i="36"/>
  <c r="R67" i="36"/>
  <c r="R78" i="36"/>
  <c r="R76" i="36"/>
  <c r="T30" i="36"/>
  <c r="Z32" i="36"/>
  <c r="V37" i="36"/>
  <c r="V41" i="36"/>
  <c r="R47" i="36"/>
  <c r="N34" i="37"/>
  <c r="L34" i="37"/>
  <c r="N55" i="37"/>
  <c r="L55" i="37"/>
  <c r="L25" i="35"/>
  <c r="X31" i="35"/>
  <c r="Z31" i="35" s="1"/>
  <c r="N39" i="35"/>
  <c r="X52" i="35"/>
  <c r="Z112" i="35"/>
  <c r="Z128" i="35"/>
  <c r="L15" i="36"/>
  <c r="N16" i="36"/>
  <c r="V30" i="36"/>
  <c r="R40" i="36"/>
  <c r="R50" i="36"/>
  <c r="X22" i="37"/>
  <c r="Z22" i="37" s="1"/>
  <c r="L109" i="32"/>
  <c r="L115" i="32"/>
  <c r="N115" i="32" s="1"/>
  <c r="L18" i="33"/>
  <c r="N18" i="33" s="1"/>
  <c r="L48" i="33"/>
  <c r="N47" i="35"/>
  <c r="Z51" i="35"/>
  <c r="Z52" i="35"/>
  <c r="X87" i="35"/>
  <c r="L108" i="35"/>
  <c r="L145" i="35"/>
  <c r="N145" i="35" s="1"/>
  <c r="D144" i="35"/>
  <c r="H144" i="35"/>
  <c r="L146" i="35"/>
  <c r="N146" i="35" s="1"/>
  <c r="F75" i="36"/>
  <c r="F78" i="36"/>
  <c r="F74" i="36"/>
  <c r="F82" i="36"/>
  <c r="F73" i="36"/>
  <c r="F69" i="36"/>
  <c r="F60" i="36"/>
  <c r="F57" i="36"/>
  <c r="F45" i="36"/>
  <c r="F41" i="36"/>
  <c r="F87" i="36"/>
  <c r="F68" i="36"/>
  <c r="F65" i="36"/>
  <c r="F61" i="36"/>
  <c r="F79" i="36"/>
  <c r="F76" i="36"/>
  <c r="F64" i="36"/>
  <c r="F55" i="36"/>
  <c r="F72" i="36"/>
  <c r="F67" i="36"/>
  <c r="F66" i="36"/>
  <c r="F80" i="36"/>
  <c r="F77" i="36"/>
  <c r="F42" i="36"/>
  <c r="F33" i="36"/>
  <c r="F32" i="36"/>
  <c r="F51" i="36"/>
  <c r="F50" i="36"/>
  <c r="F40" i="36"/>
  <c r="F47" i="36"/>
  <c r="F39" i="36"/>
  <c r="F38" i="36"/>
  <c r="F37" i="36"/>
  <c r="F36" i="36"/>
  <c r="F27" i="36"/>
  <c r="F56" i="36"/>
  <c r="F35" i="36"/>
  <c r="F63" i="36"/>
  <c r="F83" i="36"/>
  <c r="F62" i="36"/>
  <c r="F49" i="36"/>
  <c r="N14" i="36"/>
  <c r="N15" i="36"/>
  <c r="V87" i="36"/>
  <c r="V82" i="36"/>
  <c r="V76" i="36"/>
  <c r="V64" i="36"/>
  <c r="V60" i="36"/>
  <c r="V52" i="36"/>
  <c r="V36" i="36"/>
  <c r="V80" i="36"/>
  <c r="V72" i="36"/>
  <c r="V68" i="36"/>
  <c r="V56" i="36"/>
  <c r="V79" i="36"/>
  <c r="V71" i="36"/>
  <c r="V59" i="36"/>
  <c r="V55" i="36"/>
  <c r="V62" i="36"/>
  <c r="V46" i="36"/>
  <c r="V34" i="36"/>
  <c r="V83" i="36"/>
  <c r="V73" i="36"/>
  <c r="V70" i="36"/>
  <c r="V63" i="36"/>
  <c r="V58" i="36"/>
  <c r="V54" i="36"/>
  <c r="V53" i="36"/>
  <c r="V45" i="36"/>
  <c r="V44" i="36"/>
  <c r="V43" i="36"/>
  <c r="V33" i="36"/>
  <c r="V74" i="36"/>
  <c r="V51" i="36"/>
  <c r="V42" i="36"/>
  <c r="V28" i="36"/>
  <c r="Z12" i="36"/>
  <c r="V66" i="36"/>
  <c r="V61" i="36"/>
  <c r="V48" i="36"/>
  <c r="V47" i="36"/>
  <c r="V27" i="36"/>
  <c r="V77" i="36"/>
  <c r="V75" i="36"/>
  <c r="V69" i="36"/>
  <c r="V67" i="36"/>
  <c r="V65" i="36"/>
  <c r="V57" i="36"/>
  <c r="V78" i="36"/>
  <c r="V50" i="36"/>
  <c r="V49" i="36"/>
  <c r="R36" i="36"/>
  <c r="V40" i="36"/>
  <c r="F44" i="36"/>
  <c r="X55" i="36"/>
  <c r="Z55" i="36" s="1"/>
  <c r="F59" i="36"/>
  <c r="H114" i="32"/>
  <c r="N57" i="35"/>
  <c r="X105" i="35"/>
  <c r="X117" i="35"/>
  <c r="H12" i="36"/>
  <c r="X17" i="36"/>
  <c r="Z17" i="36" s="1"/>
  <c r="Z19" i="36"/>
  <c r="L23" i="36"/>
  <c r="R39" i="36"/>
  <c r="F43" i="36"/>
  <c r="L49" i="36"/>
  <c r="N49" i="36" s="1"/>
  <c r="F53" i="36"/>
  <c r="F54" i="36"/>
  <c r="F58" i="36"/>
  <c r="Z30" i="37"/>
  <c r="X30" i="37"/>
  <c r="N25" i="39"/>
  <c r="Z15" i="37"/>
  <c r="N27" i="37"/>
  <c r="Z85" i="37"/>
  <c r="Z14" i="39"/>
  <c r="N83" i="36"/>
  <c r="H82" i="36"/>
  <c r="T12" i="37"/>
  <c r="N56" i="37"/>
  <c r="Z90" i="37"/>
  <c r="D100" i="37"/>
  <c r="L101" i="37"/>
  <c r="N102" i="37"/>
  <c r="L102" i="37"/>
  <c r="F70" i="39"/>
  <c r="F67" i="39"/>
  <c r="F62" i="39"/>
  <c r="F58" i="39"/>
  <c r="F55" i="39"/>
  <c r="F66" i="39"/>
  <c r="F54" i="39"/>
  <c r="F49" i="39"/>
  <c r="F72" i="39"/>
  <c r="F69" i="39"/>
  <c r="F71" i="39"/>
  <c r="F63" i="39"/>
  <c r="F59" i="39"/>
  <c r="F75" i="39"/>
  <c r="F61" i="39"/>
  <c r="F60" i="39"/>
  <c r="F51" i="39"/>
  <c r="F50" i="39"/>
  <c r="F37" i="39"/>
  <c r="F33" i="39"/>
  <c r="D23" i="39"/>
  <c r="F21" i="39"/>
  <c r="F64" i="39"/>
  <c r="F57" i="39"/>
  <c r="F43" i="39"/>
  <c r="F32" i="39"/>
  <c r="F20" i="39"/>
  <c r="L12" i="39"/>
  <c r="F65" i="39"/>
  <c r="F48" i="39"/>
  <c r="F31" i="39"/>
  <c r="F26" i="39"/>
  <c r="F25" i="39"/>
  <c r="F19" i="39"/>
  <c r="F73" i="39"/>
  <c r="F45" i="39"/>
  <c r="F42" i="39"/>
  <c r="F30" i="39"/>
  <c r="F79" i="39"/>
  <c r="F68" i="39"/>
  <c r="F53" i="39"/>
  <c r="F39" i="39"/>
  <c r="F35" i="39"/>
  <c r="F27" i="39"/>
  <c r="F18" i="39"/>
  <c r="F52" i="39"/>
  <c r="F46" i="39"/>
  <c r="F38" i="39"/>
  <c r="F34" i="39"/>
  <c r="F23" i="39"/>
  <c r="T12" i="39"/>
  <c r="F28" i="39"/>
  <c r="F47" i="39"/>
  <c r="Z49" i="39"/>
  <c r="F56" i="39"/>
  <c r="L82" i="36"/>
  <c r="D12" i="37"/>
  <c r="X14" i="37"/>
  <c r="L18" i="37"/>
  <c r="N18" i="37" s="1"/>
  <c r="Z81" i="37"/>
  <c r="N101" i="37"/>
  <c r="X13" i="39"/>
  <c r="L18" i="39"/>
  <c r="N18" i="39" s="1"/>
  <c r="J28" i="39"/>
  <c r="Z36" i="39"/>
  <c r="X36" i="39"/>
  <c r="X45" i="39"/>
  <c r="Z45" i="39" s="1"/>
  <c r="N47" i="39"/>
  <c r="L47" i="39"/>
  <c r="N53" i="39"/>
  <c r="L53" i="39"/>
  <c r="J70" i="39"/>
  <c r="X82" i="36"/>
  <c r="H12" i="37"/>
  <c r="Z14" i="37"/>
  <c r="Z27" i="37"/>
  <c r="X101" i="37"/>
  <c r="P100" i="37"/>
  <c r="Z13" i="39"/>
  <c r="J53" i="39"/>
  <c r="J55" i="39"/>
  <c r="V107" i="43"/>
  <c r="V103" i="43"/>
  <c r="V99" i="43"/>
  <c r="V95" i="43"/>
  <c r="V91" i="43"/>
  <c r="V83" i="43"/>
  <c r="V75" i="43"/>
  <c r="V71" i="43"/>
  <c r="V67" i="43"/>
  <c r="V59" i="43"/>
  <c r="V47" i="43"/>
  <c r="V39" i="43"/>
  <c r="V116" i="43"/>
  <c r="V110" i="43"/>
  <c r="V106" i="43"/>
  <c r="V102" i="43"/>
  <c r="V98" i="43"/>
  <c r="V94" i="43"/>
  <c r="V86" i="43"/>
  <c r="V78" i="43"/>
  <c r="V70" i="43"/>
  <c r="V66" i="43"/>
  <c r="V109" i="43"/>
  <c r="V105" i="43"/>
  <c r="V101" i="43"/>
  <c r="V97" i="43"/>
  <c r="V93" i="43"/>
  <c r="V85" i="43"/>
  <c r="V77" i="43"/>
  <c r="V69" i="43"/>
  <c r="V65" i="43"/>
  <c r="V53" i="43"/>
  <c r="V45" i="43"/>
  <c r="V112" i="43"/>
  <c r="V104" i="43"/>
  <c r="V88" i="43"/>
  <c r="V80" i="43"/>
  <c r="V68" i="43"/>
  <c r="V64" i="43"/>
  <c r="V52" i="43"/>
  <c r="V44" i="43"/>
  <c r="V111" i="43"/>
  <c r="V87" i="43"/>
  <c r="V79" i="43"/>
  <c r="V63" i="43"/>
  <c r="V51" i="43"/>
  <c r="V43" i="43"/>
  <c r="V113" i="43"/>
  <c r="V89" i="43"/>
  <c r="V81" i="43"/>
  <c r="V73" i="43"/>
  <c r="V61" i="43"/>
  <c r="V100" i="43"/>
  <c r="V60" i="43"/>
  <c r="V90" i="43"/>
  <c r="V82" i="43"/>
  <c r="V74" i="43"/>
  <c r="V48" i="43"/>
  <c r="V108" i="43"/>
  <c r="V72" i="43"/>
  <c r="V58" i="43"/>
  <c r="V54" i="43"/>
  <c r="V49" i="43"/>
  <c r="V40" i="43"/>
  <c r="V92" i="43"/>
  <c r="V84" i="43"/>
  <c r="V76" i="43"/>
  <c r="T56" i="43"/>
  <c r="V50" i="43"/>
  <c r="V120" i="43"/>
  <c r="V96" i="43"/>
  <c r="V62" i="43"/>
  <c r="V42" i="43"/>
  <c r="V114" i="43"/>
  <c r="V38" i="43"/>
  <c r="V46" i="43"/>
  <c r="V41" i="43"/>
  <c r="X66" i="36"/>
  <c r="Z66" i="36" s="1"/>
  <c r="Z70" i="36"/>
  <c r="L77" i="36"/>
  <c r="N23" i="37"/>
  <c r="X24" i="37"/>
  <c r="Z24" i="37" s="1"/>
  <c r="X32" i="37"/>
  <c r="L72" i="37"/>
  <c r="X81" i="37"/>
  <c r="N95" i="37"/>
  <c r="X97" i="37"/>
  <c r="Z97" i="37" s="1"/>
  <c r="F41" i="39"/>
  <c r="N68" i="39"/>
  <c r="P29" i="41"/>
  <c r="R34" i="42"/>
  <c r="Z62" i="36"/>
  <c r="L66" i="36"/>
  <c r="N66" i="36" s="1"/>
  <c r="Z82" i="36"/>
  <c r="Z32" i="37"/>
  <c r="L36" i="37"/>
  <c r="N36" i="37" s="1"/>
  <c r="X95" i="37"/>
  <c r="Z95" i="37" s="1"/>
  <c r="Z101" i="37"/>
  <c r="T100" i="37"/>
  <c r="F40" i="39"/>
  <c r="L53" i="36"/>
  <c r="N53" i="36" s="1"/>
  <c r="N77" i="36"/>
  <c r="N15" i="37"/>
  <c r="X16" i="37"/>
  <c r="Z16" i="37" s="1"/>
  <c r="L20" i="37"/>
  <c r="N20" i="37" s="1"/>
  <c r="Z23" i="37"/>
  <c r="N28" i="37"/>
  <c r="X78" i="37"/>
  <c r="Z78" i="37" s="1"/>
  <c r="L81" i="37"/>
  <c r="N83" i="37"/>
  <c r="L97" i="37"/>
  <c r="J84" i="39"/>
  <c r="J77" i="39"/>
  <c r="J67" i="39"/>
  <c r="J72" i="39"/>
  <c r="J66" i="39"/>
  <c r="J54" i="39"/>
  <c r="J69" i="39"/>
  <c r="J65" i="39"/>
  <c r="J61" i="39"/>
  <c r="J57" i="39"/>
  <c r="J51" i="39"/>
  <c r="J68" i="39"/>
  <c r="J79" i="39"/>
  <c r="J73" i="39"/>
  <c r="J81" i="39"/>
  <c r="J64" i="39"/>
  <c r="J49" i="39"/>
  <c r="J32" i="39"/>
  <c r="J26" i="39"/>
  <c r="J20" i="39"/>
  <c r="N12" i="39"/>
  <c r="J48" i="39"/>
  <c r="J45" i="39"/>
  <c r="J31" i="39"/>
  <c r="J19" i="39"/>
  <c r="J56" i="39"/>
  <c r="J42" i="39"/>
  <c r="J36" i="39"/>
  <c r="J30" i="39"/>
  <c r="J47" i="39"/>
  <c r="J41" i="39"/>
  <c r="J29" i="39"/>
  <c r="J62" i="39"/>
  <c r="J52" i="39"/>
  <c r="J46" i="39"/>
  <c r="J38" i="39"/>
  <c r="J34" i="39"/>
  <c r="H23" i="39"/>
  <c r="J71" i="39"/>
  <c r="J63" i="39"/>
  <c r="J60" i="39"/>
  <c r="J59" i="39"/>
  <c r="J58" i="39"/>
  <c r="J50" i="39"/>
  <c r="J43" i="39"/>
  <c r="J37" i="39"/>
  <c r="J33" i="39"/>
  <c r="J25" i="39"/>
  <c r="J21" i="39"/>
  <c r="X15" i="39"/>
  <c r="F36" i="39"/>
  <c r="J40" i="39"/>
  <c r="F44" i="39"/>
  <c r="R81" i="42"/>
  <c r="R75" i="42"/>
  <c r="R72" i="42"/>
  <c r="R59" i="42"/>
  <c r="R39" i="42"/>
  <c r="R36" i="42"/>
  <c r="R32" i="42"/>
  <c r="R27" i="42"/>
  <c r="R16" i="42"/>
  <c r="R63" i="42"/>
  <c r="R55" i="42"/>
  <c r="R50" i="42"/>
  <c r="R47" i="42"/>
  <c r="R26" i="42"/>
  <c r="R74" i="42"/>
  <c r="R69" i="42"/>
  <c r="R58" i="42"/>
  <c r="R41" i="42"/>
  <c r="R38" i="42"/>
  <c r="R25" i="42"/>
  <c r="R20" i="42"/>
  <c r="R68" i="42"/>
  <c r="R52" i="42"/>
  <c r="R49" i="42"/>
  <c r="R44" i="42"/>
  <c r="R24" i="42"/>
  <c r="R22" i="42"/>
  <c r="P20" i="42"/>
  <c r="X12" i="42"/>
  <c r="R71" i="42"/>
  <c r="R67" i="42"/>
  <c r="R43" i="42"/>
  <c r="R40" i="42"/>
  <c r="R35" i="42"/>
  <c r="R31" i="42"/>
  <c r="R73" i="42"/>
  <c r="R70" i="42"/>
  <c r="R65" i="42"/>
  <c r="R61" i="42"/>
  <c r="R57" i="42"/>
  <c r="R42" i="42"/>
  <c r="R37" i="42"/>
  <c r="R33" i="42"/>
  <c r="R29" i="42"/>
  <c r="R17" i="42"/>
  <c r="R64" i="42"/>
  <c r="R60" i="42"/>
  <c r="R56" i="42"/>
  <c r="R53" i="42"/>
  <c r="R48" i="42"/>
  <c r="R45" i="42"/>
  <c r="R28" i="42"/>
  <c r="R77" i="42"/>
  <c r="R62" i="42"/>
  <c r="R30" i="42"/>
  <c r="R66" i="42"/>
  <c r="R51" i="42"/>
  <c r="R23" i="42"/>
  <c r="R18" i="42"/>
  <c r="X70" i="42"/>
  <c r="Z70" i="42" s="1"/>
  <c r="L72" i="42"/>
  <c r="Z41" i="45"/>
  <c r="X41" i="45"/>
  <c r="N13" i="39"/>
  <c r="X19" i="40"/>
  <c r="Z19" i="40" s="1"/>
  <c r="R29" i="41"/>
  <c r="R25" i="41"/>
  <c r="R20" i="41"/>
  <c r="R19" i="41"/>
  <c r="R18" i="41"/>
  <c r="R27" i="41"/>
  <c r="R23" i="41"/>
  <c r="R31" i="41"/>
  <c r="R21" i="41"/>
  <c r="X13" i="43"/>
  <c r="Z13" i="43" s="1"/>
  <c r="P12" i="43"/>
  <c r="N24" i="43"/>
  <c r="R28" i="44"/>
  <c r="R20" i="44"/>
  <c r="R24" i="44"/>
  <c r="R22" i="44"/>
  <c r="P20" i="44"/>
  <c r="R32" i="44"/>
  <c r="R26" i="44"/>
  <c r="R23" i="44"/>
  <c r="R18" i="44"/>
  <c r="R25" i="44"/>
  <c r="R17" i="44"/>
  <c r="R16" i="44"/>
  <c r="H100" i="37"/>
  <c r="L58" i="39"/>
  <c r="X72" i="39"/>
  <c r="Z72" i="39" s="1"/>
  <c r="Z14" i="40"/>
  <c r="D44" i="40"/>
  <c r="Z30" i="40"/>
  <c r="T12" i="41"/>
  <c r="X12" i="41" s="1"/>
  <c r="Z22" i="42"/>
  <c r="Z32" i="42"/>
  <c r="L16" i="43"/>
  <c r="N17" i="43"/>
  <c r="Z19" i="43"/>
  <c r="Z20" i="43"/>
  <c r="Z51" i="39"/>
  <c r="J27" i="41"/>
  <c r="J23" i="41"/>
  <c r="H23" i="41"/>
  <c r="J31" i="41"/>
  <c r="J21" i="41"/>
  <c r="J20" i="41"/>
  <c r="J25" i="41"/>
  <c r="J19" i="41"/>
  <c r="J18" i="41"/>
  <c r="L22" i="42"/>
  <c r="N33" i="43"/>
  <c r="Z68" i="39"/>
  <c r="L19" i="40"/>
  <c r="N19" i="40" s="1"/>
  <c r="Z28" i="40"/>
  <c r="X39" i="40"/>
  <c r="Z39" i="40" s="1"/>
  <c r="X16" i="41"/>
  <c r="Z16" i="41" s="1"/>
  <c r="F74" i="42"/>
  <c r="F71" i="42"/>
  <c r="F67" i="42"/>
  <c r="F58" i="42"/>
  <c r="F43" i="42"/>
  <c r="F38" i="42"/>
  <c r="F35" i="42"/>
  <c r="F31" i="42"/>
  <c r="F66" i="42"/>
  <c r="F62" i="42"/>
  <c r="F54" i="42"/>
  <c r="F49" i="42"/>
  <c r="F46" i="42"/>
  <c r="F34" i="42"/>
  <c r="F30" i="42"/>
  <c r="D20" i="42"/>
  <c r="F18" i="42"/>
  <c r="F73" i="42"/>
  <c r="F65" i="42"/>
  <c r="F61" i="42"/>
  <c r="F57" i="42"/>
  <c r="F40" i="42"/>
  <c r="F37" i="42"/>
  <c r="F33" i="42"/>
  <c r="F29" i="42"/>
  <c r="F17" i="42"/>
  <c r="F77" i="42"/>
  <c r="F64" i="42"/>
  <c r="F60" i="42"/>
  <c r="F56" i="42"/>
  <c r="F51" i="42"/>
  <c r="F48" i="42"/>
  <c r="F28" i="42"/>
  <c r="F23" i="42"/>
  <c r="F22" i="42"/>
  <c r="F81" i="42"/>
  <c r="F75" i="42"/>
  <c r="F70" i="42"/>
  <c r="F59" i="42"/>
  <c r="F42" i="42"/>
  <c r="F39" i="42"/>
  <c r="F27" i="42"/>
  <c r="F72" i="42"/>
  <c r="F69" i="42"/>
  <c r="F41" i="42"/>
  <c r="F36" i="42"/>
  <c r="F32" i="42"/>
  <c r="F25" i="42"/>
  <c r="F16" i="42"/>
  <c r="F68" i="42"/>
  <c r="F63" i="42"/>
  <c r="F55" i="42"/>
  <c r="F52" i="42"/>
  <c r="F47" i="42"/>
  <c r="F44" i="42"/>
  <c r="F24" i="42"/>
  <c r="L12" i="42"/>
  <c r="N16" i="42"/>
  <c r="D12" i="43"/>
  <c r="J38" i="40"/>
  <c r="L13" i="41"/>
  <c r="D12" i="41"/>
  <c r="N22" i="42"/>
  <c r="L32" i="42"/>
  <c r="X42" i="42"/>
  <c r="H12" i="43"/>
  <c r="L32" i="43"/>
  <c r="J37" i="40"/>
  <c r="J31" i="40"/>
  <c r="J19" i="40"/>
  <c r="J15" i="40"/>
  <c r="J51" i="40"/>
  <c r="J44" i="40"/>
  <c r="J34" i="40"/>
  <c r="J28" i="40"/>
  <c r="J20" i="40"/>
  <c r="J39" i="40"/>
  <c r="J33" i="40"/>
  <c r="J25" i="40"/>
  <c r="J36" i="40"/>
  <c r="J30" i="40"/>
  <c r="J24" i="40"/>
  <c r="J14" i="40"/>
  <c r="N12" i="40"/>
  <c r="J27" i="40"/>
  <c r="J23" i="40"/>
  <c r="L12" i="40"/>
  <c r="J35" i="40"/>
  <c r="J29" i="40"/>
  <c r="J21" i="40"/>
  <c r="J17" i="40"/>
  <c r="J46" i="40"/>
  <c r="J40" i="40"/>
  <c r="J26" i="40"/>
  <c r="H17" i="40"/>
  <c r="J48" i="40"/>
  <c r="Z42" i="42"/>
  <c r="N32" i="43"/>
  <c r="T12" i="45"/>
  <c r="X14" i="45"/>
  <c r="Z14" i="45"/>
  <c r="V32" i="40"/>
  <c r="V36" i="40"/>
  <c r="F42" i="40"/>
  <c r="V42" i="40"/>
  <c r="F48" i="40"/>
  <c r="V48" i="40"/>
  <c r="X13" i="41"/>
  <c r="H20" i="42"/>
  <c r="J31" i="42"/>
  <c r="J35" i="42"/>
  <c r="J43" i="42"/>
  <c r="V47" i="42"/>
  <c r="J49" i="42"/>
  <c r="V55" i="42"/>
  <c r="V59" i="42"/>
  <c r="V63" i="42"/>
  <c r="J67" i="42"/>
  <c r="J71" i="42"/>
  <c r="V75" i="42"/>
  <c r="V79" i="42"/>
  <c r="V81" i="42"/>
  <c r="V86" i="42"/>
  <c r="F22" i="40"/>
  <c r="V25" i="40"/>
  <c r="V33" i="40"/>
  <c r="R34" i="40"/>
  <c r="F38" i="40"/>
  <c r="R39" i="40"/>
  <c r="Z13" i="41"/>
  <c r="N12" i="42"/>
  <c r="L13" i="42"/>
  <c r="V16" i="42"/>
  <c r="J20" i="42"/>
  <c r="J24" i="42"/>
  <c r="V28" i="42"/>
  <c r="V32" i="42"/>
  <c r="V36" i="42"/>
  <c r="J38" i="42"/>
  <c r="J44" i="42"/>
  <c r="V48" i="42"/>
  <c r="J52" i="42"/>
  <c r="V56" i="42"/>
  <c r="J58" i="42"/>
  <c r="V60" i="42"/>
  <c r="V64" i="42"/>
  <c r="J68" i="42"/>
  <c r="V72" i="42"/>
  <c r="J74" i="42"/>
  <c r="N13" i="43"/>
  <c r="L34" i="43"/>
  <c r="N34" i="43" s="1"/>
  <c r="L36" i="43"/>
  <c r="X58" i="43"/>
  <c r="Z58" i="43" s="1"/>
  <c r="Z97" i="43"/>
  <c r="N113" i="43"/>
  <c r="L13" i="44"/>
  <c r="Z16" i="44"/>
  <c r="R68" i="45"/>
  <c r="R60" i="45"/>
  <c r="R56" i="45"/>
  <c r="R44" i="45"/>
  <c r="R41" i="45"/>
  <c r="R36" i="45"/>
  <c r="R24" i="45"/>
  <c r="R22" i="45"/>
  <c r="P20" i="45"/>
  <c r="X12" i="45"/>
  <c r="R82" i="45"/>
  <c r="R79" i="45"/>
  <c r="R76" i="45"/>
  <c r="R67" i="45"/>
  <c r="R63" i="45"/>
  <c r="R59" i="45"/>
  <c r="R55" i="45"/>
  <c r="R52" i="45"/>
  <c r="R47" i="45"/>
  <c r="R35" i="45"/>
  <c r="R31" i="45"/>
  <c r="R66" i="45"/>
  <c r="R58" i="45"/>
  <c r="R43" i="45"/>
  <c r="R38" i="45"/>
  <c r="R34" i="45"/>
  <c r="R30" i="45"/>
  <c r="R23" i="45"/>
  <c r="R18" i="45"/>
  <c r="R78" i="45"/>
  <c r="R73" i="45"/>
  <c r="R65" i="45"/>
  <c r="R62" i="45"/>
  <c r="R54" i="45"/>
  <c r="R49" i="45"/>
  <c r="R46" i="45"/>
  <c r="R33" i="45"/>
  <c r="R29" i="45"/>
  <c r="R17" i="45"/>
  <c r="R86" i="45"/>
  <c r="R72" i="45"/>
  <c r="R57" i="45"/>
  <c r="R40" i="45"/>
  <c r="R37" i="45"/>
  <c r="R28" i="45"/>
  <c r="R81" i="45"/>
  <c r="R70" i="45"/>
  <c r="R42" i="45"/>
  <c r="R39" i="45"/>
  <c r="R26" i="45"/>
  <c r="R16" i="45"/>
  <c r="L22" i="45"/>
  <c r="N22" i="45" s="1"/>
  <c r="R25" i="45"/>
  <c r="R45" i="45"/>
  <c r="R51" i="45"/>
  <c r="R53" i="45"/>
  <c r="R69" i="45"/>
  <c r="R74" i="45"/>
  <c r="X81" i="45"/>
  <c r="F24" i="40"/>
  <c r="V31" i="40"/>
  <c r="F36" i="40"/>
  <c r="R37" i="40"/>
  <c r="F39" i="40"/>
  <c r="V39" i="40"/>
  <c r="R40" i="40"/>
  <c r="R46" i="40"/>
  <c r="J16" i="42"/>
  <c r="V18" i="42"/>
  <c r="J26" i="42"/>
  <c r="V30" i="42"/>
  <c r="J32" i="42"/>
  <c r="V34" i="42"/>
  <c r="J36" i="42"/>
  <c r="V42" i="42"/>
  <c r="V46" i="42"/>
  <c r="J50" i="42"/>
  <c r="V54" i="42"/>
  <c r="V62" i="42"/>
  <c r="V66" i="42"/>
  <c r="V70" i="42"/>
  <c r="J72" i="42"/>
  <c r="N75" i="43"/>
  <c r="Z77" i="43"/>
  <c r="Z85" i="43"/>
  <c r="N91" i="43"/>
  <c r="Z93" i="43"/>
  <c r="R50" i="45"/>
  <c r="Z16" i="46"/>
  <c r="P17" i="40"/>
  <c r="F19" i="40"/>
  <c r="R19" i="40"/>
  <c r="F20" i="40"/>
  <c r="V20" i="40"/>
  <c r="R21" i="40"/>
  <c r="F25" i="40"/>
  <c r="R26" i="40"/>
  <c r="F28" i="40"/>
  <c r="V28" i="40"/>
  <c r="R29" i="40"/>
  <c r="F33" i="40"/>
  <c r="V40" i="40"/>
  <c r="F44" i="40"/>
  <c r="V44" i="40"/>
  <c r="V46" i="40"/>
  <c r="F51" i="40"/>
  <c r="V51" i="40"/>
  <c r="V23" i="42"/>
  <c r="J27" i="42"/>
  <c r="V31" i="42"/>
  <c r="V35" i="42"/>
  <c r="J39" i="42"/>
  <c r="V43" i="42"/>
  <c r="J45" i="42"/>
  <c r="V51" i="42"/>
  <c r="J53" i="42"/>
  <c r="J59" i="42"/>
  <c r="V67" i="42"/>
  <c r="V71" i="42"/>
  <c r="J75" i="42"/>
  <c r="V77" i="42"/>
  <c r="J81" i="42"/>
  <c r="V83" i="42"/>
  <c r="L75" i="43"/>
  <c r="N79" i="43"/>
  <c r="L83" i="43"/>
  <c r="N87" i="43"/>
  <c r="L91" i="43"/>
  <c r="X113" i="43"/>
  <c r="Z113" i="43" s="1"/>
  <c r="H12" i="44"/>
  <c r="X25" i="44"/>
  <c r="Z25" i="44" s="1"/>
  <c r="F34" i="44"/>
  <c r="J75" i="45"/>
  <c r="J71" i="45"/>
  <c r="J57" i="45"/>
  <c r="J51" i="45"/>
  <c r="J37" i="45"/>
  <c r="J27" i="45"/>
  <c r="J91" i="45"/>
  <c r="J84" i="45"/>
  <c r="J70" i="45"/>
  <c r="J64" i="45"/>
  <c r="J48" i="45"/>
  <c r="J42" i="45"/>
  <c r="J32" i="45"/>
  <c r="J26" i="45"/>
  <c r="J16" i="45"/>
  <c r="J81" i="45"/>
  <c r="J77" i="45"/>
  <c r="J69" i="45"/>
  <c r="J61" i="45"/>
  <c r="J53" i="45"/>
  <c r="J45" i="45"/>
  <c r="J39" i="45"/>
  <c r="J25" i="45"/>
  <c r="J74" i="45"/>
  <c r="J68" i="45"/>
  <c r="J60" i="45"/>
  <c r="J56" i="45"/>
  <c r="J50" i="45"/>
  <c r="J44" i="45"/>
  <c r="J36" i="45"/>
  <c r="J24" i="45"/>
  <c r="J20" i="45"/>
  <c r="N12" i="45"/>
  <c r="J79" i="45"/>
  <c r="J67" i="45"/>
  <c r="J63" i="45"/>
  <c r="J59" i="45"/>
  <c r="J55" i="45"/>
  <c r="J47" i="45"/>
  <c r="J41" i="45"/>
  <c r="J35" i="45"/>
  <c r="J31" i="45"/>
  <c r="H20" i="45"/>
  <c r="J73" i="45"/>
  <c r="J65" i="45"/>
  <c r="J49" i="45"/>
  <c r="J43" i="45"/>
  <c r="J33" i="45"/>
  <c r="J29" i="45"/>
  <c r="J23" i="45"/>
  <c r="J17" i="45"/>
  <c r="J22" i="45"/>
  <c r="L23" i="45"/>
  <c r="N43" i="45"/>
  <c r="J58" i="45"/>
  <c r="J62" i="45"/>
  <c r="X21" i="46"/>
  <c r="N14" i="47"/>
  <c r="L14" i="47"/>
  <c r="F18" i="47"/>
  <c r="R17" i="40"/>
  <c r="V21" i="40"/>
  <c r="R22" i="40"/>
  <c r="V29" i="40"/>
  <c r="F34" i="40"/>
  <c r="R35" i="40"/>
  <c r="F37" i="40"/>
  <c r="V37" i="40"/>
  <c r="R38" i="40"/>
  <c r="Z12" i="42"/>
  <c r="V24" i="42"/>
  <c r="J28" i="42"/>
  <c r="V40" i="42"/>
  <c r="J42" i="42"/>
  <c r="V44" i="42"/>
  <c r="J48" i="42"/>
  <c r="V52" i="42"/>
  <c r="J56" i="42"/>
  <c r="J60" i="42"/>
  <c r="J64" i="42"/>
  <c r="V68" i="42"/>
  <c r="J70" i="42"/>
  <c r="X32" i="43"/>
  <c r="Z32" i="43" s="1"/>
  <c r="L58" i="43"/>
  <c r="X79" i="43"/>
  <c r="X87" i="43"/>
  <c r="Z109" i="43"/>
  <c r="F16" i="44"/>
  <c r="F20" i="44"/>
  <c r="X22" i="45"/>
  <c r="Z22" i="45" s="1"/>
  <c r="R27" i="45"/>
  <c r="J30" i="45"/>
  <c r="R32" i="45"/>
  <c r="R64" i="45"/>
  <c r="R71" i="45"/>
  <c r="J78" i="45"/>
  <c r="J88" i="45"/>
  <c r="J25" i="46"/>
  <c r="J39" i="46"/>
  <c r="J24" i="46"/>
  <c r="J28" i="46"/>
  <c r="J27" i="46"/>
  <c r="J21" i="46"/>
  <c r="H16" i="46"/>
  <c r="J18" i="46"/>
  <c r="J26" i="46"/>
  <c r="J20" i="46"/>
  <c r="J19" i="46"/>
  <c r="J14" i="46"/>
  <c r="N12" i="46"/>
  <c r="J36" i="46"/>
  <c r="J34" i="46"/>
  <c r="J23" i="46"/>
  <c r="Z21" i="46"/>
  <c r="Z25" i="46"/>
  <c r="F84" i="47"/>
  <c r="F74" i="47"/>
  <c r="F78" i="47"/>
  <c r="F73" i="47"/>
  <c r="F68" i="47"/>
  <c r="F64" i="47"/>
  <c r="F61" i="47"/>
  <c r="F57" i="47"/>
  <c r="F79" i="47"/>
  <c r="F66" i="47"/>
  <c r="F54" i="47"/>
  <c r="F72" i="47"/>
  <c r="F69" i="47"/>
  <c r="F65" i="47"/>
  <c r="F80" i="47"/>
  <c r="F47" i="47"/>
  <c r="F44" i="47"/>
  <c r="F32" i="47"/>
  <c r="F20" i="47"/>
  <c r="F82" i="47"/>
  <c r="F56" i="47"/>
  <c r="F38" i="47"/>
  <c r="F35" i="47"/>
  <c r="F31" i="47"/>
  <c r="F27" i="47"/>
  <c r="F16" i="47"/>
  <c r="F60" i="47"/>
  <c r="F55" i="47"/>
  <c r="F53" i="47"/>
  <c r="F49" i="47"/>
  <c r="F46" i="47"/>
  <c r="F41" i="47"/>
  <c r="F30" i="47"/>
  <c r="F26" i="47"/>
  <c r="F59" i="47"/>
  <c r="F58" i="47"/>
  <c r="F52" i="47"/>
  <c r="F37" i="47"/>
  <c r="F29" i="47"/>
  <c r="F25" i="47"/>
  <c r="F86" i="47"/>
  <c r="F71" i="47"/>
  <c r="F70" i="47"/>
  <c r="F67" i="47"/>
  <c r="F39" i="47"/>
  <c r="F34" i="47"/>
  <c r="F23" i="47"/>
  <c r="F89" i="47"/>
  <c r="F43" i="47"/>
  <c r="D16" i="47"/>
  <c r="F14" i="47"/>
  <c r="F45" i="47"/>
  <c r="F22" i="47"/>
  <c r="F36" i="47"/>
  <c r="F75" i="47"/>
  <c r="F48" i="47"/>
  <c r="F76" i="47"/>
  <c r="F50" i="47"/>
  <c r="F63" i="47"/>
  <c r="F62" i="47"/>
  <c r="F51" i="47"/>
  <c r="F40" i="47"/>
  <c r="F28" i="47"/>
  <c r="F24" i="47"/>
  <c r="F19" i="47"/>
  <c r="T17" i="40"/>
  <c r="V22" i="40"/>
  <c r="F26" i="40"/>
  <c r="V26" i="40"/>
  <c r="R27" i="40"/>
  <c r="F31" i="40"/>
  <c r="R32" i="40"/>
  <c r="V38" i="40"/>
  <c r="R42" i="40"/>
  <c r="J17" i="42"/>
  <c r="T20" i="42"/>
  <c r="J23" i="42"/>
  <c r="V25" i="42"/>
  <c r="J29" i="42"/>
  <c r="J33" i="42"/>
  <c r="J37" i="42"/>
  <c r="V41" i="42"/>
  <c r="V49" i="42"/>
  <c r="J51" i="42"/>
  <c r="J57" i="42"/>
  <c r="J61" i="42"/>
  <c r="J65" i="42"/>
  <c r="V69" i="42"/>
  <c r="J73" i="42"/>
  <c r="J77" i="42"/>
  <c r="J83" i="42"/>
  <c r="N58" i="43"/>
  <c r="Z79" i="43"/>
  <c r="L81" i="43"/>
  <c r="L89" i="43"/>
  <c r="Z23" i="45"/>
  <c r="X39" i="45"/>
  <c r="J54" i="45"/>
  <c r="R61" i="45"/>
  <c r="J66" i="45"/>
  <c r="J76" i="45"/>
  <c r="L28" i="47"/>
  <c r="N28" i="47" s="1"/>
  <c r="X68" i="47"/>
  <c r="Z68" i="47"/>
  <c r="F40" i="40"/>
  <c r="J18" i="42"/>
  <c r="J22" i="42"/>
  <c r="J30" i="42"/>
  <c r="J34" i="42"/>
  <c r="V38" i="42"/>
  <c r="J40" i="42"/>
  <c r="J46" i="42"/>
  <c r="V50" i="42"/>
  <c r="J54" i="42"/>
  <c r="V58" i="42"/>
  <c r="J62" i="42"/>
  <c r="N59" i="43"/>
  <c r="X111" i="43"/>
  <c r="Z111" i="43" s="1"/>
  <c r="F32" i="44"/>
  <c r="F26" i="44"/>
  <c r="D20" i="44"/>
  <c r="F18" i="44"/>
  <c r="F17" i="44"/>
  <c r="F23" i="44"/>
  <c r="F22" i="44"/>
  <c r="F37" i="44"/>
  <c r="F30" i="44"/>
  <c r="F25" i="44"/>
  <c r="F24" i="44"/>
  <c r="L12" i="44"/>
  <c r="L14" i="44"/>
  <c r="N14" i="44" s="1"/>
  <c r="L13" i="45"/>
  <c r="D12" i="45"/>
  <c r="L41" i="45"/>
  <c r="N52" i="45"/>
  <c r="R75" i="45"/>
  <c r="R77" i="45"/>
  <c r="T39" i="46"/>
  <c r="F34" i="46"/>
  <c r="F28" i="46"/>
  <c r="F23" i="46"/>
  <c r="F20" i="46"/>
  <c r="F39" i="46"/>
  <c r="F32" i="46"/>
  <c r="V25" i="46"/>
  <c r="J73" i="47"/>
  <c r="J89" i="47"/>
  <c r="J82" i="47"/>
  <c r="J76" i="47"/>
  <c r="J70" i="47"/>
  <c r="J60" i="47"/>
  <c r="J56" i="47"/>
  <c r="J75" i="47"/>
  <c r="J69" i="47"/>
  <c r="J65" i="47"/>
  <c r="J51" i="47"/>
  <c r="J86" i="47"/>
  <c r="J80" i="47"/>
  <c r="J62" i="47"/>
  <c r="J58" i="47"/>
  <c r="J79" i="47"/>
  <c r="J78" i="47"/>
  <c r="J54" i="47"/>
  <c r="J53" i="47"/>
  <c r="J49" i="47"/>
  <c r="J41" i="47"/>
  <c r="J35" i="47"/>
  <c r="J31" i="47"/>
  <c r="J27" i="47"/>
  <c r="H16" i="47"/>
  <c r="J64" i="47"/>
  <c r="J55" i="47"/>
  <c r="J46" i="47"/>
  <c r="J30" i="47"/>
  <c r="J26" i="47"/>
  <c r="J18" i="47"/>
  <c r="J68" i="47"/>
  <c r="J59" i="47"/>
  <c r="J57" i="47"/>
  <c r="J52" i="47"/>
  <c r="J43" i="47"/>
  <c r="J37" i="47"/>
  <c r="J29" i="47"/>
  <c r="J25" i="47"/>
  <c r="J19" i="47"/>
  <c r="J84" i="47"/>
  <c r="J72" i="47"/>
  <c r="J66" i="47"/>
  <c r="J63" i="47"/>
  <c r="J61" i="47"/>
  <c r="J48" i="47"/>
  <c r="J40" i="47"/>
  <c r="J34" i="47"/>
  <c r="J24" i="47"/>
  <c r="J14" i="47"/>
  <c r="N12" i="47"/>
  <c r="J50" i="47"/>
  <c r="J42" i="47"/>
  <c r="J36" i="47"/>
  <c r="J28" i="47"/>
  <c r="J22" i="47"/>
  <c r="J74" i="47"/>
  <c r="J21" i="47"/>
  <c r="J33" i="47"/>
  <c r="X45" i="47"/>
  <c r="Z45" i="47" s="1"/>
  <c r="R53" i="47"/>
  <c r="R56" i="47"/>
  <c r="R59" i="47"/>
  <c r="L70" i="47"/>
  <c r="N70" i="47"/>
  <c r="X50" i="45"/>
  <c r="L52" i="45"/>
  <c r="L12" i="46"/>
  <c r="P16" i="46"/>
  <c r="F18" i="46"/>
  <c r="R18" i="46"/>
  <c r="F19" i="46"/>
  <c r="V21" i="46"/>
  <c r="R22" i="46"/>
  <c r="R30" i="46"/>
  <c r="R39" i="46"/>
  <c r="R75" i="47"/>
  <c r="R66" i="47"/>
  <c r="R86" i="47"/>
  <c r="R80" i="47"/>
  <c r="R69" i="47"/>
  <c r="R65" i="47"/>
  <c r="R62" i="47"/>
  <c r="R58" i="47"/>
  <c r="R84" i="47"/>
  <c r="R74" i="47"/>
  <c r="R89" i="47"/>
  <c r="R82" i="47"/>
  <c r="R73" i="47"/>
  <c r="R70" i="47"/>
  <c r="R61" i="47"/>
  <c r="R57" i="47"/>
  <c r="R63" i="47"/>
  <c r="R48" i="47"/>
  <c r="R45" i="47"/>
  <c r="R40" i="47"/>
  <c r="R24" i="47"/>
  <c r="X12" i="47"/>
  <c r="R67" i="47"/>
  <c r="R39" i="47"/>
  <c r="R36" i="47"/>
  <c r="R28" i="47"/>
  <c r="R23" i="47"/>
  <c r="R71" i="47"/>
  <c r="R50" i="47"/>
  <c r="R47" i="47"/>
  <c r="R42" i="47"/>
  <c r="R22" i="47"/>
  <c r="R38" i="47"/>
  <c r="R33" i="47"/>
  <c r="R21" i="47"/>
  <c r="R16" i="47"/>
  <c r="R35" i="47"/>
  <c r="R31" i="47"/>
  <c r="R27" i="47"/>
  <c r="R79" i="47"/>
  <c r="R78" i="47"/>
  <c r="R14" i="47"/>
  <c r="P16" i="47"/>
  <c r="X18" i="47"/>
  <c r="Z18" i="47" s="1"/>
  <c r="J23" i="47"/>
  <c r="Z34" i="47"/>
  <c r="J39" i="47"/>
  <c r="R43" i="47"/>
  <c r="L47" i="47"/>
  <c r="R55" i="47"/>
  <c r="R64" i="47"/>
  <c r="F32" i="48"/>
  <c r="F17" i="48"/>
  <c r="F42" i="48"/>
  <c r="F36" i="48"/>
  <c r="F26" i="48"/>
  <c r="F23" i="48"/>
  <c r="D17" i="48"/>
  <c r="F15" i="48"/>
  <c r="F40" i="48"/>
  <c r="F31" i="48"/>
  <c r="F28" i="48"/>
  <c r="L12" i="48"/>
  <c r="F45" i="48"/>
  <c r="F38" i="48"/>
  <c r="F27" i="48"/>
  <c r="F22" i="48"/>
  <c r="F14" i="48"/>
  <c r="F25" i="48"/>
  <c r="F24" i="48"/>
  <c r="F19" i="48"/>
  <c r="F30" i="48"/>
  <c r="F21" i="48"/>
  <c r="F20" i="48"/>
  <c r="F34" i="48"/>
  <c r="F33" i="48"/>
  <c r="T12" i="44"/>
  <c r="H81" i="45"/>
  <c r="N81" i="45" s="1"/>
  <c r="Z14" i="46"/>
  <c r="R16" i="46"/>
  <c r="L21" i="46"/>
  <c r="N21" i="46" s="1"/>
  <c r="V22" i="46"/>
  <c r="F26" i="46"/>
  <c r="V27" i="46"/>
  <c r="V36" i="46"/>
  <c r="T16" i="47"/>
  <c r="R41" i="47"/>
  <c r="Z43" i="47"/>
  <c r="X58" i="47"/>
  <c r="Z58" i="47" s="1"/>
  <c r="F39" i="50"/>
  <c r="F33" i="50"/>
  <c r="F18" i="50"/>
  <c r="F32" i="50"/>
  <c r="F27" i="50"/>
  <c r="F24" i="50"/>
  <c r="D18" i="50"/>
  <c r="F16" i="50"/>
  <c r="F44" i="50"/>
  <c r="F37" i="50"/>
  <c r="F29" i="50"/>
  <c r="F26" i="50"/>
  <c r="F21" i="50"/>
  <c r="F20" i="50"/>
  <c r="F41" i="50"/>
  <c r="F35" i="50"/>
  <c r="F30" i="50"/>
  <c r="F25" i="50"/>
  <c r="F22" i="50"/>
  <c r="F28" i="50"/>
  <c r="F31" i="50"/>
  <c r="F23" i="50"/>
  <c r="R24" i="46"/>
  <c r="R21" i="46"/>
  <c r="R36" i="46"/>
  <c r="D16" i="46"/>
  <c r="F21" i="46"/>
  <c r="R23" i="46"/>
  <c r="V24" i="46"/>
  <c r="F27" i="46"/>
  <c r="R32" i="46"/>
  <c r="J38" i="47"/>
  <c r="J47" i="47"/>
  <c r="R51" i="47"/>
  <c r="F29" i="48"/>
  <c r="J41" i="49"/>
  <c r="J35" i="49"/>
  <c r="J29" i="49"/>
  <c r="J23" i="49"/>
  <c r="L12" i="49"/>
  <c r="J32" i="49"/>
  <c r="J26" i="49"/>
  <c r="J22" i="49"/>
  <c r="J46" i="49"/>
  <c r="J39" i="49"/>
  <c r="J21" i="49"/>
  <c r="J34" i="49"/>
  <c r="J28" i="49"/>
  <c r="J20" i="49"/>
  <c r="J16" i="49"/>
  <c r="J31" i="49"/>
  <c r="J25" i="49"/>
  <c r="H16" i="49"/>
  <c r="J43" i="49"/>
  <c r="J37" i="49"/>
  <c r="J33" i="49"/>
  <c r="J27" i="49"/>
  <c r="J19" i="49"/>
  <c r="J24" i="49"/>
  <c r="J14" i="49"/>
  <c r="N12" i="49"/>
  <c r="J18" i="49"/>
  <c r="V23" i="46"/>
  <c r="V39" i="46"/>
  <c r="V34" i="46"/>
  <c r="V32" i="46"/>
  <c r="V28" i="46"/>
  <c r="V20" i="46"/>
  <c r="F16" i="46"/>
  <c r="V16" i="46"/>
  <c r="V18" i="46"/>
  <c r="F30" i="46"/>
  <c r="X14" i="47"/>
  <c r="L18" i="47"/>
  <c r="N18" i="47" s="1"/>
  <c r="N36" i="47"/>
  <c r="R37" i="47"/>
  <c r="R54" i="47"/>
  <c r="J71" i="47"/>
  <c r="R76" i="47"/>
  <c r="R33" i="48"/>
  <c r="R28" i="48"/>
  <c r="X12" i="48"/>
  <c r="R27" i="48"/>
  <c r="R24" i="48"/>
  <c r="R32" i="48"/>
  <c r="R29" i="48"/>
  <c r="R23" i="48"/>
  <c r="R20" i="48"/>
  <c r="R15" i="48"/>
  <c r="R40" i="48"/>
  <c r="R31" i="48"/>
  <c r="R30" i="48"/>
  <c r="P17" i="48"/>
  <c r="R45" i="48"/>
  <c r="R36" i="48"/>
  <c r="R34" i="48"/>
  <c r="R19" i="48"/>
  <c r="R14" i="48"/>
  <c r="R38" i="48"/>
  <c r="R22" i="48"/>
  <c r="R25" i="48"/>
  <c r="R26" i="48"/>
  <c r="X12" i="46"/>
  <c r="X19" i="46"/>
  <c r="Z19" i="46" s="1"/>
  <c r="F22" i="46"/>
  <c r="R25" i="46"/>
  <c r="R26" i="46"/>
  <c r="F36" i="46"/>
  <c r="L34" i="47"/>
  <c r="J44" i="47"/>
  <c r="R49" i="47"/>
  <c r="R60" i="47"/>
  <c r="R72" i="47"/>
  <c r="Z80" i="47"/>
  <c r="X22" i="48"/>
  <c r="Z22" i="48" s="1"/>
  <c r="Z24" i="48"/>
  <c r="X29" i="48"/>
  <c r="Z29" i="48" s="1"/>
  <c r="X20" i="50"/>
  <c r="Z20" i="50" s="1"/>
  <c r="J76" i="51"/>
  <c r="J62" i="51"/>
  <c r="J58" i="51"/>
  <c r="J89" i="51"/>
  <c r="J81" i="51"/>
  <c r="J75" i="51"/>
  <c r="J69" i="51"/>
  <c r="J55" i="51"/>
  <c r="J78" i="51"/>
  <c r="J74" i="51"/>
  <c r="J66" i="51"/>
  <c r="J52" i="51"/>
  <c r="J80" i="51"/>
  <c r="J72" i="51"/>
  <c r="J68" i="51"/>
  <c r="J64" i="51"/>
  <c r="J60" i="51"/>
  <c r="J77" i="51"/>
  <c r="J71" i="51"/>
  <c r="J63" i="51"/>
  <c r="J59" i="51"/>
  <c r="J79" i="51"/>
  <c r="J65" i="51"/>
  <c r="J50" i="51"/>
  <c r="J47" i="51"/>
  <c r="J41" i="51"/>
  <c r="J33" i="51"/>
  <c r="J27" i="51"/>
  <c r="J67" i="51"/>
  <c r="J46" i="51"/>
  <c r="J38" i="51"/>
  <c r="J26" i="51"/>
  <c r="J16" i="51"/>
  <c r="J54" i="51"/>
  <c r="J49" i="51"/>
  <c r="J43" i="51"/>
  <c r="J37" i="51"/>
  <c r="J25" i="51"/>
  <c r="J82" i="51"/>
  <c r="J56" i="51"/>
  <c r="J40" i="51"/>
  <c r="J36" i="51"/>
  <c r="J32" i="51"/>
  <c r="J24" i="51"/>
  <c r="J73" i="51"/>
  <c r="J57" i="51"/>
  <c r="J45" i="51"/>
  <c r="J35" i="51"/>
  <c r="J31" i="51"/>
  <c r="H20" i="51"/>
  <c r="J20" i="51" s="1"/>
  <c r="J61" i="51"/>
  <c r="J51" i="51"/>
  <c r="J39" i="51"/>
  <c r="J29" i="51"/>
  <c r="J23" i="51"/>
  <c r="J17" i="51"/>
  <c r="J44" i="51"/>
  <c r="J28" i="51"/>
  <c r="J34" i="51"/>
  <c r="J42" i="51"/>
  <c r="J53" i="51"/>
  <c r="J85" i="51"/>
  <c r="V26" i="47"/>
  <c r="V30" i="47"/>
  <c r="V34" i="47"/>
  <c r="V46" i="47"/>
  <c r="V51" i="47"/>
  <c r="V54" i="47"/>
  <c r="V55" i="47"/>
  <c r="V82" i="47"/>
  <c r="Z19" i="49"/>
  <c r="L25" i="49"/>
  <c r="R16" i="50"/>
  <c r="R47" i="51"/>
  <c r="J70" i="51"/>
  <c r="V31" i="56"/>
  <c r="V36" i="56"/>
  <c r="V28" i="56"/>
  <c r="V43" i="56"/>
  <c r="V39" i="56"/>
  <c r="V35" i="56"/>
  <c r="V27" i="56"/>
  <c r="V23" i="56"/>
  <c r="V41" i="56"/>
  <c r="V40" i="56"/>
  <c r="V38" i="56"/>
  <c r="V34" i="56"/>
  <c r="V33" i="56"/>
  <c r="V20" i="56"/>
  <c r="V18" i="56"/>
  <c r="Z12" i="56"/>
  <c r="V37" i="56"/>
  <c r="T18" i="56"/>
  <c r="V49" i="56"/>
  <c r="V47" i="56"/>
  <c r="V56" i="56"/>
  <c r="V53" i="56"/>
  <c r="V51" i="56"/>
  <c r="V26" i="56"/>
  <c r="V25" i="56"/>
  <c r="V24" i="56"/>
  <c r="V16" i="56"/>
  <c r="V42" i="56"/>
  <c r="V15" i="56"/>
  <c r="V45" i="56"/>
  <c r="V32" i="56"/>
  <c r="V29" i="56"/>
  <c r="V21" i="56"/>
  <c r="V44" i="56"/>
  <c r="V30" i="56"/>
  <c r="V22" i="56"/>
  <c r="N40" i="56"/>
  <c r="L40" i="56"/>
  <c r="V20" i="47"/>
  <c r="V32" i="47"/>
  <c r="V44" i="47"/>
  <c r="L53" i="47"/>
  <c r="N68" i="47"/>
  <c r="V74" i="47"/>
  <c r="X75" i="47"/>
  <c r="V80" i="47"/>
  <c r="V89" i="47"/>
  <c r="L24" i="48"/>
  <c r="L31" i="48"/>
  <c r="N31" i="48" s="1"/>
  <c r="N18" i="49"/>
  <c r="Z27" i="49"/>
  <c r="N13" i="50"/>
  <c r="L13" i="50"/>
  <c r="H12" i="50"/>
  <c r="Z31" i="50"/>
  <c r="L13" i="51"/>
  <c r="D12" i="51"/>
  <c r="L22" i="51"/>
  <c r="N50" i="51"/>
  <c r="V21" i="47"/>
  <c r="V33" i="47"/>
  <c r="V41" i="47"/>
  <c r="Z75" i="47"/>
  <c r="H38" i="48"/>
  <c r="N17" i="48"/>
  <c r="V43" i="49"/>
  <c r="V37" i="49"/>
  <c r="V31" i="49"/>
  <c r="V27" i="49"/>
  <c r="V19" i="49"/>
  <c r="V30" i="49"/>
  <c r="V33" i="49"/>
  <c r="V29" i="49"/>
  <c r="V32" i="49"/>
  <c r="V24" i="49"/>
  <c r="Z12" i="49"/>
  <c r="V46" i="49"/>
  <c r="V41" i="49"/>
  <c r="V39" i="49"/>
  <c r="V35" i="49"/>
  <c r="V23" i="49"/>
  <c r="X12" i="49"/>
  <c r="V25" i="49"/>
  <c r="V21" i="49"/>
  <c r="T16" i="49"/>
  <c r="V28" i="49"/>
  <c r="V20" i="49"/>
  <c r="R41" i="50"/>
  <c r="R35" i="50"/>
  <c r="R28" i="50"/>
  <c r="R25" i="50"/>
  <c r="R18" i="50"/>
  <c r="R30" i="50"/>
  <c r="R27" i="50"/>
  <c r="R22" i="50"/>
  <c r="R20" i="50"/>
  <c r="P18" i="50"/>
  <c r="R39" i="50"/>
  <c r="R33" i="50"/>
  <c r="R31" i="50"/>
  <c r="R26" i="50"/>
  <c r="R23" i="50"/>
  <c r="R15" i="50"/>
  <c r="N13" i="51"/>
  <c r="N22" i="51"/>
  <c r="Z39" i="51"/>
  <c r="N52" i="51"/>
  <c r="L52" i="51"/>
  <c r="V69" i="47"/>
  <c r="V78" i="47"/>
  <c r="V68" i="47"/>
  <c r="V64" i="47"/>
  <c r="V79" i="47"/>
  <c r="V73" i="47"/>
  <c r="V61" i="47"/>
  <c r="V57" i="47"/>
  <c r="V76" i="47"/>
  <c r="V72" i="47"/>
  <c r="V60" i="47"/>
  <c r="V56" i="47"/>
  <c r="V52" i="47"/>
  <c r="V16" i="47"/>
  <c r="V18" i="47"/>
  <c r="V22" i="47"/>
  <c r="V38" i="47"/>
  <c r="V42" i="47"/>
  <c r="V50" i="47"/>
  <c r="N53" i="47"/>
  <c r="V71" i="47"/>
  <c r="V75" i="47"/>
  <c r="H78" i="47"/>
  <c r="L79" i="47"/>
  <c r="N79" i="47" s="1"/>
  <c r="L80" i="47"/>
  <c r="V86" i="47"/>
  <c r="N22" i="48"/>
  <c r="X18" i="49"/>
  <c r="Z18" i="49" s="1"/>
  <c r="L20" i="50"/>
  <c r="N20" i="50" s="1"/>
  <c r="R44" i="50"/>
  <c r="R73" i="51"/>
  <c r="R65" i="51"/>
  <c r="R61" i="51"/>
  <c r="R57" i="51"/>
  <c r="R54" i="51"/>
  <c r="R80" i="51"/>
  <c r="R77" i="51"/>
  <c r="R72" i="51"/>
  <c r="R68" i="51"/>
  <c r="R64" i="51"/>
  <c r="R60" i="51"/>
  <c r="R71" i="51"/>
  <c r="R63" i="51"/>
  <c r="R59" i="51"/>
  <c r="R56" i="51"/>
  <c r="R51" i="51"/>
  <c r="R62" i="51"/>
  <c r="R58" i="51"/>
  <c r="R81" i="51"/>
  <c r="R76" i="51"/>
  <c r="R69" i="51"/>
  <c r="R89" i="51"/>
  <c r="R82" i="51"/>
  <c r="R66" i="51"/>
  <c r="R45" i="51"/>
  <c r="R40" i="51"/>
  <c r="R36" i="51"/>
  <c r="R32" i="51"/>
  <c r="R24" i="51"/>
  <c r="R22" i="51"/>
  <c r="P20" i="51"/>
  <c r="X12" i="51"/>
  <c r="R55" i="51"/>
  <c r="R48" i="51"/>
  <c r="R35" i="51"/>
  <c r="R31" i="51"/>
  <c r="R85" i="51"/>
  <c r="R70" i="51"/>
  <c r="R53" i="51"/>
  <c r="R52" i="51"/>
  <c r="R42" i="51"/>
  <c r="R39" i="51"/>
  <c r="R34" i="51"/>
  <c r="R30" i="51"/>
  <c r="R23" i="51"/>
  <c r="R18" i="51"/>
  <c r="R74" i="51"/>
  <c r="R29" i="51"/>
  <c r="R17" i="51"/>
  <c r="R75" i="51"/>
  <c r="R50" i="51"/>
  <c r="R44" i="51"/>
  <c r="R41" i="51"/>
  <c r="R33" i="51"/>
  <c r="R28" i="51"/>
  <c r="R67" i="51"/>
  <c r="R46" i="51"/>
  <c r="R43" i="51"/>
  <c r="R38" i="51"/>
  <c r="R26" i="51"/>
  <c r="R78" i="51"/>
  <c r="R49" i="51"/>
  <c r="R37" i="51"/>
  <c r="R25" i="51"/>
  <c r="R20" i="51"/>
  <c r="J22" i="51"/>
  <c r="J30" i="51"/>
  <c r="Z14" i="57"/>
  <c r="X14" i="57"/>
  <c r="T16" i="57"/>
  <c r="V23" i="47"/>
  <c r="V39" i="47"/>
  <c r="V47" i="47"/>
  <c r="X51" i="47"/>
  <c r="Z62" i="47"/>
  <c r="L64" i="47"/>
  <c r="V66" i="47"/>
  <c r="V67" i="47"/>
  <c r="V70" i="47"/>
  <c r="X72" i="47"/>
  <c r="Z72" i="47" s="1"/>
  <c r="V84" i="47"/>
  <c r="N26" i="48"/>
  <c r="Z33" i="48"/>
  <c r="Z34" i="49"/>
  <c r="N25" i="50"/>
  <c r="R37" i="50"/>
  <c r="Z13" i="51"/>
  <c r="N16" i="51"/>
  <c r="J18" i="51"/>
  <c r="X43" i="51"/>
  <c r="Z43" i="51" s="1"/>
  <c r="L45" i="51"/>
  <c r="N45" i="51" s="1"/>
  <c r="X20" i="56"/>
  <c r="R20" i="56"/>
  <c r="V14" i="48"/>
  <c r="V22" i="48"/>
  <c r="J24" i="48"/>
  <c r="J30" i="48"/>
  <c r="V34" i="48"/>
  <c r="V38" i="48"/>
  <c r="V40" i="48"/>
  <c r="V45" i="48"/>
  <c r="R16" i="49"/>
  <c r="R21" i="49"/>
  <c r="F33" i="49"/>
  <c r="R34" i="49"/>
  <c r="P39" i="49"/>
  <c r="Z13" i="50"/>
  <c r="Z12" i="51"/>
  <c r="X13" i="51"/>
  <c r="X23" i="51"/>
  <c r="Z23" i="51" s="1"/>
  <c r="V24" i="51"/>
  <c r="V32" i="51"/>
  <c r="L33" i="51"/>
  <c r="N33" i="51" s="1"/>
  <c r="V36" i="51"/>
  <c r="X39" i="51"/>
  <c r="V40" i="51"/>
  <c r="L41" i="51"/>
  <c r="N41" i="51" s="1"/>
  <c r="V48" i="51"/>
  <c r="V66" i="51"/>
  <c r="Z81" i="51"/>
  <c r="N19" i="52"/>
  <c r="X20" i="52"/>
  <c r="Z20" i="52" s="1"/>
  <c r="J23" i="52"/>
  <c r="J29" i="52"/>
  <c r="J52" i="52"/>
  <c r="J23" i="53"/>
  <c r="J26" i="53"/>
  <c r="J22" i="53"/>
  <c r="H18" i="53"/>
  <c r="J18" i="53" s="1"/>
  <c r="J21" i="53"/>
  <c r="J16" i="53"/>
  <c r="D36" i="54"/>
  <c r="F20" i="56"/>
  <c r="V15" i="48"/>
  <c r="V23" i="48"/>
  <c r="J27" i="48"/>
  <c r="V31" i="48"/>
  <c r="J33" i="48"/>
  <c r="D16" i="49"/>
  <c r="R22" i="49"/>
  <c r="F25" i="49"/>
  <c r="R26" i="49"/>
  <c r="F30" i="49"/>
  <c r="R39" i="49"/>
  <c r="R46" i="49"/>
  <c r="T20" i="51"/>
  <c r="V25" i="51"/>
  <c r="V37" i="51"/>
  <c r="V45" i="51"/>
  <c r="V49" i="51"/>
  <c r="V54" i="51"/>
  <c r="V65" i="51"/>
  <c r="Z77" i="51"/>
  <c r="V78" i="51"/>
  <c r="V81" i="51"/>
  <c r="V55" i="52"/>
  <c r="V43" i="52"/>
  <c r="V77" i="52"/>
  <c r="V72" i="52"/>
  <c r="V70" i="52"/>
  <c r="V54" i="52"/>
  <c r="V46" i="52"/>
  <c r="V34" i="52"/>
  <c r="V67" i="52"/>
  <c r="V61" i="52"/>
  <c r="V49" i="52"/>
  <c r="V45" i="52"/>
  <c r="V37" i="52"/>
  <c r="V29" i="52"/>
  <c r="V25" i="52"/>
  <c r="V60" i="52"/>
  <c r="V48" i="52"/>
  <c r="V40" i="52"/>
  <c r="V36" i="52"/>
  <c r="V24" i="52"/>
  <c r="Z12" i="52"/>
  <c r="V63" i="52"/>
  <c r="V59" i="52"/>
  <c r="V51" i="52"/>
  <c r="V47" i="52"/>
  <c r="V39" i="52"/>
  <c r="V23" i="52"/>
  <c r="V19" i="52"/>
  <c r="V17" i="52"/>
  <c r="V65" i="52"/>
  <c r="V57" i="52"/>
  <c r="V53" i="52"/>
  <c r="V41" i="52"/>
  <c r="V33" i="52"/>
  <c r="V21" i="52"/>
  <c r="V64" i="52"/>
  <c r="V56" i="52"/>
  <c r="V52" i="52"/>
  <c r="V44" i="52"/>
  <c r="V32" i="52"/>
  <c r="V28" i="52"/>
  <c r="V20" i="52"/>
  <c r="J22" i="52"/>
  <c r="V30" i="52"/>
  <c r="X47" i="52"/>
  <c r="Z47" i="52" s="1"/>
  <c r="Z62" i="52"/>
  <c r="J72" i="52"/>
  <c r="J20" i="53"/>
  <c r="N20" i="56"/>
  <c r="V27" i="51"/>
  <c r="V43" i="51"/>
  <c r="V47" i="51"/>
  <c r="V61" i="51"/>
  <c r="Z62" i="51"/>
  <c r="Z19" i="52"/>
  <c r="D32" i="53"/>
  <c r="Z20" i="53"/>
  <c r="Z21" i="53"/>
  <c r="Z24" i="54"/>
  <c r="X29" i="54"/>
  <c r="Z28" i="57"/>
  <c r="N36" i="57"/>
  <c r="L36" i="57"/>
  <c r="T17" i="48"/>
  <c r="J20" i="48"/>
  <c r="V26" i="48"/>
  <c r="V30" i="48"/>
  <c r="J34" i="48"/>
  <c r="V36" i="48"/>
  <c r="V42" i="48"/>
  <c r="R14" i="49"/>
  <c r="F21" i="49"/>
  <c r="F32" i="49"/>
  <c r="V16" i="51"/>
  <c r="V28" i="51"/>
  <c r="V44" i="51"/>
  <c r="V51" i="51"/>
  <c r="N54" i="51"/>
  <c r="X58" i="51"/>
  <c r="V27" i="52"/>
  <c r="V38" i="52"/>
  <c r="N41" i="52"/>
  <c r="L41" i="52"/>
  <c r="V42" i="52"/>
  <c r="Z13" i="53"/>
  <c r="L18" i="54"/>
  <c r="N18" i="54" s="1"/>
  <c r="L17" i="55"/>
  <c r="Z24" i="55"/>
  <c r="R32" i="56"/>
  <c r="R29" i="56"/>
  <c r="R37" i="56"/>
  <c r="R25" i="56"/>
  <c r="R47" i="56"/>
  <c r="R36" i="56"/>
  <c r="R33" i="56"/>
  <c r="R28" i="56"/>
  <c r="R24" i="56"/>
  <c r="R43" i="56"/>
  <c r="R42" i="56"/>
  <c r="R41" i="56"/>
  <c r="R35" i="56"/>
  <c r="R15" i="56"/>
  <c r="R40" i="56"/>
  <c r="R38" i="56"/>
  <c r="R39" i="56"/>
  <c r="R34" i="56"/>
  <c r="X12" i="56"/>
  <c r="R31" i="56"/>
  <c r="R18" i="56"/>
  <c r="R45" i="56"/>
  <c r="R30" i="56"/>
  <c r="R22" i="56"/>
  <c r="R51" i="56"/>
  <c r="R44" i="56"/>
  <c r="R26" i="56"/>
  <c r="R21" i="56"/>
  <c r="R16" i="56"/>
  <c r="Z20" i="56"/>
  <c r="F22" i="49"/>
  <c r="F26" i="49"/>
  <c r="T12" i="50"/>
  <c r="X12" i="50" s="1"/>
  <c r="V17" i="51"/>
  <c r="V29" i="51"/>
  <c r="V33" i="51"/>
  <c r="V41" i="51"/>
  <c r="N56" i="51"/>
  <c r="V57" i="51"/>
  <c r="Z58" i="51"/>
  <c r="N67" i="51"/>
  <c r="Z18" i="57"/>
  <c r="V80" i="51"/>
  <c r="V72" i="51"/>
  <c r="V68" i="51"/>
  <c r="V64" i="51"/>
  <c r="V60" i="51"/>
  <c r="V56" i="51"/>
  <c r="V85" i="51"/>
  <c r="V79" i="51"/>
  <c r="V71" i="51"/>
  <c r="V67" i="51"/>
  <c r="V63" i="51"/>
  <c r="V59" i="51"/>
  <c r="V82" i="51"/>
  <c r="V70" i="51"/>
  <c r="V62" i="51"/>
  <c r="V58" i="51"/>
  <c r="V50" i="51"/>
  <c r="V76" i="51"/>
  <c r="V89" i="51"/>
  <c r="V75" i="51"/>
  <c r="V55" i="51"/>
  <c r="V18" i="51"/>
  <c r="V30" i="51"/>
  <c r="V34" i="51"/>
  <c r="V42" i="51"/>
  <c r="Z52" i="51"/>
  <c r="V53" i="51"/>
  <c r="V73" i="51"/>
  <c r="V84" i="51"/>
  <c r="J67" i="52"/>
  <c r="J63" i="52"/>
  <c r="J59" i="52"/>
  <c r="J51" i="52"/>
  <c r="J45" i="52"/>
  <c r="J39" i="52"/>
  <c r="J58" i="52"/>
  <c r="J42" i="52"/>
  <c r="J36" i="52"/>
  <c r="J65" i="52"/>
  <c r="J57" i="52"/>
  <c r="J53" i="52"/>
  <c r="J47" i="52"/>
  <c r="J33" i="52"/>
  <c r="J21" i="52"/>
  <c r="J17" i="52"/>
  <c r="J74" i="52"/>
  <c r="J68" i="52"/>
  <c r="J62" i="52"/>
  <c r="J56" i="52"/>
  <c r="J50" i="52"/>
  <c r="J44" i="52"/>
  <c r="J38" i="52"/>
  <c r="J32" i="52"/>
  <c r="J28" i="52"/>
  <c r="H17" i="52"/>
  <c r="L17" i="52" s="1"/>
  <c r="J55" i="52"/>
  <c r="J41" i="52"/>
  <c r="J35" i="52"/>
  <c r="J31" i="52"/>
  <c r="J27" i="52"/>
  <c r="J19" i="52"/>
  <c r="J15" i="52"/>
  <c r="J61" i="52"/>
  <c r="J49" i="52"/>
  <c r="J43" i="52"/>
  <c r="J37" i="52"/>
  <c r="J25" i="52"/>
  <c r="J77" i="52"/>
  <c r="J70" i="52"/>
  <c r="J60" i="52"/>
  <c r="J54" i="52"/>
  <c r="J48" i="52"/>
  <c r="J40" i="52"/>
  <c r="J34" i="52"/>
  <c r="J24" i="52"/>
  <c r="J14" i="52"/>
  <c r="N12" i="52"/>
  <c r="J30" i="52"/>
  <c r="H31" i="55"/>
  <c r="X18" i="56"/>
  <c r="P49" i="56"/>
  <c r="N13" i="58"/>
  <c r="H12" i="58"/>
  <c r="V23" i="51"/>
  <c r="V31" i="51"/>
  <c r="V35" i="51"/>
  <c r="V39" i="51"/>
  <c r="V52" i="51"/>
  <c r="V69" i="51"/>
  <c r="J20" i="52"/>
  <c r="N29" i="52"/>
  <c r="N26" i="54"/>
  <c r="Z19" i="55"/>
  <c r="H84" i="51"/>
  <c r="N84" i="51" s="1"/>
  <c r="P17" i="52"/>
  <c r="F19" i="52"/>
  <c r="R19" i="52"/>
  <c r="F20" i="52"/>
  <c r="R21" i="52"/>
  <c r="F25" i="52"/>
  <c r="R33" i="52"/>
  <c r="F37" i="52"/>
  <c r="R38" i="52"/>
  <c r="F49" i="52"/>
  <c r="R50" i="52"/>
  <c r="F52" i="52"/>
  <c r="R53" i="52"/>
  <c r="R57" i="52"/>
  <c r="F61" i="52"/>
  <c r="R62" i="52"/>
  <c r="F64" i="52"/>
  <c r="R65" i="52"/>
  <c r="R68" i="52"/>
  <c r="R74" i="52"/>
  <c r="T12" i="53"/>
  <c r="N14" i="53"/>
  <c r="R18" i="53"/>
  <c r="R26" i="53"/>
  <c r="R32" i="53"/>
  <c r="F16" i="54"/>
  <c r="V16" i="54"/>
  <c r="J18" i="54"/>
  <c r="V18" i="54"/>
  <c r="L19" i="54"/>
  <c r="F23" i="54"/>
  <c r="R24" i="54"/>
  <c r="F26" i="54"/>
  <c r="V26" i="54"/>
  <c r="R27" i="54"/>
  <c r="L29" i="54"/>
  <c r="R30" i="54"/>
  <c r="J32" i="54"/>
  <c r="R36" i="54"/>
  <c r="J39" i="54"/>
  <c r="T17" i="55"/>
  <c r="J20" i="55"/>
  <c r="F23" i="55"/>
  <c r="R24" i="55"/>
  <c r="F26" i="55"/>
  <c r="V26" i="55"/>
  <c r="R27" i="55"/>
  <c r="D31" i="55"/>
  <c r="R33" i="55"/>
  <c r="L12" i="56"/>
  <c r="F15" i="56"/>
  <c r="J31" i="56"/>
  <c r="F34" i="56"/>
  <c r="F37" i="56"/>
  <c r="F38" i="56"/>
  <c r="N47" i="56"/>
  <c r="P49" i="57"/>
  <c r="X16" i="57"/>
  <c r="F24" i="57"/>
  <c r="X40" i="57"/>
  <c r="Z40" i="57" s="1"/>
  <c r="R17" i="52"/>
  <c r="R22" i="52"/>
  <c r="F26" i="52"/>
  <c r="F30" i="52"/>
  <c r="F41" i="52"/>
  <c r="R42" i="52"/>
  <c r="F46" i="52"/>
  <c r="R47" i="52"/>
  <c r="R58" i="52"/>
  <c r="F72" i="52"/>
  <c r="X12" i="53"/>
  <c r="F24" i="53"/>
  <c r="F30" i="53"/>
  <c r="X12" i="54"/>
  <c r="H16" i="54"/>
  <c r="F20" i="54"/>
  <c r="J23" i="54"/>
  <c r="V27" i="54"/>
  <c r="F34" i="54"/>
  <c r="X12" i="55"/>
  <c r="V17" i="55"/>
  <c r="V19" i="55"/>
  <c r="J23" i="55"/>
  <c r="V27" i="55"/>
  <c r="F31" i="55"/>
  <c r="V31" i="55"/>
  <c r="V33" i="55"/>
  <c r="F38" i="55"/>
  <c r="V38" i="55"/>
  <c r="N12" i="56"/>
  <c r="Z21" i="56"/>
  <c r="J34" i="56"/>
  <c r="J37" i="56"/>
  <c r="F39" i="56"/>
  <c r="F40" i="56"/>
  <c r="R44" i="57"/>
  <c r="R39" i="57"/>
  <c r="R56" i="57"/>
  <c r="R35" i="57"/>
  <c r="R32" i="57"/>
  <c r="R27" i="57"/>
  <c r="R43" i="57"/>
  <c r="R38" i="57"/>
  <c r="R24" i="57"/>
  <c r="X12" i="57"/>
  <c r="R47" i="57"/>
  <c r="R36" i="57"/>
  <c r="R31" i="57"/>
  <c r="R28" i="57"/>
  <c r="R23" i="57"/>
  <c r="R14" i="57"/>
  <c r="R16" i="57"/>
  <c r="N34" i="57"/>
  <c r="F36" i="57"/>
  <c r="R40" i="57"/>
  <c r="R45" i="57"/>
  <c r="F56" i="57"/>
  <c r="V19" i="58"/>
  <c r="X12" i="52"/>
  <c r="F17" i="52"/>
  <c r="R24" i="52"/>
  <c r="F28" i="52"/>
  <c r="R29" i="52"/>
  <c r="F32" i="52"/>
  <c r="R40" i="52"/>
  <c r="F44" i="52"/>
  <c r="R45" i="52"/>
  <c r="F47" i="52"/>
  <c r="R48" i="52"/>
  <c r="F56" i="52"/>
  <c r="R60" i="52"/>
  <c r="R67" i="52"/>
  <c r="F22" i="53"/>
  <c r="R23" i="53"/>
  <c r="L16" i="54"/>
  <c r="R19" i="54"/>
  <c r="J21" i="54"/>
  <c r="V25" i="54"/>
  <c r="R29" i="54"/>
  <c r="J17" i="55"/>
  <c r="J21" i="55"/>
  <c r="V25" i="55"/>
  <c r="R29" i="55"/>
  <c r="J31" i="55"/>
  <c r="R35" i="55"/>
  <c r="J38" i="55"/>
  <c r="J35" i="56"/>
  <c r="J40" i="56"/>
  <c r="J41" i="56"/>
  <c r="F42" i="56"/>
  <c r="L19" i="57"/>
  <c r="N19" i="57" s="1"/>
  <c r="Z32" i="57"/>
  <c r="R33" i="57"/>
  <c r="F38" i="57"/>
  <c r="V18" i="58"/>
  <c r="V48" i="58"/>
  <c r="V62" i="58"/>
  <c r="P84" i="51"/>
  <c r="X84" i="51" s="1"/>
  <c r="R14" i="52"/>
  <c r="F21" i="52"/>
  <c r="R25" i="52"/>
  <c r="F33" i="52"/>
  <c r="R34" i="52"/>
  <c r="F36" i="52"/>
  <c r="R37" i="52"/>
  <c r="R49" i="52"/>
  <c r="F53" i="52"/>
  <c r="R54" i="52"/>
  <c r="F57" i="52"/>
  <c r="R61" i="52"/>
  <c r="F65" i="52"/>
  <c r="D67" i="52"/>
  <c r="L67" i="52" s="1"/>
  <c r="T67" i="52"/>
  <c r="T70" i="52" s="1"/>
  <c r="R70" i="52"/>
  <c r="R77" i="52"/>
  <c r="R16" i="53"/>
  <c r="R28" i="53"/>
  <c r="R35" i="53"/>
  <c r="F22" i="54"/>
  <c r="V22" i="54"/>
  <c r="R23" i="54"/>
  <c r="J24" i="54"/>
  <c r="F27" i="54"/>
  <c r="T29" i="54"/>
  <c r="Z29" i="54" s="1"/>
  <c r="J30" i="54"/>
  <c r="R32" i="54"/>
  <c r="J36" i="54"/>
  <c r="R39" i="54"/>
  <c r="F14" i="55"/>
  <c r="V14" i="55"/>
  <c r="R15" i="55"/>
  <c r="R20" i="55"/>
  <c r="F22" i="55"/>
  <c r="V22" i="55"/>
  <c r="R23" i="55"/>
  <c r="J24" i="55"/>
  <c r="F27" i="55"/>
  <c r="F33" i="55"/>
  <c r="F16" i="56"/>
  <c r="D18" i="56"/>
  <c r="J21" i="56"/>
  <c r="F26" i="56"/>
  <c r="L29" i="56"/>
  <c r="Z33" i="56"/>
  <c r="J42" i="56"/>
  <c r="F43" i="56"/>
  <c r="F44" i="56"/>
  <c r="L18" i="57"/>
  <c r="N18" i="57" s="1"/>
  <c r="R18" i="57"/>
  <c r="R30" i="57"/>
  <c r="N42" i="57"/>
  <c r="L42" i="57"/>
  <c r="Z44" i="57"/>
  <c r="X44" i="57"/>
  <c r="F22" i="52"/>
  <c r="R26" i="52"/>
  <c r="F29" i="52"/>
  <c r="R30" i="52"/>
  <c r="F42" i="52"/>
  <c r="R43" i="52"/>
  <c r="F45" i="52"/>
  <c r="R46" i="52"/>
  <c r="F58" i="52"/>
  <c r="F67" i="52"/>
  <c r="L12" i="53"/>
  <c r="N12" i="53" s="1"/>
  <c r="L18" i="53"/>
  <c r="R21" i="53"/>
  <c r="R24" i="53"/>
  <c r="R30" i="53"/>
  <c r="L12" i="54"/>
  <c r="P16" i="54"/>
  <c r="F18" i="54"/>
  <c r="R18" i="54"/>
  <c r="F19" i="54"/>
  <c r="V19" i="54"/>
  <c r="R20" i="54"/>
  <c r="V23" i="54"/>
  <c r="R34" i="54"/>
  <c r="V15" i="55"/>
  <c r="V23" i="55"/>
  <c r="J27" i="55"/>
  <c r="F29" i="55"/>
  <c r="V29" i="55"/>
  <c r="J16" i="56"/>
  <c r="F18" i="56"/>
  <c r="J20" i="56"/>
  <c r="F22" i="56"/>
  <c r="F25" i="56"/>
  <c r="J26" i="56"/>
  <c r="F29" i="56"/>
  <c r="F30" i="56"/>
  <c r="X35" i="56"/>
  <c r="Z35" i="56" s="1"/>
  <c r="N44" i="56"/>
  <c r="L44" i="56"/>
  <c r="J51" i="56"/>
  <c r="F43" i="57"/>
  <c r="F53" i="57"/>
  <c r="F47" i="57"/>
  <c r="F49" i="57"/>
  <c r="F34" i="57"/>
  <c r="F31" i="57"/>
  <c r="F23" i="57"/>
  <c r="F14" i="57"/>
  <c r="F51" i="57"/>
  <c r="F45" i="57"/>
  <c r="F41" i="57"/>
  <c r="F40" i="57"/>
  <c r="F20" i="57"/>
  <c r="F44" i="57"/>
  <c r="F39" i="57"/>
  <c r="F35" i="57"/>
  <c r="F30" i="57"/>
  <c r="F27" i="57"/>
  <c r="F16" i="57"/>
  <c r="H16" i="57"/>
  <c r="N14" i="57"/>
  <c r="D16" i="57"/>
  <c r="F28" i="57"/>
  <c r="R34" i="57"/>
  <c r="F70" i="52"/>
  <c r="R16" i="54"/>
  <c r="R21" i="54"/>
  <c r="P17" i="55"/>
  <c r="R19" i="55"/>
  <c r="R21" i="55"/>
  <c r="R26" i="55"/>
  <c r="F36" i="56"/>
  <c r="F31" i="56"/>
  <c r="F28" i="56"/>
  <c r="F24" i="56"/>
  <c r="F51" i="56"/>
  <c r="F45" i="56"/>
  <c r="F41" i="56"/>
  <c r="F35" i="56"/>
  <c r="F32" i="56"/>
  <c r="F27" i="56"/>
  <c r="H18" i="56"/>
  <c r="J22" i="56"/>
  <c r="F23" i="56"/>
  <c r="J24" i="56"/>
  <c r="J25" i="56"/>
  <c r="J28" i="56"/>
  <c r="J30" i="56"/>
  <c r="Z38" i="56"/>
  <c r="X38" i="56"/>
  <c r="J44" i="56"/>
  <c r="L40" i="57"/>
  <c r="N40" i="57" s="1"/>
  <c r="V77" i="58"/>
  <c r="V69" i="58"/>
  <c r="V65" i="58"/>
  <c r="V61" i="58"/>
  <c r="V57" i="58"/>
  <c r="V49" i="58"/>
  <c r="V41" i="58"/>
  <c r="V37" i="58"/>
  <c r="V33" i="58"/>
  <c r="V25" i="58"/>
  <c r="V68" i="58"/>
  <c r="V64" i="58"/>
  <c r="V60" i="58"/>
  <c r="V52" i="58"/>
  <c r="V44" i="58"/>
  <c r="V36" i="58"/>
  <c r="V32" i="58"/>
  <c r="V24" i="58"/>
  <c r="V84" i="58"/>
  <c r="V67" i="58"/>
  <c r="V63" i="58"/>
  <c r="V59" i="58"/>
  <c r="V51" i="58"/>
  <c r="V43" i="58"/>
  <c r="V35" i="58"/>
  <c r="V31" i="58"/>
  <c r="V80" i="58"/>
  <c r="V73" i="58"/>
  <c r="V53" i="58"/>
  <c r="V45" i="58"/>
  <c r="V29" i="58"/>
  <c r="V17" i="58"/>
  <c r="V76" i="58"/>
  <c r="V72" i="58"/>
  <c r="V56" i="58"/>
  <c r="V78" i="58"/>
  <c r="V58" i="58"/>
  <c r="V50" i="58"/>
  <c r="V39" i="58"/>
  <c r="V38" i="58"/>
  <c r="V34" i="58"/>
  <c r="V28" i="58"/>
  <c r="V75" i="58"/>
  <c r="V66" i="58"/>
  <c r="V55" i="58"/>
  <c r="V40" i="58"/>
  <c r="V23" i="58"/>
  <c r="V42" i="58"/>
  <c r="V71" i="58"/>
  <c r="V47" i="58"/>
  <c r="V30" i="58"/>
  <c r="T21" i="58"/>
  <c r="V21" i="58" s="1"/>
  <c r="V26" i="58"/>
  <c r="L23" i="58"/>
  <c r="V46" i="58"/>
  <c r="P18" i="53"/>
  <c r="R20" i="53"/>
  <c r="R17" i="55"/>
  <c r="R31" i="55"/>
  <c r="J53" i="56"/>
  <c r="J47" i="56"/>
  <c r="J43" i="56"/>
  <c r="J39" i="56"/>
  <c r="J33" i="56"/>
  <c r="J38" i="56"/>
  <c r="J32" i="56"/>
  <c r="J56" i="56"/>
  <c r="J49" i="56"/>
  <c r="J29" i="56"/>
  <c r="J18" i="56"/>
  <c r="J23" i="56"/>
  <c r="J27" i="56"/>
  <c r="N31" i="56"/>
  <c r="F33" i="56"/>
  <c r="N23" i="58"/>
  <c r="V54" i="58"/>
  <c r="V70" i="58"/>
  <c r="V53" i="57"/>
  <c r="V47" i="57"/>
  <c r="V16" i="57"/>
  <c r="J18" i="57"/>
  <c r="V18" i="57"/>
  <c r="V22" i="57"/>
  <c r="J26" i="57"/>
  <c r="V30" i="57"/>
  <c r="J32" i="57"/>
  <c r="J38" i="57"/>
  <c r="V40" i="57"/>
  <c r="V41" i="57"/>
  <c r="J43" i="57"/>
  <c r="Z47" i="58"/>
  <c r="V23" i="57"/>
  <c r="J27" i="57"/>
  <c r="V31" i="57"/>
  <c r="J35" i="57"/>
  <c r="J39" i="57"/>
  <c r="V49" i="57"/>
  <c r="D12" i="58"/>
  <c r="N41" i="58"/>
  <c r="L53" i="58"/>
  <c r="N53" i="58" s="1"/>
  <c r="Z62" i="58"/>
  <c r="J53" i="57"/>
  <c r="L13" i="58"/>
  <c r="Z23" i="58"/>
  <c r="L41" i="58"/>
  <c r="X55" i="58"/>
  <c r="Z55" i="58" s="1"/>
  <c r="Z66" i="58"/>
  <c r="X75" i="58"/>
  <c r="Z75" i="58" s="1"/>
  <c r="N14" i="59"/>
  <c r="H12" i="59"/>
  <c r="P87" i="60"/>
  <c r="J40" i="57"/>
  <c r="J51" i="57"/>
  <c r="J45" i="57"/>
  <c r="V14" i="57"/>
  <c r="J22" i="57"/>
  <c r="V26" i="57"/>
  <c r="J28" i="57"/>
  <c r="V34" i="57"/>
  <c r="J36" i="57"/>
  <c r="V38" i="57"/>
  <c r="V39" i="57"/>
  <c r="J41" i="57"/>
  <c r="V42" i="57"/>
  <c r="V43" i="57"/>
  <c r="J47" i="57"/>
  <c r="X13" i="58"/>
  <c r="Z13" i="58" s="1"/>
  <c r="P12" i="58"/>
  <c r="Z34" i="58"/>
  <c r="X14" i="59"/>
  <c r="P12" i="59"/>
  <c r="L45" i="58"/>
  <c r="N47" i="58"/>
  <c r="Z53" i="58"/>
  <c r="N57" i="58"/>
  <c r="L57" i="58"/>
  <c r="N77" i="58"/>
  <c r="L77" i="58"/>
  <c r="V80" i="60"/>
  <c r="V72" i="60"/>
  <c r="V68" i="60"/>
  <c r="V89" i="60"/>
  <c r="V83" i="60"/>
  <c r="V71" i="60"/>
  <c r="V67" i="60"/>
  <c r="V76" i="60"/>
  <c r="V85" i="60"/>
  <c r="V79" i="60"/>
  <c r="V75" i="60"/>
  <c r="V81" i="60"/>
  <c r="V73" i="60"/>
  <c r="V63" i="60"/>
  <c r="V59" i="60"/>
  <c r="V51" i="60"/>
  <c r="V43" i="60"/>
  <c r="V35" i="60"/>
  <c r="V31" i="60"/>
  <c r="V19" i="60"/>
  <c r="V82" i="60"/>
  <c r="V62" i="60"/>
  <c r="V54" i="60"/>
  <c r="V46" i="60"/>
  <c r="V34" i="60"/>
  <c r="V30" i="60"/>
  <c r="V18" i="60"/>
  <c r="V53" i="60"/>
  <c r="V45" i="60"/>
  <c r="V29" i="60"/>
  <c r="V17" i="60"/>
  <c r="V78" i="60"/>
  <c r="V56" i="60"/>
  <c r="V48" i="60"/>
  <c r="V40" i="60"/>
  <c r="V28" i="60"/>
  <c r="V55" i="60"/>
  <c r="V47" i="60"/>
  <c r="V39" i="60"/>
  <c r="V27" i="60"/>
  <c r="V23" i="60"/>
  <c r="V77" i="60"/>
  <c r="V69" i="60"/>
  <c r="V58" i="60"/>
  <c r="V50" i="60"/>
  <c r="V42" i="60"/>
  <c r="V38" i="60"/>
  <c r="V26" i="60"/>
  <c r="T21" i="60"/>
  <c r="X21" i="60" s="1"/>
  <c r="V74" i="60"/>
  <c r="V70" i="60"/>
  <c r="V66" i="60"/>
  <c r="V65" i="60"/>
  <c r="V61" i="60"/>
  <c r="V57" i="60"/>
  <c r="V49" i="60"/>
  <c r="V41" i="60"/>
  <c r="V37" i="60"/>
  <c r="V33" i="60"/>
  <c r="V25" i="60"/>
  <c r="V60" i="60"/>
  <c r="V24" i="60"/>
  <c r="V52" i="60"/>
  <c r="V64" i="60"/>
  <c r="V44" i="60"/>
  <c r="V32" i="60"/>
  <c r="X59" i="58"/>
  <c r="Z59" i="58"/>
  <c r="X57" i="60"/>
  <c r="Z57" i="60" s="1"/>
  <c r="L59" i="60"/>
  <c r="N59" i="60" s="1"/>
  <c r="X16" i="59"/>
  <c r="L23" i="60"/>
  <c r="N23" i="60" s="1"/>
  <c r="T12" i="59"/>
  <c r="J82" i="60"/>
  <c r="J76" i="60"/>
  <c r="J79" i="60"/>
  <c r="J75" i="60"/>
  <c r="J69" i="60"/>
  <c r="J85" i="60"/>
  <c r="J81" i="60"/>
  <c r="J78" i="60"/>
  <c r="J89" i="60"/>
  <c r="J83" i="60"/>
  <c r="J71" i="60"/>
  <c r="J77" i="60"/>
  <c r="J67" i="60"/>
  <c r="J80" i="60"/>
  <c r="J74" i="60"/>
  <c r="J68" i="60"/>
  <c r="J53" i="60"/>
  <c r="J45" i="60"/>
  <c r="J39" i="60"/>
  <c r="J27" i="60"/>
  <c r="J17" i="60"/>
  <c r="J66" i="60"/>
  <c r="J58" i="60"/>
  <c r="J50" i="60"/>
  <c r="J42" i="60"/>
  <c r="J38" i="60"/>
  <c r="J26" i="60"/>
  <c r="J70" i="60"/>
  <c r="J65" i="60"/>
  <c r="J61" i="60"/>
  <c r="J55" i="60"/>
  <c r="J47" i="60"/>
  <c r="J37" i="60"/>
  <c r="J33" i="60"/>
  <c r="J25" i="60"/>
  <c r="J21" i="60"/>
  <c r="J64" i="60"/>
  <c r="J60" i="60"/>
  <c r="J52" i="60"/>
  <c r="J44" i="60"/>
  <c r="J36" i="60"/>
  <c r="J32" i="60"/>
  <c r="H21" i="60"/>
  <c r="J72" i="60"/>
  <c r="J63" i="60"/>
  <c r="J57" i="60"/>
  <c r="J49" i="60"/>
  <c r="J41" i="60"/>
  <c r="J35" i="60"/>
  <c r="J31" i="60"/>
  <c r="J23" i="60"/>
  <c r="J19" i="60"/>
  <c r="J73" i="60"/>
  <c r="J54" i="60"/>
  <c r="J46" i="60"/>
  <c r="J30" i="60"/>
  <c r="J24" i="60"/>
  <c r="J59" i="60"/>
  <c r="J51" i="60"/>
  <c r="J43" i="60"/>
  <c r="J29" i="60"/>
  <c r="N24" i="60"/>
  <c r="R81" i="60"/>
  <c r="R78" i="60"/>
  <c r="R73" i="60"/>
  <c r="R72" i="60"/>
  <c r="R68" i="60"/>
  <c r="R87" i="60"/>
  <c r="R82" i="60"/>
  <c r="R77" i="60"/>
  <c r="R76" i="60"/>
  <c r="R69" i="60"/>
  <c r="R85" i="60"/>
  <c r="R74" i="60"/>
  <c r="R66" i="60"/>
  <c r="R75" i="60"/>
  <c r="R64" i="60"/>
  <c r="R60" i="60"/>
  <c r="R57" i="60"/>
  <c r="R52" i="60"/>
  <c r="R49" i="60"/>
  <c r="R44" i="60"/>
  <c r="R41" i="60"/>
  <c r="R36" i="60"/>
  <c r="R32" i="60"/>
  <c r="X12" i="60"/>
  <c r="Z12" i="60" s="1"/>
  <c r="R63" i="60"/>
  <c r="R35" i="60"/>
  <c r="R31" i="60"/>
  <c r="R24" i="60"/>
  <c r="R19" i="60"/>
  <c r="R59" i="60"/>
  <c r="R54" i="60"/>
  <c r="R51" i="60"/>
  <c r="R46" i="60"/>
  <c r="R43" i="60"/>
  <c r="R30" i="60"/>
  <c r="R18" i="60"/>
  <c r="R62" i="60"/>
  <c r="R34" i="60"/>
  <c r="R29" i="60"/>
  <c r="R83" i="60"/>
  <c r="R56" i="60"/>
  <c r="R53" i="60"/>
  <c r="R48" i="60"/>
  <c r="R45" i="60"/>
  <c r="R40" i="60"/>
  <c r="R28" i="60"/>
  <c r="R17" i="60"/>
  <c r="R67" i="60"/>
  <c r="R39" i="60"/>
  <c r="R27" i="60"/>
  <c r="R80" i="60"/>
  <c r="R79" i="60"/>
  <c r="R58" i="60"/>
  <c r="R55" i="60"/>
  <c r="R50" i="60"/>
  <c r="R47" i="60"/>
  <c r="R42" i="60"/>
  <c r="R38" i="60"/>
  <c r="R26" i="60"/>
  <c r="R21" i="60"/>
  <c r="R33" i="60"/>
  <c r="J40" i="60"/>
  <c r="Z41" i="60"/>
  <c r="X41" i="60"/>
  <c r="N43" i="60"/>
  <c r="L43" i="60"/>
  <c r="F40" i="59"/>
  <c r="F34" i="59"/>
  <c r="F29" i="59"/>
  <c r="F26" i="59"/>
  <c r="F31" i="59"/>
  <c r="F28" i="59"/>
  <c r="F45" i="59"/>
  <c r="F38" i="59"/>
  <c r="F22" i="59"/>
  <c r="F21" i="59"/>
  <c r="F33" i="59"/>
  <c r="F30" i="59"/>
  <c r="F25" i="59"/>
  <c r="F32" i="59"/>
  <c r="F27" i="59"/>
  <c r="F24" i="59"/>
  <c r="F16" i="59"/>
  <c r="D19" i="59"/>
  <c r="X27" i="59"/>
  <c r="Z33" i="59"/>
  <c r="L13" i="60"/>
  <c r="N13" i="60" s="1"/>
  <c r="D12" i="60"/>
  <c r="Z15" i="60"/>
  <c r="J18" i="60"/>
  <c r="R23" i="60"/>
  <c r="R89" i="60"/>
  <c r="Z13" i="61"/>
  <c r="T12" i="61"/>
  <c r="L14" i="59"/>
  <c r="F17" i="59"/>
  <c r="F19" i="59"/>
  <c r="X15" i="60"/>
  <c r="Z23" i="60"/>
  <c r="J48" i="60"/>
  <c r="Z49" i="60"/>
  <c r="X49" i="60"/>
  <c r="L51" i="60"/>
  <c r="N51" i="60" s="1"/>
  <c r="R71" i="60"/>
  <c r="Z69" i="60"/>
  <c r="Z85" i="60"/>
  <c r="X85" i="60"/>
  <c r="N46" i="61"/>
  <c r="N56" i="61"/>
  <c r="Z24" i="61"/>
  <c r="Z34" i="61"/>
  <c r="Z67" i="60"/>
  <c r="Z23" i="61"/>
  <c r="Z46" i="61"/>
  <c r="X60" i="61"/>
  <c r="Z60" i="61" s="1"/>
  <c r="Z67" i="61"/>
  <c r="P12" i="61"/>
  <c r="X14" i="61"/>
  <c r="N13" i="61"/>
  <c r="H12" i="61"/>
  <c r="N16" i="62"/>
  <c r="H24" i="62"/>
  <c r="X13" i="63"/>
  <c r="Z13" i="63" s="1"/>
  <c r="P12" i="63"/>
  <c r="N69" i="60"/>
  <c r="X13" i="61"/>
  <c r="L23" i="61"/>
  <c r="N23" i="61" s="1"/>
  <c r="N24" i="61"/>
  <c r="Z52" i="61"/>
  <c r="V18" i="62"/>
  <c r="V14" i="62"/>
  <c r="V28" i="62"/>
  <c r="V22" i="62"/>
  <c r="T16" i="62"/>
  <c r="V31" i="62"/>
  <c r="V26" i="62"/>
  <c r="V24" i="62"/>
  <c r="N20" i="62"/>
  <c r="D66" i="63"/>
  <c r="V27" i="63"/>
  <c r="Z30" i="63"/>
  <c r="L34" i="64"/>
  <c r="X12" i="62"/>
  <c r="V64" i="63"/>
  <c r="V58" i="63"/>
  <c r="V42" i="63"/>
  <c r="V30" i="63"/>
  <c r="V26" i="63"/>
  <c r="V61" i="63"/>
  <c r="V45" i="63"/>
  <c r="V41" i="63"/>
  <c r="V25" i="63"/>
  <c r="V60" i="63"/>
  <c r="V52" i="63"/>
  <c r="V44" i="63"/>
  <c r="V36" i="63"/>
  <c r="V24" i="63"/>
  <c r="V51" i="63"/>
  <c r="V47" i="63"/>
  <c r="V35" i="63"/>
  <c r="V23" i="63"/>
  <c r="V19" i="63"/>
  <c r="V17" i="63"/>
  <c r="V68" i="63"/>
  <c r="V54" i="63"/>
  <c r="V50" i="63"/>
  <c r="V46" i="63"/>
  <c r="V38" i="63"/>
  <c r="V34" i="63"/>
  <c r="V22" i="63"/>
  <c r="V57" i="63"/>
  <c r="V53" i="63"/>
  <c r="V49" i="63"/>
  <c r="V37" i="63"/>
  <c r="V33" i="63"/>
  <c r="V29" i="63"/>
  <c r="V21" i="63"/>
  <c r="V56" i="63"/>
  <c r="V48" i="63"/>
  <c r="V40" i="63"/>
  <c r="V32" i="63"/>
  <c r="V28" i="63"/>
  <c r="V20" i="63"/>
  <c r="V59" i="63"/>
  <c r="N64" i="63"/>
  <c r="H63" i="63"/>
  <c r="D12" i="61"/>
  <c r="X24" i="61"/>
  <c r="L34" i="61"/>
  <c r="N34" i="61" s="1"/>
  <c r="X40" i="61"/>
  <c r="Z40" i="61" s="1"/>
  <c r="L42" i="61"/>
  <c r="X48" i="61"/>
  <c r="L50" i="61"/>
  <c r="L14" i="62"/>
  <c r="L13" i="63"/>
  <c r="N13" i="63" s="1"/>
  <c r="Z20" i="63"/>
  <c r="L58" i="63"/>
  <c r="N58" i="63" s="1"/>
  <c r="H12" i="63"/>
  <c r="N19" i="63"/>
  <c r="V31" i="63"/>
  <c r="V39" i="63"/>
  <c r="Z64" i="63"/>
  <c r="P24" i="62"/>
  <c r="Z19" i="63"/>
  <c r="N30" i="63"/>
  <c r="Z48" i="63"/>
  <c r="V16" i="62"/>
  <c r="V55" i="63"/>
  <c r="R16" i="62"/>
  <c r="J18" i="62"/>
  <c r="R20" i="62"/>
  <c r="F24" i="62"/>
  <c r="F31" i="62"/>
  <c r="F19" i="63"/>
  <c r="F20" i="63"/>
  <c r="F25" i="63"/>
  <c r="F45" i="63"/>
  <c r="F48" i="63"/>
  <c r="F61" i="63"/>
  <c r="D63" i="63"/>
  <c r="L63" i="63" s="1"/>
  <c r="T63" i="63"/>
  <c r="P18" i="64"/>
  <c r="X20" i="64"/>
  <c r="L24" i="64"/>
  <c r="R25" i="64"/>
  <c r="J27" i="64"/>
  <c r="R29" i="64"/>
  <c r="J31" i="64"/>
  <c r="R33" i="64"/>
  <c r="J34" i="64"/>
  <c r="R36" i="64"/>
  <c r="D16" i="62"/>
  <c r="T20" i="62"/>
  <c r="X20" i="62" s="1"/>
  <c r="J21" i="62"/>
  <c r="F26" i="63"/>
  <c r="F37" i="63"/>
  <c r="F42" i="63"/>
  <c r="F53" i="63"/>
  <c r="F63" i="63"/>
  <c r="J16" i="64"/>
  <c r="J20" i="64"/>
  <c r="F22" i="64"/>
  <c r="V22" i="64"/>
  <c r="F27" i="63"/>
  <c r="F31" i="63"/>
  <c r="F43" i="63"/>
  <c r="F46" i="63"/>
  <c r="F59" i="63"/>
  <c r="L12" i="64"/>
  <c r="F15" i="64"/>
  <c r="V15" i="64"/>
  <c r="D18" i="64"/>
  <c r="T18" i="64"/>
  <c r="R21" i="64"/>
  <c r="F25" i="64"/>
  <c r="V25" i="64"/>
  <c r="F29" i="64"/>
  <c r="V29" i="64"/>
  <c r="F33" i="64"/>
  <c r="V33" i="64"/>
  <c r="F36" i="64"/>
  <c r="V36" i="64"/>
  <c r="F26" i="62"/>
  <c r="F17" i="63"/>
  <c r="F28" i="63"/>
  <c r="F32" i="63"/>
  <c r="F40" i="63"/>
  <c r="F56" i="63"/>
  <c r="V18" i="64"/>
  <c r="J22" i="64"/>
  <c r="R24" i="64"/>
  <c r="F28" i="62"/>
  <c r="F21" i="63"/>
  <c r="F29" i="63"/>
  <c r="F33" i="63"/>
  <c r="F44" i="63"/>
  <c r="F49" i="63"/>
  <c r="F57" i="63"/>
  <c r="F60" i="63"/>
  <c r="J15" i="64"/>
  <c r="H18" i="64"/>
  <c r="F21" i="64"/>
  <c r="V21" i="64"/>
  <c r="J25" i="64"/>
  <c r="R27" i="64"/>
  <c r="J29" i="64"/>
  <c r="R31" i="64"/>
  <c r="J33" i="64"/>
  <c r="J36" i="64"/>
  <c r="R21" i="62"/>
  <c r="X22" i="62"/>
  <c r="Z22" i="62" s="1"/>
  <c r="F22" i="63"/>
  <c r="F34" i="63"/>
  <c r="F38" i="63"/>
  <c r="F41" i="63"/>
  <c r="F50" i="63"/>
  <c r="F54" i="63"/>
  <c r="X60" i="63"/>
  <c r="F68" i="63"/>
  <c r="J18" i="64"/>
  <c r="X21" i="64"/>
  <c r="F24" i="64"/>
  <c r="V24" i="64"/>
  <c r="F14" i="62"/>
  <c r="J22" i="62"/>
  <c r="R24" i="62"/>
  <c r="F23" i="63"/>
  <c r="F30" i="63"/>
  <c r="F35" i="63"/>
  <c r="F47" i="63"/>
  <c r="F51" i="63"/>
  <c r="F58" i="63"/>
  <c r="F64" i="63"/>
  <c r="X12" i="64"/>
  <c r="F27" i="64"/>
  <c r="V27" i="64"/>
  <c r="F31" i="64"/>
  <c r="V31" i="64"/>
  <c r="T74" i="52" l="1"/>
  <c r="F90" i="61"/>
  <c r="F83" i="61"/>
  <c r="F38" i="61"/>
  <c r="F26" i="61"/>
  <c r="F17" i="61"/>
  <c r="F87" i="61"/>
  <c r="F85" i="61"/>
  <c r="F76" i="61"/>
  <c r="F73" i="61"/>
  <c r="F60" i="61"/>
  <c r="F57" i="61"/>
  <c r="F52" i="61"/>
  <c r="F49" i="61"/>
  <c r="F44" i="61"/>
  <c r="F41" i="61"/>
  <c r="F37" i="61"/>
  <c r="F33" i="61"/>
  <c r="F25" i="61"/>
  <c r="F78" i="61"/>
  <c r="F75" i="61"/>
  <c r="F71" i="61"/>
  <c r="F59" i="61"/>
  <c r="F54" i="61"/>
  <c r="F51" i="61"/>
  <c r="F46" i="61"/>
  <c r="F43" i="61"/>
  <c r="F35" i="61"/>
  <c r="F31" i="61"/>
  <c r="D21" i="61"/>
  <c r="F19" i="61"/>
  <c r="F70" i="61"/>
  <c r="F66" i="61"/>
  <c r="F62" i="61"/>
  <c r="F30" i="61"/>
  <c r="F18" i="61"/>
  <c r="F77" i="61"/>
  <c r="F69" i="61"/>
  <c r="F65" i="61"/>
  <c r="F61" i="61"/>
  <c r="F56" i="61"/>
  <c r="F53" i="61"/>
  <c r="F48" i="61"/>
  <c r="F45" i="61"/>
  <c r="F40" i="61"/>
  <c r="F29" i="61"/>
  <c r="F24" i="61"/>
  <c r="F23" i="61"/>
  <c r="F68" i="61"/>
  <c r="F64" i="61"/>
  <c r="F28" i="61"/>
  <c r="F81" i="61"/>
  <c r="F79" i="61"/>
  <c r="F74" i="61"/>
  <c r="F58" i="61"/>
  <c r="F55" i="61"/>
  <c r="F50" i="61"/>
  <c r="F47" i="61"/>
  <c r="F42" i="61"/>
  <c r="F39" i="61"/>
  <c r="F34" i="61"/>
  <c r="F27" i="61"/>
  <c r="F72" i="61"/>
  <c r="F32" i="61"/>
  <c r="F21" i="61"/>
  <c r="F36" i="61"/>
  <c r="L12" i="61"/>
  <c r="F67" i="61"/>
  <c r="F63" i="61"/>
  <c r="D70" i="63"/>
  <c r="T82" i="47"/>
  <c r="Z16" i="47"/>
  <c r="H60" i="31"/>
  <c r="D22" i="20"/>
  <c r="L16" i="20"/>
  <c r="F107" i="19"/>
  <c r="F101" i="19"/>
  <c r="F95" i="19"/>
  <c r="F84" i="19"/>
  <c r="F90" i="19"/>
  <c r="F87" i="19"/>
  <c r="F78" i="19"/>
  <c r="F97" i="19"/>
  <c r="F94" i="19"/>
  <c r="F86" i="19"/>
  <c r="F81" i="19"/>
  <c r="F102" i="19"/>
  <c r="F93" i="19"/>
  <c r="F89" i="19"/>
  <c r="F96" i="19"/>
  <c r="F92" i="19"/>
  <c r="F83" i="19"/>
  <c r="F100" i="19"/>
  <c r="F91" i="19"/>
  <c r="F79" i="19"/>
  <c r="F103" i="19"/>
  <c r="F60" i="19"/>
  <c r="F48" i="19"/>
  <c r="F40" i="19"/>
  <c r="F98" i="19"/>
  <c r="F88" i="19"/>
  <c r="F85" i="19"/>
  <c r="F77" i="19"/>
  <c r="F74" i="19"/>
  <c r="F71" i="19"/>
  <c r="F66" i="19"/>
  <c r="F59" i="19"/>
  <c r="F47" i="19"/>
  <c r="F39" i="19"/>
  <c r="F80" i="19"/>
  <c r="F70" i="19"/>
  <c r="F58" i="19"/>
  <c r="F46" i="19"/>
  <c r="F38" i="19"/>
  <c r="F76" i="19"/>
  <c r="F73" i="19"/>
  <c r="F69" i="19"/>
  <c r="F65" i="19"/>
  <c r="F57" i="19"/>
  <c r="F45" i="19"/>
  <c r="F37" i="19"/>
  <c r="F82" i="19"/>
  <c r="F68" i="19"/>
  <c r="F64" i="19"/>
  <c r="F53" i="19"/>
  <c r="F44" i="19"/>
  <c r="L12" i="19"/>
  <c r="F75" i="19"/>
  <c r="F67" i="19"/>
  <c r="F63" i="19"/>
  <c r="D53" i="19"/>
  <c r="F51" i="19"/>
  <c r="F43" i="19"/>
  <c r="F62" i="19"/>
  <c r="F50" i="19"/>
  <c r="F42" i="19"/>
  <c r="F55" i="19"/>
  <c r="F49" i="19"/>
  <c r="F36" i="19"/>
  <c r="F72" i="19"/>
  <c r="F41" i="19"/>
  <c r="F61" i="19"/>
  <c r="F56" i="19"/>
  <c r="F97" i="17"/>
  <c r="F91" i="17"/>
  <c r="F87" i="17"/>
  <c r="F79" i="17"/>
  <c r="F71" i="17"/>
  <c r="F67" i="17"/>
  <c r="F63" i="17"/>
  <c r="F58" i="17"/>
  <c r="F55" i="17"/>
  <c r="F50" i="17"/>
  <c r="F47" i="17"/>
  <c r="F39" i="17"/>
  <c r="F35" i="17"/>
  <c r="F27" i="17"/>
  <c r="F90" i="17"/>
  <c r="F78" i="17"/>
  <c r="F74" i="17"/>
  <c r="F70" i="17"/>
  <c r="F66" i="17"/>
  <c r="F38" i="17"/>
  <c r="F34" i="17"/>
  <c r="F89" i="17"/>
  <c r="F84" i="17"/>
  <c r="F77" i="17"/>
  <c r="F69" i="17"/>
  <c r="F65" i="17"/>
  <c r="F60" i="17"/>
  <c r="F57" i="17"/>
  <c r="F52" i="17"/>
  <c r="F49" i="17"/>
  <c r="F76" i="17"/>
  <c r="F32" i="17"/>
  <c r="F20" i="17"/>
  <c r="L12" i="17"/>
  <c r="F86" i="17"/>
  <c r="F83" i="17"/>
  <c r="F62" i="17"/>
  <c r="F59" i="17"/>
  <c r="F54" i="17"/>
  <c r="F51" i="17"/>
  <c r="F46" i="17"/>
  <c r="F43" i="17"/>
  <c r="F31" i="17"/>
  <c r="F26" i="17"/>
  <c r="F25" i="17"/>
  <c r="F82" i="17"/>
  <c r="F73" i="17"/>
  <c r="F42" i="17"/>
  <c r="F30" i="17"/>
  <c r="F80" i="17"/>
  <c r="F28" i="17"/>
  <c r="F21" i="17"/>
  <c r="F64" i="17"/>
  <c r="F56" i="17"/>
  <c r="F93" i="17"/>
  <c r="F88" i="17"/>
  <c r="F81" i="17"/>
  <c r="F61" i="17"/>
  <c r="F53" i="17"/>
  <c r="F48" i="17"/>
  <c r="F29" i="17"/>
  <c r="D23" i="17"/>
  <c r="F85" i="17"/>
  <c r="F68" i="17"/>
  <c r="F36" i="17"/>
  <c r="F75" i="17"/>
  <c r="F45" i="17"/>
  <c r="F44" i="17"/>
  <c r="F40" i="17"/>
  <c r="F37" i="17"/>
  <c r="F33" i="17"/>
  <c r="F19" i="17"/>
  <c r="F72" i="17"/>
  <c r="F41" i="17"/>
  <c r="L16" i="62"/>
  <c r="D24" i="62"/>
  <c r="D38" i="59"/>
  <c r="V29" i="59"/>
  <c r="V21" i="59"/>
  <c r="V19" i="59"/>
  <c r="V32" i="59"/>
  <c r="V24" i="59"/>
  <c r="T19" i="59"/>
  <c r="V31" i="59"/>
  <c r="V23" i="59"/>
  <c r="V45" i="59"/>
  <c r="V40" i="59"/>
  <c r="V38" i="59"/>
  <c r="V34" i="59"/>
  <c r="V26" i="59"/>
  <c r="V22" i="59"/>
  <c r="V33" i="59"/>
  <c r="V25" i="59"/>
  <c r="V17" i="59"/>
  <c r="V27" i="59"/>
  <c r="V42" i="59"/>
  <c r="V16" i="59"/>
  <c r="V36" i="59"/>
  <c r="V28" i="59"/>
  <c r="Z12" i="59"/>
  <c r="V30" i="59"/>
  <c r="R30" i="59"/>
  <c r="R27" i="59"/>
  <c r="R36" i="59"/>
  <c r="R32" i="59"/>
  <c r="R29" i="59"/>
  <c r="R24" i="59"/>
  <c r="R19" i="59"/>
  <c r="R23" i="59"/>
  <c r="R21" i="59"/>
  <c r="P19" i="59"/>
  <c r="R40" i="59"/>
  <c r="R34" i="59"/>
  <c r="R31" i="59"/>
  <c r="R26" i="59"/>
  <c r="R33" i="59"/>
  <c r="R28" i="59"/>
  <c r="R25" i="59"/>
  <c r="R22" i="59"/>
  <c r="R17" i="59"/>
  <c r="R16" i="59"/>
  <c r="X12" i="59"/>
  <c r="V21" i="53"/>
  <c r="V30" i="53"/>
  <c r="V24" i="53"/>
  <c r="V16" i="53"/>
  <c r="V23" i="53"/>
  <c r="T18" i="53"/>
  <c r="V22" i="53"/>
  <c r="Z12" i="53"/>
  <c r="V20" i="53"/>
  <c r="V26" i="53"/>
  <c r="D35" i="53"/>
  <c r="R84" i="51"/>
  <c r="L78" i="47"/>
  <c r="N78" i="47" s="1"/>
  <c r="H39" i="49"/>
  <c r="N16" i="49"/>
  <c r="X16" i="47"/>
  <c r="P82" i="47"/>
  <c r="F18" i="41"/>
  <c r="F27" i="41"/>
  <c r="F23" i="41"/>
  <c r="F31" i="41"/>
  <c r="D23" i="41"/>
  <c r="F21" i="41"/>
  <c r="F20" i="41"/>
  <c r="L12" i="41"/>
  <c r="N12" i="41" s="1"/>
  <c r="F25" i="41"/>
  <c r="F19" i="41"/>
  <c r="P30" i="44"/>
  <c r="R27" i="33"/>
  <c r="R52" i="33"/>
  <c r="R46" i="33"/>
  <c r="R43" i="33"/>
  <c r="R38" i="33"/>
  <c r="R35" i="33"/>
  <c r="R26" i="33"/>
  <c r="R21" i="33"/>
  <c r="R57" i="33"/>
  <c r="R50" i="33"/>
  <c r="R25" i="33"/>
  <c r="R23" i="33"/>
  <c r="P21" i="33"/>
  <c r="R45" i="33"/>
  <c r="R40" i="33"/>
  <c r="R37" i="33"/>
  <c r="R32" i="33"/>
  <c r="X12" i="33"/>
  <c r="R42" i="33"/>
  <c r="R39" i="33"/>
  <c r="R34" i="33"/>
  <c r="R30" i="33"/>
  <c r="R54" i="33"/>
  <c r="R48" i="33"/>
  <c r="R29" i="33"/>
  <c r="R18" i="33"/>
  <c r="R44" i="33"/>
  <c r="R33" i="33"/>
  <c r="R24" i="33"/>
  <c r="R41" i="33"/>
  <c r="R31" i="33"/>
  <c r="R28" i="33"/>
  <c r="R19" i="33"/>
  <c r="R36" i="33"/>
  <c r="D149" i="35"/>
  <c r="Z99" i="28"/>
  <c r="P56" i="25"/>
  <c r="X16" i="25"/>
  <c r="H69" i="24"/>
  <c r="N16" i="24"/>
  <c r="X16" i="22"/>
  <c r="P69" i="22"/>
  <c r="H31" i="21"/>
  <c r="N16" i="21"/>
  <c r="X16" i="21"/>
  <c r="P31" i="21"/>
  <c r="J90" i="17"/>
  <c r="J84" i="17"/>
  <c r="J78" i="17"/>
  <c r="J74" i="17"/>
  <c r="J70" i="17"/>
  <c r="J66" i="17"/>
  <c r="J60" i="17"/>
  <c r="J52" i="17"/>
  <c r="J44" i="17"/>
  <c r="J38" i="17"/>
  <c r="J34" i="17"/>
  <c r="H23" i="17"/>
  <c r="J89" i="17"/>
  <c r="J77" i="17"/>
  <c r="J69" i="17"/>
  <c r="J65" i="17"/>
  <c r="J57" i="17"/>
  <c r="J49" i="17"/>
  <c r="J37" i="17"/>
  <c r="J33" i="17"/>
  <c r="J25" i="17"/>
  <c r="J21" i="17"/>
  <c r="J86" i="17"/>
  <c r="J76" i="17"/>
  <c r="J62" i="17"/>
  <c r="J54" i="17"/>
  <c r="J46" i="17"/>
  <c r="J83" i="17"/>
  <c r="J73" i="17"/>
  <c r="J59" i="17"/>
  <c r="J51" i="17"/>
  <c r="J43" i="17"/>
  <c r="J31" i="17"/>
  <c r="J88" i="17"/>
  <c r="J82" i="17"/>
  <c r="J68" i="17"/>
  <c r="J64" i="17"/>
  <c r="J56" i="17"/>
  <c r="J48" i="17"/>
  <c r="J42" i="17"/>
  <c r="J36" i="17"/>
  <c r="J30" i="17"/>
  <c r="J93" i="17"/>
  <c r="J85" i="17"/>
  <c r="J81" i="17"/>
  <c r="J75" i="17"/>
  <c r="J61" i="17"/>
  <c r="J53" i="17"/>
  <c r="J45" i="17"/>
  <c r="J41" i="17"/>
  <c r="J29" i="17"/>
  <c r="J19" i="17"/>
  <c r="J87" i="17"/>
  <c r="J47" i="17"/>
  <c r="J28" i="17"/>
  <c r="J91" i="17"/>
  <c r="J67" i="17"/>
  <c r="J39" i="17"/>
  <c r="J35" i="17"/>
  <c r="J97" i="17"/>
  <c r="J71" i="17"/>
  <c r="J32" i="17"/>
  <c r="J26" i="17"/>
  <c r="J79" i="17"/>
  <c r="J58" i="17"/>
  <c r="J50" i="17"/>
  <c r="J40" i="17"/>
  <c r="N12" i="17"/>
  <c r="J27" i="17"/>
  <c r="J72" i="17"/>
  <c r="J80" i="17"/>
  <c r="J63" i="17"/>
  <c r="J55" i="17"/>
  <c r="J20" i="17"/>
  <c r="V101" i="19"/>
  <c r="V95" i="19"/>
  <c r="V91" i="19"/>
  <c r="V79" i="19"/>
  <c r="V98" i="19"/>
  <c r="V90" i="19"/>
  <c r="V82" i="19"/>
  <c r="V78" i="19"/>
  <c r="V107" i="19"/>
  <c r="V97" i="19"/>
  <c r="V81" i="19"/>
  <c r="V102" i="19"/>
  <c r="V84" i="19"/>
  <c r="V87" i="19"/>
  <c r="V83" i="19"/>
  <c r="V100" i="19"/>
  <c r="V94" i="19"/>
  <c r="V86" i="19"/>
  <c r="V75" i="19"/>
  <c r="V67" i="19"/>
  <c r="V63" i="19"/>
  <c r="V51" i="19"/>
  <c r="V43" i="19"/>
  <c r="V74" i="19"/>
  <c r="V66" i="19"/>
  <c r="V62" i="19"/>
  <c r="V50" i="19"/>
  <c r="V42" i="19"/>
  <c r="V61" i="19"/>
  <c r="V49" i="19"/>
  <c r="V41" i="19"/>
  <c r="V96" i="19"/>
  <c r="V60" i="19"/>
  <c r="V48" i="19"/>
  <c r="V40" i="19"/>
  <c r="V103" i="19"/>
  <c r="V92" i="19"/>
  <c r="V76" i="19"/>
  <c r="V71" i="19"/>
  <c r="V59" i="19"/>
  <c r="V55" i="19"/>
  <c r="V47" i="19"/>
  <c r="V39" i="19"/>
  <c r="V88" i="19"/>
  <c r="V85" i="19"/>
  <c r="V77" i="19"/>
  <c r="V70" i="19"/>
  <c r="V58" i="19"/>
  <c r="T53" i="19"/>
  <c r="V46" i="19"/>
  <c r="V38" i="19"/>
  <c r="V93" i="19"/>
  <c r="V80" i="19"/>
  <c r="V73" i="19"/>
  <c r="V69" i="19"/>
  <c r="V65" i="19"/>
  <c r="V57" i="19"/>
  <c r="V45" i="19"/>
  <c r="V37" i="19"/>
  <c r="V64" i="19"/>
  <c r="V56" i="19"/>
  <c r="V89" i="19"/>
  <c r="V36" i="19"/>
  <c r="V72" i="19"/>
  <c r="V68" i="19"/>
  <c r="V44" i="19"/>
  <c r="Z12" i="19"/>
  <c r="F116" i="15"/>
  <c r="F107" i="15"/>
  <c r="F99" i="15"/>
  <c r="F94" i="15"/>
  <c r="F91" i="15"/>
  <c r="F83" i="15"/>
  <c r="F79" i="15"/>
  <c r="F74" i="15"/>
  <c r="F71" i="15"/>
  <c r="F59" i="15"/>
  <c r="F54" i="15"/>
  <c r="F47" i="15"/>
  <c r="F43" i="15"/>
  <c r="D33" i="15"/>
  <c r="F31" i="15"/>
  <c r="F110" i="15"/>
  <c r="F98" i="15"/>
  <c r="F90" i="15"/>
  <c r="F86" i="15"/>
  <c r="F82" i="15"/>
  <c r="F65" i="15"/>
  <c r="F62" i="15"/>
  <c r="F42" i="15"/>
  <c r="F30" i="15"/>
  <c r="F114" i="15"/>
  <c r="F109" i="15"/>
  <c r="F104" i="15"/>
  <c r="F97" i="15"/>
  <c r="F93" i="15"/>
  <c r="F89" i="15"/>
  <c r="F81" i="15"/>
  <c r="F76" i="15"/>
  <c r="F73" i="15"/>
  <c r="F61" i="15"/>
  <c r="F56" i="15"/>
  <c r="F53" i="15"/>
  <c r="F41" i="15"/>
  <c r="F36" i="15"/>
  <c r="F35" i="15"/>
  <c r="F29" i="15"/>
  <c r="F117" i="15"/>
  <c r="F112" i="15"/>
  <c r="F96" i="15"/>
  <c r="F88" i="15"/>
  <c r="F67" i="15"/>
  <c r="F64" i="15"/>
  <c r="F52" i="15"/>
  <c r="F40" i="15"/>
  <c r="L12" i="15"/>
  <c r="F121" i="15"/>
  <c r="F106" i="15"/>
  <c r="F103" i="15"/>
  <c r="F95" i="15"/>
  <c r="F78" i="15"/>
  <c r="F75" i="15"/>
  <c r="F70" i="15"/>
  <c r="F58" i="15"/>
  <c r="F55" i="15"/>
  <c r="F51" i="15"/>
  <c r="F46" i="15"/>
  <c r="F39" i="15"/>
  <c r="F115" i="15"/>
  <c r="F102" i="15"/>
  <c r="F85" i="15"/>
  <c r="F66" i="15"/>
  <c r="F50" i="15"/>
  <c r="F38" i="15"/>
  <c r="F108" i="15"/>
  <c r="F105" i="15"/>
  <c r="F101" i="15"/>
  <c r="F92" i="15"/>
  <c r="F80" i="15"/>
  <c r="F77" i="15"/>
  <c r="F72" i="15"/>
  <c r="F69" i="15"/>
  <c r="F60" i="15"/>
  <c r="F57" i="15"/>
  <c r="F49" i="15"/>
  <c r="F45" i="15"/>
  <c r="F37" i="15"/>
  <c r="F28" i="15"/>
  <c r="F111" i="15"/>
  <c r="F100" i="15"/>
  <c r="F87" i="15"/>
  <c r="F84" i="15"/>
  <c r="F68" i="15"/>
  <c r="F63" i="15"/>
  <c r="F48" i="15"/>
  <c r="F44" i="15"/>
  <c r="L172" i="13"/>
  <c r="N172" i="13" s="1"/>
  <c r="H66" i="18"/>
  <c r="D108" i="16"/>
  <c r="L24" i="16"/>
  <c r="F24" i="16"/>
  <c r="V160" i="11"/>
  <c r="V152" i="11"/>
  <c r="V128" i="11"/>
  <c r="V120" i="11"/>
  <c r="V116" i="11"/>
  <c r="V108" i="11"/>
  <c r="V100" i="11"/>
  <c r="V96" i="11"/>
  <c r="V84" i="11"/>
  <c r="V76" i="11"/>
  <c r="V68" i="11"/>
  <c r="V60" i="11"/>
  <c r="V169" i="11"/>
  <c r="V159" i="11"/>
  <c r="V151" i="11"/>
  <c r="V135" i="11"/>
  <c r="V131" i="11"/>
  <c r="V119" i="11"/>
  <c r="V107" i="11"/>
  <c r="V99" i="11"/>
  <c r="V95" i="11"/>
  <c r="V83" i="11"/>
  <c r="V75" i="11"/>
  <c r="V67" i="11"/>
  <c r="V59" i="11"/>
  <c r="V164" i="11"/>
  <c r="V154" i="11"/>
  <c r="V150" i="11"/>
  <c r="V142" i="11"/>
  <c r="V138" i="11"/>
  <c r="V134" i="11"/>
  <c r="V130" i="11"/>
  <c r="V122" i="11"/>
  <c r="V118" i="11"/>
  <c r="V110" i="11"/>
  <c r="V98" i="11"/>
  <c r="V94" i="11"/>
  <c r="V82" i="11"/>
  <c r="V74" i="11"/>
  <c r="V66" i="11"/>
  <c r="V58" i="11"/>
  <c r="V153" i="11"/>
  <c r="V149" i="11"/>
  <c r="V145" i="11"/>
  <c r="V141" i="11"/>
  <c r="V137" i="11"/>
  <c r="V133" i="11"/>
  <c r="V121" i="11"/>
  <c r="V113" i="11"/>
  <c r="V109" i="11"/>
  <c r="V93" i="11"/>
  <c r="V81" i="11"/>
  <c r="V73" i="11"/>
  <c r="V65" i="11"/>
  <c r="V57" i="11"/>
  <c r="V165" i="11"/>
  <c r="V155" i="11"/>
  <c r="V147" i="11"/>
  <c r="V143" i="11"/>
  <c r="V139" i="11"/>
  <c r="V127" i="11"/>
  <c r="V123" i="11"/>
  <c r="V115" i="11"/>
  <c r="V111" i="11"/>
  <c r="V103" i="11"/>
  <c r="V91" i="11"/>
  <c r="T86" i="11"/>
  <c r="V79" i="11"/>
  <c r="V71" i="11"/>
  <c r="V63" i="11"/>
  <c r="V158" i="11"/>
  <c r="V146" i="11"/>
  <c r="V126" i="11"/>
  <c r="V114" i="11"/>
  <c r="V106" i="11"/>
  <c r="V102" i="11"/>
  <c r="V90" i="11"/>
  <c r="V78" i="11"/>
  <c r="V70" i="11"/>
  <c r="V62" i="11"/>
  <c r="V72" i="11"/>
  <c r="V140" i="11"/>
  <c r="V136" i="11"/>
  <c r="V112" i="11"/>
  <c r="V105" i="11"/>
  <c r="V144" i="11"/>
  <c r="V132" i="11"/>
  <c r="V104" i="11"/>
  <c r="V148" i="11"/>
  <c r="V89" i="11"/>
  <c r="V88" i="11"/>
  <c r="V61" i="11"/>
  <c r="V77" i="11"/>
  <c r="V125" i="11"/>
  <c r="V92" i="11"/>
  <c r="V64" i="11"/>
  <c r="V163" i="11"/>
  <c r="V162" i="11"/>
  <c r="V156" i="11"/>
  <c r="V129" i="11"/>
  <c r="V124" i="11"/>
  <c r="V117" i="11"/>
  <c r="V101" i="11"/>
  <c r="V86" i="11"/>
  <c r="V80" i="11"/>
  <c r="V69" i="11"/>
  <c r="V97" i="11"/>
  <c r="V157" i="11"/>
  <c r="J169" i="13"/>
  <c r="J159" i="13"/>
  <c r="J155" i="13"/>
  <c r="J151" i="13"/>
  <c r="J147" i="13"/>
  <c r="J143" i="13"/>
  <c r="J137" i="13"/>
  <c r="J131" i="13"/>
  <c r="J125" i="13"/>
  <c r="J119" i="13"/>
  <c r="J103" i="13"/>
  <c r="J91" i="13"/>
  <c r="J83" i="13"/>
  <c r="J174" i="13"/>
  <c r="J166" i="13"/>
  <c r="J158" i="13"/>
  <c r="J154" i="13"/>
  <c r="J150" i="13"/>
  <c r="J146" i="13"/>
  <c r="J142" i="13"/>
  <c r="J122" i="13"/>
  <c r="J116" i="13"/>
  <c r="J102" i="13"/>
  <c r="J90" i="13"/>
  <c r="J82" i="13"/>
  <c r="J163" i="13"/>
  <c r="J157" i="13"/>
  <c r="J149" i="13"/>
  <c r="J139" i="13"/>
  <c r="J133" i="13"/>
  <c r="J127" i="13"/>
  <c r="J121" i="13"/>
  <c r="J113" i="13"/>
  <c r="J107" i="13"/>
  <c r="J101" i="13"/>
  <c r="J172" i="13"/>
  <c r="J168" i="13"/>
  <c r="J136" i="13"/>
  <c r="J130" i="13"/>
  <c r="J124" i="13"/>
  <c r="J118" i="13"/>
  <c r="J112" i="13"/>
  <c r="J100" i="13"/>
  <c r="J88" i="13"/>
  <c r="J175" i="13"/>
  <c r="J165" i="13"/>
  <c r="J153" i="13"/>
  <c r="J145" i="13"/>
  <c r="J141" i="13"/>
  <c r="J135" i="13"/>
  <c r="J115" i="13"/>
  <c r="J111" i="13"/>
  <c r="J99" i="13"/>
  <c r="J87" i="13"/>
  <c r="J79" i="13"/>
  <c r="J170" i="13"/>
  <c r="J162" i="13"/>
  <c r="J156" i="13"/>
  <c r="J148" i="13"/>
  <c r="J138" i="13"/>
  <c r="J132" i="13"/>
  <c r="J126" i="13"/>
  <c r="J120" i="13"/>
  <c r="J110" i="13"/>
  <c r="J106" i="13"/>
  <c r="H95" i="13"/>
  <c r="J86" i="13"/>
  <c r="J78" i="13"/>
  <c r="J179" i="13"/>
  <c r="J173" i="13"/>
  <c r="J167" i="13"/>
  <c r="J161" i="13"/>
  <c r="J129" i="13"/>
  <c r="J123" i="13"/>
  <c r="J117" i="13"/>
  <c r="J109" i="13"/>
  <c r="J105" i="13"/>
  <c r="J97" i="13"/>
  <c r="J93" i="13"/>
  <c r="J85" i="13"/>
  <c r="J164" i="13"/>
  <c r="J160" i="13"/>
  <c r="J152" i="13"/>
  <c r="J144" i="13"/>
  <c r="J140" i="13"/>
  <c r="J108" i="13"/>
  <c r="J81" i="13"/>
  <c r="J77" i="13"/>
  <c r="J71" i="13"/>
  <c r="J63" i="13"/>
  <c r="J128" i="13"/>
  <c r="J84" i="13"/>
  <c r="J70" i="13"/>
  <c r="J62" i="13"/>
  <c r="J104" i="13"/>
  <c r="J69" i="13"/>
  <c r="J61" i="13"/>
  <c r="J98" i="13"/>
  <c r="J68" i="13"/>
  <c r="J60" i="13"/>
  <c r="J92" i="13"/>
  <c r="J89" i="13"/>
  <c r="J66" i="13"/>
  <c r="J114" i="13"/>
  <c r="J80" i="13"/>
  <c r="J75" i="13"/>
  <c r="J74" i="13"/>
  <c r="J73" i="13"/>
  <c r="J65" i="13"/>
  <c r="J59" i="13"/>
  <c r="J64" i="13"/>
  <c r="J67" i="13"/>
  <c r="J72" i="13"/>
  <c r="J76" i="13"/>
  <c r="J134" i="13"/>
  <c r="V88" i="9"/>
  <c r="V84" i="9"/>
  <c r="V80" i="9"/>
  <c r="V72" i="9"/>
  <c r="V64" i="9"/>
  <c r="V91" i="9"/>
  <c r="V83" i="9"/>
  <c r="V79" i="9"/>
  <c r="V75" i="9"/>
  <c r="V71" i="9"/>
  <c r="V63" i="9"/>
  <c r="V99" i="9"/>
  <c r="V93" i="9"/>
  <c r="V81" i="9"/>
  <c r="V77" i="9"/>
  <c r="V65" i="9"/>
  <c r="V57" i="9"/>
  <c r="V49" i="9"/>
  <c r="V37" i="9"/>
  <c r="V25" i="9"/>
  <c r="V82" i="9"/>
  <c r="V73" i="9"/>
  <c r="V68" i="9"/>
  <c r="V66" i="9"/>
  <c r="V60" i="9"/>
  <c r="V56" i="9"/>
  <c r="V48" i="9"/>
  <c r="V36" i="9"/>
  <c r="V32" i="9"/>
  <c r="V59" i="9"/>
  <c r="V51" i="9"/>
  <c r="V47" i="9"/>
  <c r="V35" i="9"/>
  <c r="T30" i="9"/>
  <c r="V90" i="9"/>
  <c r="V62" i="9"/>
  <c r="V50" i="9"/>
  <c r="V46" i="9"/>
  <c r="V42" i="9"/>
  <c r="V34" i="9"/>
  <c r="V92" i="9"/>
  <c r="V76" i="9"/>
  <c r="V61" i="9"/>
  <c r="V53" i="9"/>
  <c r="V45" i="9"/>
  <c r="V41" i="9"/>
  <c r="V33" i="9"/>
  <c r="V69" i="9"/>
  <c r="V55" i="9"/>
  <c r="V43" i="9"/>
  <c r="V39" i="9"/>
  <c r="V27" i="9"/>
  <c r="V89" i="9"/>
  <c r="V78" i="9"/>
  <c r="V70" i="9"/>
  <c r="V67" i="9"/>
  <c r="V58" i="9"/>
  <c r="V54" i="9"/>
  <c r="V38" i="9"/>
  <c r="V26" i="9"/>
  <c r="V28" i="9"/>
  <c r="V52" i="9"/>
  <c r="V85" i="9"/>
  <c r="V40" i="9"/>
  <c r="V86" i="9"/>
  <c r="V44" i="9"/>
  <c r="V95" i="9"/>
  <c r="V87" i="9"/>
  <c r="V74" i="9"/>
  <c r="J164" i="11"/>
  <c r="J156" i="11"/>
  <c r="J148" i="11"/>
  <c r="J144" i="11"/>
  <c r="J140" i="11"/>
  <c r="J130" i="11"/>
  <c r="J124" i="11"/>
  <c r="J118" i="11"/>
  <c r="J112" i="11"/>
  <c r="J104" i="11"/>
  <c r="J98" i="11"/>
  <c r="J92" i="11"/>
  <c r="J80" i="11"/>
  <c r="J72" i="11"/>
  <c r="J64" i="11"/>
  <c r="J153" i="11"/>
  <c r="J147" i="11"/>
  <c r="J127" i="11"/>
  <c r="J121" i="11"/>
  <c r="J115" i="11"/>
  <c r="J109" i="11"/>
  <c r="J103" i="11"/>
  <c r="J91" i="11"/>
  <c r="J79" i="11"/>
  <c r="J71" i="11"/>
  <c r="J63" i="11"/>
  <c r="J57" i="11"/>
  <c r="J162" i="11"/>
  <c r="J158" i="11"/>
  <c r="J136" i="11"/>
  <c r="J132" i="11"/>
  <c r="J126" i="11"/>
  <c r="J106" i="11"/>
  <c r="J102" i="11"/>
  <c r="J90" i="11"/>
  <c r="J78" i="11"/>
  <c r="J70" i="11"/>
  <c r="J62" i="11"/>
  <c r="J165" i="11"/>
  <c r="J155" i="11"/>
  <c r="J143" i="11"/>
  <c r="J139" i="11"/>
  <c r="J129" i="11"/>
  <c r="J123" i="11"/>
  <c r="J117" i="11"/>
  <c r="J111" i="11"/>
  <c r="J101" i="11"/>
  <c r="J97" i="11"/>
  <c r="H86" i="11"/>
  <c r="J86" i="11" s="1"/>
  <c r="J77" i="11"/>
  <c r="J69" i="11"/>
  <c r="J61" i="11"/>
  <c r="J169" i="11"/>
  <c r="J163" i="11"/>
  <c r="J157" i="11"/>
  <c r="J151" i="11"/>
  <c r="J135" i="11"/>
  <c r="J131" i="11"/>
  <c r="J125" i="11"/>
  <c r="J119" i="11"/>
  <c r="J105" i="11"/>
  <c r="J99" i="11"/>
  <c r="J95" i="11"/>
  <c r="J89" i="11"/>
  <c r="J83" i="11"/>
  <c r="J75" i="11"/>
  <c r="J67" i="11"/>
  <c r="J59" i="11"/>
  <c r="J154" i="11"/>
  <c r="J150" i="11"/>
  <c r="J142" i="11"/>
  <c r="J138" i="11"/>
  <c r="J134" i="11"/>
  <c r="J128" i="11"/>
  <c r="J122" i="11"/>
  <c r="J116" i="11"/>
  <c r="J110" i="11"/>
  <c r="J94" i="11"/>
  <c r="J82" i="11"/>
  <c r="J74" i="11"/>
  <c r="J66" i="11"/>
  <c r="J58" i="11"/>
  <c r="J149" i="11"/>
  <c r="J133" i="11"/>
  <c r="J108" i="11"/>
  <c r="J88" i="11"/>
  <c r="J159" i="11"/>
  <c r="J60" i="11"/>
  <c r="J93" i="11"/>
  <c r="J65" i="11"/>
  <c r="J160" i="11"/>
  <c r="J114" i="11"/>
  <c r="J96" i="11"/>
  <c r="J84" i="11"/>
  <c r="J81" i="11"/>
  <c r="J68" i="11"/>
  <c r="J146" i="11"/>
  <c r="J141" i="11"/>
  <c r="J100" i="11"/>
  <c r="J152" i="11"/>
  <c r="J145" i="11"/>
  <c r="J137" i="11"/>
  <c r="J120" i="11"/>
  <c r="J107" i="11"/>
  <c r="J113" i="11"/>
  <c r="J73" i="11"/>
  <c r="J76" i="11"/>
  <c r="Z16" i="4"/>
  <c r="T22" i="4"/>
  <c r="P119" i="15"/>
  <c r="X33" i="15"/>
  <c r="P90" i="5"/>
  <c r="X16" i="5"/>
  <c r="Z226" i="7"/>
  <c r="T90" i="5"/>
  <c r="Z16" i="5"/>
  <c r="X168" i="3"/>
  <c r="Z168" i="3" s="1"/>
  <c r="P278" i="3"/>
  <c r="V21" i="60"/>
  <c r="R94" i="37"/>
  <c r="R86" i="37"/>
  <c r="R83" i="37"/>
  <c r="R62" i="37"/>
  <c r="R50" i="37"/>
  <c r="R42" i="37"/>
  <c r="R100" i="37"/>
  <c r="R93" i="37"/>
  <c r="R89" i="37"/>
  <c r="R77" i="37"/>
  <c r="R74" i="37"/>
  <c r="R66" i="37"/>
  <c r="R61" i="37"/>
  <c r="R49" i="37"/>
  <c r="R41" i="37"/>
  <c r="R103" i="37"/>
  <c r="R96" i="37"/>
  <c r="R92" i="37"/>
  <c r="R85" i="37"/>
  <c r="R80" i="37"/>
  <c r="R60" i="37"/>
  <c r="R48" i="37"/>
  <c r="R40" i="37"/>
  <c r="R97" i="37"/>
  <c r="R84" i="37"/>
  <c r="R81" i="37"/>
  <c r="R68" i="37"/>
  <c r="R64" i="37"/>
  <c r="R44" i="37"/>
  <c r="X12" i="37"/>
  <c r="R102" i="37"/>
  <c r="R87" i="37"/>
  <c r="R75" i="37"/>
  <c r="R72" i="37"/>
  <c r="R67" i="37"/>
  <c r="R63" i="37"/>
  <c r="R56" i="37"/>
  <c r="R51" i="37"/>
  <c r="R43" i="37"/>
  <c r="R36" i="37"/>
  <c r="R107" i="37"/>
  <c r="R95" i="37"/>
  <c r="R91" i="37"/>
  <c r="R46" i="37"/>
  <c r="R79" i="37"/>
  <c r="R47" i="37"/>
  <c r="R101" i="37"/>
  <c r="R88" i="37"/>
  <c r="R55" i="37"/>
  <c r="R69" i="37"/>
  <c r="R57" i="37"/>
  <c r="R53" i="37"/>
  <c r="R70" i="37"/>
  <c r="P53" i="37"/>
  <c r="R37" i="37"/>
  <c r="R98" i="37"/>
  <c r="R90" i="37"/>
  <c r="R82" i="37"/>
  <c r="R73" i="37"/>
  <c r="R71" i="37"/>
  <c r="R65" i="37"/>
  <c r="R58" i="37"/>
  <c r="R45" i="37"/>
  <c r="R38" i="37"/>
  <c r="R76" i="37"/>
  <c r="R78" i="37"/>
  <c r="R39" i="37"/>
  <c r="R59" i="37"/>
  <c r="Z16" i="62"/>
  <c r="T24" i="62"/>
  <c r="P32" i="54"/>
  <c r="X16" i="54"/>
  <c r="H32" i="54"/>
  <c r="N16" i="54"/>
  <c r="X67" i="52"/>
  <c r="Z67" i="52" s="1"/>
  <c r="P43" i="49"/>
  <c r="T32" i="54"/>
  <c r="P87" i="51"/>
  <c r="X20" i="51"/>
  <c r="F56" i="51"/>
  <c r="F53" i="51"/>
  <c r="F85" i="51"/>
  <c r="F79" i="51"/>
  <c r="F76" i="51"/>
  <c r="F67" i="51"/>
  <c r="F89" i="51"/>
  <c r="F75" i="51"/>
  <c r="F62" i="51"/>
  <c r="F58" i="51"/>
  <c r="F55" i="51"/>
  <c r="F50" i="51"/>
  <c r="F73" i="51"/>
  <c r="F65" i="51"/>
  <c r="F61" i="51"/>
  <c r="F57" i="51"/>
  <c r="F80" i="51"/>
  <c r="F72" i="51"/>
  <c r="F68" i="51"/>
  <c r="F64" i="51"/>
  <c r="F60" i="51"/>
  <c r="F59" i="51"/>
  <c r="F44" i="51"/>
  <c r="F39" i="51"/>
  <c r="F28" i="51"/>
  <c r="F23" i="51"/>
  <c r="F22" i="51"/>
  <c r="F47" i="51"/>
  <c r="F27" i="51"/>
  <c r="F78" i="51"/>
  <c r="F77" i="51"/>
  <c r="F63" i="51"/>
  <c r="F46" i="51"/>
  <c r="F41" i="51"/>
  <c r="F38" i="51"/>
  <c r="F33" i="51"/>
  <c r="F26" i="51"/>
  <c r="F81" i="51"/>
  <c r="F66" i="51"/>
  <c r="F49" i="51"/>
  <c r="F37" i="51"/>
  <c r="F25" i="51"/>
  <c r="F16" i="51"/>
  <c r="F84" i="51"/>
  <c r="F82" i="51"/>
  <c r="F54" i="51"/>
  <c r="F43" i="51"/>
  <c r="F40" i="51"/>
  <c r="F36" i="51"/>
  <c r="F32" i="51"/>
  <c r="F24" i="51"/>
  <c r="L12" i="51"/>
  <c r="N12" i="51" s="1"/>
  <c r="F74" i="51"/>
  <c r="F71" i="51"/>
  <c r="F70" i="51"/>
  <c r="F52" i="51"/>
  <c r="F45" i="51"/>
  <c r="F42" i="51"/>
  <c r="F34" i="51"/>
  <c r="F30" i="51"/>
  <c r="D20" i="51"/>
  <c r="F20" i="51" s="1"/>
  <c r="F18" i="51"/>
  <c r="F51" i="51"/>
  <c r="F48" i="51"/>
  <c r="F29" i="51"/>
  <c r="F17" i="51"/>
  <c r="F69" i="51"/>
  <c r="F35" i="51"/>
  <c r="F31" i="51"/>
  <c r="Z18" i="56"/>
  <c r="T49" i="56"/>
  <c r="L17" i="48"/>
  <c r="D38" i="48"/>
  <c r="D30" i="44"/>
  <c r="H32" i="46"/>
  <c r="N16" i="46"/>
  <c r="P84" i="45"/>
  <c r="R20" i="45"/>
  <c r="J107" i="37"/>
  <c r="J101" i="37"/>
  <c r="J95" i="37"/>
  <c r="J73" i="37"/>
  <c r="J69" i="37"/>
  <c r="J65" i="37"/>
  <c r="J57" i="37"/>
  <c r="J45" i="37"/>
  <c r="J37" i="37"/>
  <c r="J90" i="37"/>
  <c r="J84" i="37"/>
  <c r="J78" i="37"/>
  <c r="J68" i="37"/>
  <c r="J64" i="37"/>
  <c r="H53" i="37"/>
  <c r="J44" i="37"/>
  <c r="J97" i="37"/>
  <c r="J87" i="37"/>
  <c r="J81" i="37"/>
  <c r="J75" i="37"/>
  <c r="J67" i="37"/>
  <c r="J63" i="37"/>
  <c r="J55" i="37"/>
  <c r="J51" i="37"/>
  <c r="J43" i="37"/>
  <c r="J103" i="37"/>
  <c r="J91" i="37"/>
  <c r="J85" i="37"/>
  <c r="J79" i="37"/>
  <c r="J71" i="37"/>
  <c r="J59" i="37"/>
  <c r="J47" i="37"/>
  <c r="J39" i="37"/>
  <c r="J98" i="37"/>
  <c r="J88" i="37"/>
  <c r="J82" i="37"/>
  <c r="J76" i="37"/>
  <c r="J70" i="37"/>
  <c r="J58" i="37"/>
  <c r="J46" i="37"/>
  <c r="J38" i="37"/>
  <c r="J74" i="37"/>
  <c r="J66" i="37"/>
  <c r="J62" i="37"/>
  <c r="J42" i="37"/>
  <c r="J94" i="37"/>
  <c r="J50" i="37"/>
  <c r="J100" i="37"/>
  <c r="J77" i="37"/>
  <c r="J86" i="37"/>
  <c r="J60" i="37"/>
  <c r="J40" i="37"/>
  <c r="J102" i="37"/>
  <c r="J92" i="37"/>
  <c r="J56" i="37"/>
  <c r="J96" i="37"/>
  <c r="J80" i="37"/>
  <c r="J61" i="37"/>
  <c r="J48" i="37"/>
  <c r="J41" i="37"/>
  <c r="J93" i="37"/>
  <c r="J36" i="37"/>
  <c r="J72" i="37"/>
  <c r="J83" i="37"/>
  <c r="J49" i="37"/>
  <c r="J89" i="37"/>
  <c r="L100" i="37"/>
  <c r="R111" i="32"/>
  <c r="R102" i="32"/>
  <c r="R98" i="32"/>
  <c r="R86" i="32"/>
  <c r="R74" i="32"/>
  <c r="R70" i="32"/>
  <c r="R116" i="32"/>
  <c r="R105" i="32"/>
  <c r="R101" i="32"/>
  <c r="R97" i="32"/>
  <c r="R94" i="32"/>
  <c r="R82" i="32"/>
  <c r="R73" i="32"/>
  <c r="R69" i="32"/>
  <c r="R62" i="32"/>
  <c r="R57" i="32"/>
  <c r="R49" i="32"/>
  <c r="R41" i="32"/>
  <c r="R108" i="32"/>
  <c r="R104" i="32"/>
  <c r="R88" i="32"/>
  <c r="R85" i="32"/>
  <c r="R68" i="32"/>
  <c r="R56" i="32"/>
  <c r="R48" i="32"/>
  <c r="R114" i="32"/>
  <c r="R107" i="32"/>
  <c r="R100" i="32"/>
  <c r="R96" i="32"/>
  <c r="R91" i="32"/>
  <c r="R79" i="32"/>
  <c r="R72" i="32"/>
  <c r="R67" i="32"/>
  <c r="R55" i="32"/>
  <c r="R47" i="32"/>
  <c r="R40" i="32"/>
  <c r="R106" i="32"/>
  <c r="R93" i="32"/>
  <c r="R81" i="32"/>
  <c r="R77" i="32"/>
  <c r="R65" i="32"/>
  <c r="R53" i="32"/>
  <c r="R45" i="32"/>
  <c r="R115" i="32"/>
  <c r="R112" i="32"/>
  <c r="R109" i="32"/>
  <c r="R89" i="32"/>
  <c r="R84" i="32"/>
  <c r="R76" i="32"/>
  <c r="R64" i="32"/>
  <c r="R52" i="32"/>
  <c r="R44" i="32"/>
  <c r="R121" i="32"/>
  <c r="R117" i="32"/>
  <c r="R83" i="32"/>
  <c r="R78" i="32"/>
  <c r="R92" i="32"/>
  <c r="P59" i="32"/>
  <c r="R61" i="32"/>
  <c r="R46" i="32"/>
  <c r="R42" i="32"/>
  <c r="X12" i="32"/>
  <c r="R43" i="32"/>
  <c r="R103" i="32"/>
  <c r="R80" i="32"/>
  <c r="R63" i="32"/>
  <c r="R110" i="32"/>
  <c r="R99" i="32"/>
  <c r="R87" i="32"/>
  <c r="R71" i="32"/>
  <c r="R66" i="32"/>
  <c r="R50" i="32"/>
  <c r="R95" i="32"/>
  <c r="R75" i="32"/>
  <c r="R51" i="32"/>
  <c r="R54" i="32"/>
  <c r="R90" i="32"/>
  <c r="R93" i="30"/>
  <c r="R89" i="30"/>
  <c r="R82" i="30"/>
  <c r="R70" i="30"/>
  <c r="R65" i="30"/>
  <c r="R41" i="30"/>
  <c r="R33" i="30"/>
  <c r="R88" i="30"/>
  <c r="R85" i="30"/>
  <c r="R76" i="30"/>
  <c r="R73" i="30"/>
  <c r="R64" i="30"/>
  <c r="R60" i="30"/>
  <c r="R53" i="30"/>
  <c r="R48" i="30"/>
  <c r="R40" i="30"/>
  <c r="R32" i="30"/>
  <c r="R101" i="30"/>
  <c r="R95" i="30"/>
  <c r="R92" i="30"/>
  <c r="R67" i="30"/>
  <c r="R63" i="30"/>
  <c r="R59" i="30"/>
  <c r="R47" i="30"/>
  <c r="R39" i="30"/>
  <c r="R31" i="30"/>
  <c r="R87" i="30"/>
  <c r="R78" i="30"/>
  <c r="R75" i="30"/>
  <c r="R62" i="30"/>
  <c r="R58" i="30"/>
  <c r="R46" i="30"/>
  <c r="R38" i="30"/>
  <c r="R30" i="30"/>
  <c r="R94" i="30"/>
  <c r="R81" i="30"/>
  <c r="R69" i="30"/>
  <c r="R66" i="30"/>
  <c r="R57" i="30"/>
  <c r="R45" i="30"/>
  <c r="R37" i="30"/>
  <c r="R29" i="30"/>
  <c r="R91" i="30"/>
  <c r="R83" i="30"/>
  <c r="R71" i="30"/>
  <c r="R68" i="30"/>
  <c r="R55" i="30"/>
  <c r="R43" i="30"/>
  <c r="R35" i="30"/>
  <c r="R97" i="30"/>
  <c r="R90" i="30"/>
  <c r="R86" i="30"/>
  <c r="R79" i="30"/>
  <c r="R74" i="30"/>
  <c r="R54" i="30"/>
  <c r="R52" i="30"/>
  <c r="P50" i="30"/>
  <c r="R42" i="30"/>
  <c r="R34" i="30"/>
  <c r="R27" i="30"/>
  <c r="R56" i="30"/>
  <c r="R77" i="30"/>
  <c r="R44" i="30"/>
  <c r="R61" i="30"/>
  <c r="R80" i="30"/>
  <c r="R84" i="30"/>
  <c r="R72" i="30"/>
  <c r="R36" i="30"/>
  <c r="R28" i="30"/>
  <c r="X12" i="30"/>
  <c r="V49" i="31"/>
  <c r="V45" i="31"/>
  <c r="V37" i="31"/>
  <c r="V25" i="31"/>
  <c r="V23" i="31"/>
  <c r="V64" i="31"/>
  <c r="V58" i="31"/>
  <c r="V52" i="31"/>
  <c r="V48" i="31"/>
  <c r="V44" i="31"/>
  <c r="V36" i="31"/>
  <c r="V28" i="31"/>
  <c r="T23" i="31"/>
  <c r="V51" i="31"/>
  <c r="V47" i="31"/>
  <c r="V39" i="31"/>
  <c r="V31" i="31"/>
  <c r="V27" i="31"/>
  <c r="V54" i="31"/>
  <c r="V50" i="31"/>
  <c r="V38" i="31"/>
  <c r="V30" i="31"/>
  <c r="V26" i="31"/>
  <c r="V53" i="31"/>
  <c r="V41" i="31"/>
  <c r="V33" i="31"/>
  <c r="V29" i="31"/>
  <c r="V21" i="31"/>
  <c r="V55" i="31"/>
  <c r="V43" i="31"/>
  <c r="V35" i="31"/>
  <c r="V19" i="31"/>
  <c r="V46" i="31"/>
  <c r="V42" i="31"/>
  <c r="V34" i="31"/>
  <c r="V18" i="31"/>
  <c r="V62" i="31"/>
  <c r="V67" i="31"/>
  <c r="V60" i="31"/>
  <c r="V20" i="31"/>
  <c r="V40" i="31"/>
  <c r="Z12" i="31"/>
  <c r="V32" i="31"/>
  <c r="V56" i="31"/>
  <c r="P46" i="27"/>
  <c r="X16" i="27"/>
  <c r="H60" i="25"/>
  <c r="T69" i="24"/>
  <c r="Z16" i="24"/>
  <c r="V63" i="18"/>
  <c r="R64" i="18"/>
  <c r="R61" i="18"/>
  <c r="R58" i="18"/>
  <c r="R45" i="18"/>
  <c r="R30" i="18"/>
  <c r="R25" i="18"/>
  <c r="R52" i="18"/>
  <c r="R41" i="18"/>
  <c r="R36" i="18"/>
  <c r="R24" i="18"/>
  <c r="X12" i="18"/>
  <c r="Z12" i="18" s="1"/>
  <c r="R60" i="18"/>
  <c r="R51" i="18"/>
  <c r="R47" i="18"/>
  <c r="R44" i="18"/>
  <c r="R35" i="18"/>
  <c r="R23" i="18"/>
  <c r="R68" i="18"/>
  <c r="R54" i="18"/>
  <c r="R50" i="18"/>
  <c r="R38" i="18"/>
  <c r="R34" i="18"/>
  <c r="R22" i="18"/>
  <c r="R17" i="18"/>
  <c r="R57" i="18"/>
  <c r="R49" i="18"/>
  <c r="R46" i="18"/>
  <c r="R33" i="18"/>
  <c r="R29" i="18"/>
  <c r="R21" i="18"/>
  <c r="R19" i="18"/>
  <c r="P17" i="18"/>
  <c r="R63" i="18"/>
  <c r="R56" i="18"/>
  <c r="R53" i="18"/>
  <c r="R40" i="18"/>
  <c r="R37" i="18"/>
  <c r="R32" i="18"/>
  <c r="R28" i="18"/>
  <c r="R59" i="18"/>
  <c r="R48" i="18"/>
  <c r="R43" i="18"/>
  <c r="R31" i="18"/>
  <c r="R27" i="18"/>
  <c r="R39" i="18"/>
  <c r="R55" i="18"/>
  <c r="R26" i="18"/>
  <c r="R20" i="18"/>
  <c r="R15" i="18"/>
  <c r="R42" i="18"/>
  <c r="P108" i="16"/>
  <c r="X63" i="18"/>
  <c r="Z63" i="18" s="1"/>
  <c r="Z113" i="14"/>
  <c r="X113" i="14"/>
  <c r="V113" i="14"/>
  <c r="V110" i="10"/>
  <c r="V106" i="10"/>
  <c r="V90" i="10"/>
  <c r="V78" i="10"/>
  <c r="V66" i="10"/>
  <c r="V54" i="10"/>
  <c r="V46" i="10"/>
  <c r="V115" i="10"/>
  <c r="V109" i="10"/>
  <c r="V93" i="10"/>
  <c r="V89" i="10"/>
  <c r="V81" i="10"/>
  <c r="V77" i="10"/>
  <c r="V65" i="10"/>
  <c r="V112" i="10"/>
  <c r="V92" i="10"/>
  <c r="V84" i="10"/>
  <c r="V80" i="10"/>
  <c r="V76" i="10"/>
  <c r="V64" i="10"/>
  <c r="T59" i="10"/>
  <c r="V52" i="10"/>
  <c r="V44" i="10"/>
  <c r="V121" i="10"/>
  <c r="V111" i="10"/>
  <c r="V99" i="10"/>
  <c r="V95" i="10"/>
  <c r="V83" i="10"/>
  <c r="V75" i="10"/>
  <c r="V71" i="10"/>
  <c r="V63" i="10"/>
  <c r="V51" i="10"/>
  <c r="V43" i="10"/>
  <c r="V105" i="10"/>
  <c r="V101" i="10"/>
  <c r="V97" i="10"/>
  <c r="V85" i="10"/>
  <c r="V73" i="10"/>
  <c r="V69" i="10"/>
  <c r="V57" i="10"/>
  <c r="V49" i="10"/>
  <c r="V41" i="10"/>
  <c r="V107" i="10"/>
  <c r="V96" i="10"/>
  <c r="V61" i="10"/>
  <c r="V40" i="10"/>
  <c r="V87" i="10"/>
  <c r="V55" i="10"/>
  <c r="V50" i="10"/>
  <c r="V45" i="10"/>
  <c r="V114" i="10"/>
  <c r="V103" i="10"/>
  <c r="V86" i="10"/>
  <c r="V74" i="10"/>
  <c r="V108" i="10"/>
  <c r="V102" i="10"/>
  <c r="V82" i="10"/>
  <c r="V70" i="10"/>
  <c r="V67" i="10"/>
  <c r="V56" i="10"/>
  <c r="V47" i="10"/>
  <c r="V42" i="10"/>
  <c r="V88" i="10"/>
  <c r="V72" i="10"/>
  <c r="V68" i="10"/>
  <c r="V62" i="10"/>
  <c r="V53" i="10"/>
  <c r="V48" i="10"/>
  <c r="V117" i="10"/>
  <c r="V116" i="10"/>
  <c r="V94" i="10"/>
  <c r="V91" i="10"/>
  <c r="V104" i="10"/>
  <c r="V79" i="10"/>
  <c r="V100" i="10"/>
  <c r="V59" i="10"/>
  <c r="V98" i="10"/>
  <c r="J88" i="9"/>
  <c r="J90" i="9"/>
  <c r="J74" i="9"/>
  <c r="J68" i="9"/>
  <c r="J87" i="9"/>
  <c r="J81" i="9"/>
  <c r="J65" i="9"/>
  <c r="J89" i="9"/>
  <c r="J85" i="9"/>
  <c r="J73" i="9"/>
  <c r="J67" i="9"/>
  <c r="J76" i="9"/>
  <c r="J59" i="9"/>
  <c r="J53" i="9"/>
  <c r="J45" i="9"/>
  <c r="J41" i="9"/>
  <c r="H30" i="9"/>
  <c r="J95" i="9"/>
  <c r="J93" i="9"/>
  <c r="J91" i="9"/>
  <c r="J86" i="9"/>
  <c r="J77" i="9"/>
  <c r="J72" i="9"/>
  <c r="J71" i="9"/>
  <c r="J50" i="9"/>
  <c r="J44" i="9"/>
  <c r="J40" i="9"/>
  <c r="J32" i="9"/>
  <c r="J28" i="9"/>
  <c r="J78" i="9"/>
  <c r="J75" i="9"/>
  <c r="J70" i="9"/>
  <c r="J69" i="9"/>
  <c r="J61" i="9"/>
  <c r="J55" i="9"/>
  <c r="J39" i="9"/>
  <c r="J33" i="9"/>
  <c r="J27" i="9"/>
  <c r="J80" i="9"/>
  <c r="J79" i="9"/>
  <c r="J64" i="9"/>
  <c r="J58" i="9"/>
  <c r="J52" i="9"/>
  <c r="J38" i="9"/>
  <c r="J26" i="9"/>
  <c r="J82" i="9"/>
  <c r="J66" i="9"/>
  <c r="J63" i="9"/>
  <c r="J57" i="9"/>
  <c r="J49" i="9"/>
  <c r="J43" i="9"/>
  <c r="J37" i="9"/>
  <c r="J51" i="9"/>
  <c r="J47" i="9"/>
  <c r="J35" i="9"/>
  <c r="J25" i="9"/>
  <c r="J92" i="9"/>
  <c r="J62" i="9"/>
  <c r="J56" i="9"/>
  <c r="J46" i="9"/>
  <c r="J42" i="9"/>
  <c r="J34" i="9"/>
  <c r="J30" i="9"/>
  <c r="J54" i="9"/>
  <c r="J48" i="9"/>
  <c r="J84" i="9"/>
  <c r="J60" i="9"/>
  <c r="J36" i="9"/>
  <c r="J99" i="9"/>
  <c r="J83" i="9"/>
  <c r="X12" i="9"/>
  <c r="Z12" i="9" s="1"/>
  <c r="R253" i="8"/>
  <c r="R238" i="8"/>
  <c r="R234" i="8"/>
  <c r="R211" i="8"/>
  <c r="R206" i="8"/>
  <c r="R194" i="8"/>
  <c r="R191" i="8"/>
  <c r="R182" i="8"/>
  <c r="R174" i="8"/>
  <c r="R162" i="8"/>
  <c r="R150" i="8"/>
  <c r="R142" i="8"/>
  <c r="R134" i="8"/>
  <c r="R126" i="8"/>
  <c r="R118" i="8"/>
  <c r="R110" i="8"/>
  <c r="R102" i="8"/>
  <c r="R259" i="8"/>
  <c r="R248" i="8"/>
  <c r="R237" i="8"/>
  <c r="R233" i="8"/>
  <c r="R205" i="8"/>
  <c r="R202" i="8"/>
  <c r="R181" i="8"/>
  <c r="R178" i="8"/>
  <c r="R173" i="8"/>
  <c r="R169" i="8"/>
  <c r="R161" i="8"/>
  <c r="R149" i="8"/>
  <c r="R141" i="8"/>
  <c r="R133" i="8"/>
  <c r="R125" i="8"/>
  <c r="R117" i="8"/>
  <c r="R109" i="8"/>
  <c r="R101" i="8"/>
  <c r="R251" i="8"/>
  <c r="R244" i="8"/>
  <c r="R240" i="8"/>
  <c r="R232" i="8"/>
  <c r="R224" i="8"/>
  <c r="R208" i="8"/>
  <c r="R196" i="8"/>
  <c r="R193" i="8"/>
  <c r="R184" i="8"/>
  <c r="R172" i="8"/>
  <c r="R168" i="8"/>
  <c r="R160" i="8"/>
  <c r="R158" i="8"/>
  <c r="P156" i="8"/>
  <c r="R148" i="8"/>
  <c r="R140" i="8"/>
  <c r="R132" i="8"/>
  <c r="R124" i="8"/>
  <c r="R116" i="8"/>
  <c r="R108" i="8"/>
  <c r="R100" i="8"/>
  <c r="X12" i="8"/>
  <c r="R254" i="8"/>
  <c r="R243" i="8"/>
  <c r="R236" i="8"/>
  <c r="R231" i="8"/>
  <c r="R227" i="8"/>
  <c r="R223" i="8"/>
  <c r="R219" i="8"/>
  <c r="R215" i="8"/>
  <c r="R204" i="8"/>
  <c r="R199" i="8"/>
  <c r="R187" i="8"/>
  <c r="R180" i="8"/>
  <c r="R171" i="8"/>
  <c r="R167" i="8"/>
  <c r="R147" i="8"/>
  <c r="R139" i="8"/>
  <c r="R131" i="8"/>
  <c r="R123" i="8"/>
  <c r="R115" i="8"/>
  <c r="R107" i="8"/>
  <c r="R99" i="8"/>
  <c r="R249" i="8"/>
  <c r="R246" i="8"/>
  <c r="R242" i="8"/>
  <c r="R239" i="8"/>
  <c r="R230" i="8"/>
  <c r="R226" i="8"/>
  <c r="R222" i="8"/>
  <c r="R218" i="8"/>
  <c r="R214" i="8"/>
  <c r="R210" i="8"/>
  <c r="R207" i="8"/>
  <c r="R198" i="8"/>
  <c r="R195" i="8"/>
  <c r="R190" i="8"/>
  <c r="R186" i="8"/>
  <c r="R183" i="8"/>
  <c r="R166" i="8"/>
  <c r="R159" i="8"/>
  <c r="R154" i="8"/>
  <c r="R146" i="8"/>
  <c r="R138" i="8"/>
  <c r="R130" i="8"/>
  <c r="R122" i="8"/>
  <c r="R114" i="8"/>
  <c r="R106" i="8"/>
  <c r="R255" i="8"/>
  <c r="R245" i="8"/>
  <c r="R241" i="8"/>
  <c r="R225" i="8"/>
  <c r="R212" i="8"/>
  <c r="R209" i="8"/>
  <c r="R197" i="8"/>
  <c r="R192" i="8"/>
  <c r="R185" i="8"/>
  <c r="R176" i="8"/>
  <c r="R164" i="8"/>
  <c r="R152" i="8"/>
  <c r="R144" i="8"/>
  <c r="R136" i="8"/>
  <c r="R128" i="8"/>
  <c r="R120" i="8"/>
  <c r="R112" i="8"/>
  <c r="R104" i="8"/>
  <c r="R250" i="8"/>
  <c r="R235" i="8"/>
  <c r="R228" i="8"/>
  <c r="R220" i="8"/>
  <c r="R216" i="8"/>
  <c r="R203" i="8"/>
  <c r="R200" i="8"/>
  <c r="R188" i="8"/>
  <c r="R179" i="8"/>
  <c r="R175" i="8"/>
  <c r="R163" i="8"/>
  <c r="R151" i="8"/>
  <c r="R143" i="8"/>
  <c r="R135" i="8"/>
  <c r="R127" i="8"/>
  <c r="R119" i="8"/>
  <c r="R111" i="8"/>
  <c r="R103" i="8"/>
  <c r="R177" i="8"/>
  <c r="R98" i="8"/>
  <c r="R221" i="8"/>
  <c r="R129" i="8"/>
  <c r="R113" i="8"/>
  <c r="R201" i="8"/>
  <c r="R170" i="8"/>
  <c r="R252" i="8"/>
  <c r="R165" i="8"/>
  <c r="R137" i="8"/>
  <c r="R121" i="8"/>
  <c r="R105" i="8"/>
  <c r="R213" i="8"/>
  <c r="R189" i="8"/>
  <c r="R145" i="8"/>
  <c r="R229" i="8"/>
  <c r="R217" i="8"/>
  <c r="R153" i="8"/>
  <c r="D97" i="9"/>
  <c r="L30" i="9"/>
  <c r="V240" i="6"/>
  <c r="V234" i="6"/>
  <c r="V230" i="6"/>
  <c r="V218" i="6"/>
  <c r="V214" i="6"/>
  <c r="V210" i="6"/>
  <c r="V206" i="6"/>
  <c r="V202" i="6"/>
  <c r="V194" i="6"/>
  <c r="V186" i="6"/>
  <c r="V182" i="6"/>
  <c r="V174" i="6"/>
  <c r="V170" i="6"/>
  <c r="V162" i="6"/>
  <c r="V150" i="6"/>
  <c r="V138" i="6"/>
  <c r="V130" i="6"/>
  <c r="V122" i="6"/>
  <c r="V114" i="6"/>
  <c r="V106" i="6"/>
  <c r="V98" i="6"/>
  <c r="V90" i="6"/>
  <c r="V233" i="6"/>
  <c r="V229" i="6"/>
  <c r="V217" i="6"/>
  <c r="V213" i="6"/>
  <c r="V209" i="6"/>
  <c r="V205" i="6"/>
  <c r="V201" i="6"/>
  <c r="V197" i="6"/>
  <c r="V185" i="6"/>
  <c r="V177" i="6"/>
  <c r="V173" i="6"/>
  <c r="V161" i="6"/>
  <c r="V149" i="6"/>
  <c r="V137" i="6"/>
  <c r="V129" i="6"/>
  <c r="V121" i="6"/>
  <c r="V113" i="6"/>
  <c r="V105" i="6"/>
  <c r="V97" i="6"/>
  <c r="V89" i="6"/>
  <c r="V238" i="6"/>
  <c r="V216" i="6"/>
  <c r="V208" i="6"/>
  <c r="V204" i="6"/>
  <c r="V200" i="6"/>
  <c r="V196" i="6"/>
  <c r="V188" i="6"/>
  <c r="V176" i="6"/>
  <c r="V164" i="6"/>
  <c r="V160" i="6"/>
  <c r="V148" i="6"/>
  <c r="V136" i="6"/>
  <c r="V128" i="6"/>
  <c r="V120" i="6"/>
  <c r="V112" i="6"/>
  <c r="V104" i="6"/>
  <c r="V96" i="6"/>
  <c r="V88" i="6"/>
  <c r="V241" i="6"/>
  <c r="V223" i="6"/>
  <c r="V207" i="6"/>
  <c r="V203" i="6"/>
  <c r="V199" i="6"/>
  <c r="V187" i="6"/>
  <c r="V179" i="6"/>
  <c r="V167" i="6"/>
  <c r="V163" i="6"/>
  <c r="V159" i="6"/>
  <c r="V147" i="6"/>
  <c r="V143" i="6"/>
  <c r="V135" i="6"/>
  <c r="V127" i="6"/>
  <c r="V119" i="6"/>
  <c r="V111" i="6"/>
  <c r="V103" i="6"/>
  <c r="V95" i="6"/>
  <c r="V236" i="6"/>
  <c r="V226" i="6"/>
  <c r="V222" i="6"/>
  <c r="V198" i="6"/>
  <c r="V190" i="6"/>
  <c r="V178" i="6"/>
  <c r="V166" i="6"/>
  <c r="V158" i="6"/>
  <c r="V154" i="6"/>
  <c r="V146" i="6"/>
  <c r="T141" i="6"/>
  <c r="V134" i="6"/>
  <c r="V126" i="6"/>
  <c r="V118" i="6"/>
  <c r="V110" i="6"/>
  <c r="V102" i="6"/>
  <c r="V94" i="6"/>
  <c r="V239" i="6"/>
  <c r="V225" i="6"/>
  <c r="V221" i="6"/>
  <c r="V193" i="6"/>
  <c r="V189" i="6"/>
  <c r="V181" i="6"/>
  <c r="V169" i="6"/>
  <c r="V165" i="6"/>
  <c r="V157" i="6"/>
  <c r="V153" i="6"/>
  <c r="V145" i="6"/>
  <c r="V133" i="6"/>
  <c r="V125" i="6"/>
  <c r="V117" i="6"/>
  <c r="V109" i="6"/>
  <c r="V101" i="6"/>
  <c r="V93" i="6"/>
  <c r="V232" i="6"/>
  <c r="V228" i="6"/>
  <c r="V224" i="6"/>
  <c r="V220" i="6"/>
  <c r="V212" i="6"/>
  <c r="V192" i="6"/>
  <c r="V184" i="6"/>
  <c r="V180" i="6"/>
  <c r="V172" i="6"/>
  <c r="V168" i="6"/>
  <c r="V156" i="6"/>
  <c r="V152" i="6"/>
  <c r="V144" i="6"/>
  <c r="V132" i="6"/>
  <c r="V124" i="6"/>
  <c r="V116" i="6"/>
  <c r="V108" i="6"/>
  <c r="V100" i="6"/>
  <c r="V92" i="6"/>
  <c r="V227" i="6"/>
  <c r="Z12" i="6"/>
  <c r="V245" i="6"/>
  <c r="V231" i="6"/>
  <c r="V215" i="6"/>
  <c r="V183" i="6"/>
  <c r="V151" i="6"/>
  <c r="V115" i="6"/>
  <c r="V99" i="6"/>
  <c r="V131" i="6"/>
  <c r="V237" i="6"/>
  <c r="V211" i="6"/>
  <c r="V191" i="6"/>
  <c r="V175" i="6"/>
  <c r="V171" i="6"/>
  <c r="V155" i="6"/>
  <c r="V123" i="6"/>
  <c r="V139" i="6"/>
  <c r="V219" i="6"/>
  <c r="V195" i="6"/>
  <c r="V107" i="6"/>
  <c r="V91" i="6"/>
  <c r="R245" i="6"/>
  <c r="R231" i="6"/>
  <c r="R224" i="6"/>
  <c r="R219" i="6"/>
  <c r="R215" i="6"/>
  <c r="R211" i="6"/>
  <c r="R195" i="6"/>
  <c r="R183" i="6"/>
  <c r="R180" i="6"/>
  <c r="R175" i="6"/>
  <c r="R171" i="6"/>
  <c r="R168" i="6"/>
  <c r="R151" i="6"/>
  <c r="R144" i="6"/>
  <c r="R139" i="6"/>
  <c r="R131" i="6"/>
  <c r="R123" i="6"/>
  <c r="R115" i="6"/>
  <c r="R107" i="6"/>
  <c r="R99" i="6"/>
  <c r="R91" i="6"/>
  <c r="R237" i="6"/>
  <c r="R234" i="6"/>
  <c r="R230" i="6"/>
  <c r="R227" i="6"/>
  <c r="R218" i="6"/>
  <c r="R214" i="6"/>
  <c r="R210" i="6"/>
  <c r="R206" i="6"/>
  <c r="R202" i="6"/>
  <c r="R191" i="6"/>
  <c r="R186" i="6"/>
  <c r="R174" i="6"/>
  <c r="R162" i="6"/>
  <c r="R155" i="6"/>
  <c r="R150" i="6"/>
  <c r="R138" i="6"/>
  <c r="R130" i="6"/>
  <c r="R122" i="6"/>
  <c r="R114" i="6"/>
  <c r="R106" i="6"/>
  <c r="R98" i="6"/>
  <c r="R90" i="6"/>
  <c r="R240" i="6"/>
  <c r="R217" i="6"/>
  <c r="R209" i="6"/>
  <c r="R205" i="6"/>
  <c r="R201" i="6"/>
  <c r="R197" i="6"/>
  <c r="R194" i="6"/>
  <c r="R182" i="6"/>
  <c r="R177" i="6"/>
  <c r="R170" i="6"/>
  <c r="R161" i="6"/>
  <c r="R149" i="6"/>
  <c r="R137" i="6"/>
  <c r="R129" i="6"/>
  <c r="R121" i="6"/>
  <c r="R113" i="6"/>
  <c r="R105" i="6"/>
  <c r="R97" i="6"/>
  <c r="R89" i="6"/>
  <c r="R233" i="6"/>
  <c r="R229" i="6"/>
  <c r="R213" i="6"/>
  <c r="R208" i="6"/>
  <c r="R204" i="6"/>
  <c r="R200" i="6"/>
  <c r="R188" i="6"/>
  <c r="R185" i="6"/>
  <c r="R173" i="6"/>
  <c r="R164" i="6"/>
  <c r="R160" i="6"/>
  <c r="R148" i="6"/>
  <c r="R136" i="6"/>
  <c r="R128" i="6"/>
  <c r="R120" i="6"/>
  <c r="R112" i="6"/>
  <c r="R104" i="6"/>
  <c r="R96" i="6"/>
  <c r="R238" i="6"/>
  <c r="R223" i="6"/>
  <c r="R216" i="6"/>
  <c r="R199" i="6"/>
  <c r="R196" i="6"/>
  <c r="R179" i="6"/>
  <c r="R176" i="6"/>
  <c r="R167" i="6"/>
  <c r="R159" i="6"/>
  <c r="R147" i="6"/>
  <c r="R135" i="6"/>
  <c r="R127" i="6"/>
  <c r="R119" i="6"/>
  <c r="R111" i="6"/>
  <c r="R103" i="6"/>
  <c r="R95" i="6"/>
  <c r="R88" i="6"/>
  <c r="R241" i="6"/>
  <c r="R226" i="6"/>
  <c r="R222" i="6"/>
  <c r="R207" i="6"/>
  <c r="R203" i="6"/>
  <c r="R190" i="6"/>
  <c r="R187" i="6"/>
  <c r="R166" i="6"/>
  <c r="R163" i="6"/>
  <c r="R158" i="6"/>
  <c r="R154" i="6"/>
  <c r="R146" i="6"/>
  <c r="R134" i="6"/>
  <c r="R126" i="6"/>
  <c r="R118" i="6"/>
  <c r="R110" i="6"/>
  <c r="R102" i="6"/>
  <c r="R94" i="6"/>
  <c r="R236" i="6"/>
  <c r="R225" i="6"/>
  <c r="R221" i="6"/>
  <c r="R198" i="6"/>
  <c r="R193" i="6"/>
  <c r="R181" i="6"/>
  <c r="R178" i="6"/>
  <c r="R169" i="6"/>
  <c r="R157" i="6"/>
  <c r="R153" i="6"/>
  <c r="R145" i="6"/>
  <c r="R143" i="6"/>
  <c r="P141" i="6"/>
  <c r="R133" i="6"/>
  <c r="R125" i="6"/>
  <c r="R117" i="6"/>
  <c r="R109" i="6"/>
  <c r="R101" i="6"/>
  <c r="R93" i="6"/>
  <c r="R220" i="6"/>
  <c r="R165" i="6"/>
  <c r="R108" i="6"/>
  <c r="R92" i="6"/>
  <c r="X12" i="6"/>
  <c r="R212" i="6"/>
  <c r="R239" i="6"/>
  <c r="R228" i="6"/>
  <c r="R192" i="6"/>
  <c r="R172" i="6"/>
  <c r="R232" i="6"/>
  <c r="R184" i="6"/>
  <c r="R152" i="6"/>
  <c r="R116" i="6"/>
  <c r="R100" i="6"/>
  <c r="R132" i="6"/>
  <c r="R189" i="6"/>
  <c r="R156" i="6"/>
  <c r="R124" i="6"/>
  <c r="D94" i="5"/>
  <c r="L90" i="5"/>
  <c r="R168" i="3"/>
  <c r="L16" i="46"/>
  <c r="D32" i="46"/>
  <c r="J117" i="32"/>
  <c r="J103" i="32"/>
  <c r="J93" i="32"/>
  <c r="J87" i="32"/>
  <c r="J81" i="32"/>
  <c r="J77" i="32"/>
  <c r="J65" i="32"/>
  <c r="J112" i="32"/>
  <c r="J106" i="32"/>
  <c r="J84" i="32"/>
  <c r="J76" i="32"/>
  <c r="J64" i="32"/>
  <c r="J52" i="32"/>
  <c r="J44" i="32"/>
  <c r="J121" i="32"/>
  <c r="J115" i="32"/>
  <c r="J109" i="32"/>
  <c r="J99" i="32"/>
  <c r="J95" i="32"/>
  <c r="J89" i="32"/>
  <c r="J83" i="32"/>
  <c r="J75" i="32"/>
  <c r="J71" i="32"/>
  <c r="J63" i="32"/>
  <c r="J51" i="32"/>
  <c r="J43" i="32"/>
  <c r="J102" i="32"/>
  <c r="J98" i="32"/>
  <c r="J92" i="32"/>
  <c r="J86" i="32"/>
  <c r="J80" i="32"/>
  <c r="J74" i="32"/>
  <c r="J70" i="32"/>
  <c r="H59" i="32"/>
  <c r="J50" i="32"/>
  <c r="J42" i="32"/>
  <c r="J116" i="32"/>
  <c r="J108" i="32"/>
  <c r="J104" i="32"/>
  <c r="J94" i="32"/>
  <c r="J88" i="32"/>
  <c r="J82" i="32"/>
  <c r="J68" i="32"/>
  <c r="J62" i="32"/>
  <c r="J56" i="32"/>
  <c r="J48" i="32"/>
  <c r="J107" i="32"/>
  <c r="J91" i="32"/>
  <c r="J85" i="32"/>
  <c r="J79" i="32"/>
  <c r="J67" i="32"/>
  <c r="J55" i="32"/>
  <c r="J47" i="32"/>
  <c r="J114" i="32"/>
  <c r="J111" i="32"/>
  <c r="J100" i="32"/>
  <c r="J90" i="32"/>
  <c r="J72" i="32"/>
  <c r="J66" i="32"/>
  <c r="J54" i="32"/>
  <c r="J110" i="32"/>
  <c r="J96" i="32"/>
  <c r="J69" i="32"/>
  <c r="J40" i="32"/>
  <c r="J78" i="32"/>
  <c r="J101" i="32"/>
  <c r="J73" i="32"/>
  <c r="J45" i="32"/>
  <c r="J41" i="32"/>
  <c r="J97" i="32"/>
  <c r="J61" i="32"/>
  <c r="J53" i="32"/>
  <c r="J57" i="32"/>
  <c r="J49" i="32"/>
  <c r="J105" i="32"/>
  <c r="J46" i="32"/>
  <c r="T27" i="64"/>
  <c r="Z18" i="64"/>
  <c r="L18" i="64"/>
  <c r="D27" i="64"/>
  <c r="X18" i="64"/>
  <c r="P27" i="64"/>
  <c r="R70" i="61"/>
  <c r="R66" i="61"/>
  <c r="R62" i="61"/>
  <c r="R30" i="61"/>
  <c r="R18" i="61"/>
  <c r="R77" i="61"/>
  <c r="R74" i="61"/>
  <c r="R69" i="61"/>
  <c r="R65" i="61"/>
  <c r="R61" i="61"/>
  <c r="R58" i="61"/>
  <c r="R53" i="61"/>
  <c r="R50" i="61"/>
  <c r="R45" i="61"/>
  <c r="R42" i="61"/>
  <c r="R34" i="61"/>
  <c r="R29" i="61"/>
  <c r="R81" i="61"/>
  <c r="R79" i="61"/>
  <c r="R76" i="61"/>
  <c r="R60" i="61"/>
  <c r="R55" i="61"/>
  <c r="R52" i="61"/>
  <c r="R47" i="61"/>
  <c r="R44" i="61"/>
  <c r="R39" i="61"/>
  <c r="R27" i="61"/>
  <c r="R67" i="61"/>
  <c r="R63" i="61"/>
  <c r="R38" i="61"/>
  <c r="R26" i="61"/>
  <c r="R85" i="61"/>
  <c r="R78" i="61"/>
  <c r="R73" i="61"/>
  <c r="R57" i="61"/>
  <c r="R54" i="61"/>
  <c r="R49" i="61"/>
  <c r="R46" i="61"/>
  <c r="R41" i="61"/>
  <c r="R37" i="61"/>
  <c r="R33" i="61"/>
  <c r="R25" i="61"/>
  <c r="R23" i="61"/>
  <c r="P21" i="61"/>
  <c r="R21" i="61" s="1"/>
  <c r="R72" i="61"/>
  <c r="R36" i="61"/>
  <c r="R32" i="61"/>
  <c r="R75" i="61"/>
  <c r="R71" i="61"/>
  <c r="R59" i="61"/>
  <c r="R56" i="61"/>
  <c r="R51" i="61"/>
  <c r="R48" i="61"/>
  <c r="R43" i="61"/>
  <c r="R40" i="61"/>
  <c r="R35" i="61"/>
  <c r="R31" i="61"/>
  <c r="R24" i="61"/>
  <c r="R19" i="61"/>
  <c r="R17" i="61"/>
  <c r="R28" i="61"/>
  <c r="X12" i="61"/>
  <c r="R68" i="61"/>
  <c r="R64" i="61"/>
  <c r="H87" i="60"/>
  <c r="D49" i="56"/>
  <c r="L18" i="56"/>
  <c r="J89" i="58"/>
  <c r="J82" i="58"/>
  <c r="J73" i="58"/>
  <c r="J59" i="58"/>
  <c r="J51" i="58"/>
  <c r="J43" i="58"/>
  <c r="J29" i="58"/>
  <c r="J80" i="58"/>
  <c r="J76" i="58"/>
  <c r="J72" i="58"/>
  <c r="J66" i="58"/>
  <c r="J62" i="58"/>
  <c r="J56" i="58"/>
  <c r="J48" i="58"/>
  <c r="J40" i="58"/>
  <c r="J34" i="58"/>
  <c r="J28" i="58"/>
  <c r="J71" i="58"/>
  <c r="J53" i="58"/>
  <c r="J45" i="58"/>
  <c r="J39" i="58"/>
  <c r="J27" i="58"/>
  <c r="J75" i="58"/>
  <c r="J69" i="58"/>
  <c r="J65" i="58"/>
  <c r="J61" i="58"/>
  <c r="J55" i="58"/>
  <c r="J47" i="58"/>
  <c r="J37" i="58"/>
  <c r="J33" i="58"/>
  <c r="J25" i="58"/>
  <c r="J21" i="58"/>
  <c r="J86" i="58"/>
  <c r="J68" i="58"/>
  <c r="J64" i="58"/>
  <c r="J60" i="58"/>
  <c r="J74" i="58"/>
  <c r="J67" i="58"/>
  <c r="J84" i="58"/>
  <c r="J77" i="58"/>
  <c r="J57" i="58"/>
  <c r="J36" i="58"/>
  <c r="J30" i="58"/>
  <c r="J26" i="58"/>
  <c r="J63" i="58"/>
  <c r="J49" i="58"/>
  <c r="J31" i="58"/>
  <c r="N12" i="58"/>
  <c r="J78" i="58"/>
  <c r="J58" i="58"/>
  <c r="J50" i="58"/>
  <c r="J46" i="58"/>
  <c r="J52" i="58"/>
  <c r="J32" i="58"/>
  <c r="J42" i="58"/>
  <c r="J24" i="58"/>
  <c r="J70" i="58"/>
  <c r="J54" i="58"/>
  <c r="J35" i="58"/>
  <c r="J17" i="58"/>
  <c r="J38" i="58"/>
  <c r="J19" i="58"/>
  <c r="H21" i="58"/>
  <c r="J44" i="58"/>
  <c r="J41" i="58"/>
  <c r="J23" i="58"/>
  <c r="J18" i="58"/>
  <c r="L16" i="49"/>
  <c r="D39" i="49"/>
  <c r="D39" i="54"/>
  <c r="Z16" i="49"/>
  <c r="T39" i="49"/>
  <c r="X39" i="49" s="1"/>
  <c r="X16" i="46"/>
  <c r="P32" i="46"/>
  <c r="X16" i="49"/>
  <c r="T79" i="42"/>
  <c r="V79" i="45"/>
  <c r="V67" i="45"/>
  <c r="V63" i="45"/>
  <c r="V59" i="45"/>
  <c r="V55" i="45"/>
  <c r="V47" i="45"/>
  <c r="V43" i="45"/>
  <c r="V35" i="45"/>
  <c r="V31" i="45"/>
  <c r="V23" i="45"/>
  <c r="V78" i="45"/>
  <c r="V66" i="45"/>
  <c r="V62" i="45"/>
  <c r="V58" i="45"/>
  <c r="V54" i="45"/>
  <c r="V46" i="45"/>
  <c r="V38" i="45"/>
  <c r="V34" i="45"/>
  <c r="V30" i="45"/>
  <c r="V18" i="45"/>
  <c r="V73" i="45"/>
  <c r="V65" i="45"/>
  <c r="V57" i="45"/>
  <c r="V49" i="45"/>
  <c r="V37" i="45"/>
  <c r="V33" i="45"/>
  <c r="V29" i="45"/>
  <c r="V17" i="45"/>
  <c r="V91" i="45"/>
  <c r="V86" i="45"/>
  <c r="V84" i="45"/>
  <c r="V72" i="45"/>
  <c r="V64" i="45"/>
  <c r="V48" i="45"/>
  <c r="V40" i="45"/>
  <c r="V32" i="45"/>
  <c r="V28" i="45"/>
  <c r="V16" i="45"/>
  <c r="V81" i="45"/>
  <c r="V75" i="45"/>
  <c r="V71" i="45"/>
  <c r="V51" i="45"/>
  <c r="V39" i="45"/>
  <c r="V27" i="45"/>
  <c r="V77" i="45"/>
  <c r="V69" i="45"/>
  <c r="V61" i="45"/>
  <c r="V53" i="45"/>
  <c r="V45" i="45"/>
  <c r="V41" i="45"/>
  <c r="V25" i="45"/>
  <c r="T20" i="45"/>
  <c r="V70" i="45"/>
  <c r="V42" i="45"/>
  <c r="V26" i="45"/>
  <c r="V88" i="45"/>
  <c r="V50" i="45"/>
  <c r="Z12" i="45"/>
  <c r="V36" i="45"/>
  <c r="V74" i="45"/>
  <c r="V68" i="45"/>
  <c r="V52" i="45"/>
  <c r="V44" i="45"/>
  <c r="V24" i="45"/>
  <c r="V76" i="45"/>
  <c r="V60" i="45"/>
  <c r="V22" i="45"/>
  <c r="V20" i="45"/>
  <c r="V56" i="45"/>
  <c r="V82" i="45"/>
  <c r="D79" i="42"/>
  <c r="L20" i="42"/>
  <c r="F20" i="42"/>
  <c r="F54" i="31"/>
  <c r="F30" i="31"/>
  <c r="F23" i="31"/>
  <c r="F64" i="31"/>
  <c r="F58" i="31"/>
  <c r="F44" i="31"/>
  <c r="F41" i="31"/>
  <c r="F36" i="31"/>
  <c r="F33" i="31"/>
  <c r="D23" i="31"/>
  <c r="F21" i="31"/>
  <c r="F62" i="31"/>
  <c r="F56" i="31"/>
  <c r="F47" i="31"/>
  <c r="F20" i="31"/>
  <c r="L12" i="31"/>
  <c r="F50" i="31"/>
  <c r="F43" i="31"/>
  <c r="F38" i="31"/>
  <c r="F35" i="31"/>
  <c r="F26" i="31"/>
  <c r="F25" i="31"/>
  <c r="F19" i="31"/>
  <c r="F53" i="31"/>
  <c r="F46" i="31"/>
  <c r="F29" i="31"/>
  <c r="F55" i="31"/>
  <c r="F52" i="31"/>
  <c r="F48" i="31"/>
  <c r="F28" i="31"/>
  <c r="F51" i="31"/>
  <c r="F42" i="31"/>
  <c r="F39" i="31"/>
  <c r="F34" i="31"/>
  <c r="F31" i="31"/>
  <c r="F27" i="31"/>
  <c r="F18" i="31"/>
  <c r="F40" i="31"/>
  <c r="F45" i="31"/>
  <c r="F67" i="31"/>
  <c r="F60" i="31"/>
  <c r="F37" i="31"/>
  <c r="F32" i="31"/>
  <c r="F49" i="31"/>
  <c r="X144" i="35"/>
  <c r="Z18" i="28"/>
  <c r="T102" i="28"/>
  <c r="L16" i="25"/>
  <c r="D56" i="25"/>
  <c r="T22" i="20"/>
  <c r="Z16" i="20"/>
  <c r="Z16" i="25"/>
  <c r="T56" i="25"/>
  <c r="D68" i="23"/>
  <c r="J115" i="14"/>
  <c r="J103" i="14"/>
  <c r="J99" i="14"/>
  <c r="J89" i="14"/>
  <c r="J77" i="14"/>
  <c r="J69" i="14"/>
  <c r="J61" i="14"/>
  <c r="J55" i="14"/>
  <c r="J47" i="14"/>
  <c r="J35" i="14"/>
  <c r="J98" i="14"/>
  <c r="J92" i="14"/>
  <c r="J84" i="14"/>
  <c r="J74" i="14"/>
  <c r="J66" i="14"/>
  <c r="J58" i="14"/>
  <c r="J52" i="14"/>
  <c r="J46" i="14"/>
  <c r="J40" i="14"/>
  <c r="J34" i="14"/>
  <c r="J113" i="14"/>
  <c r="J109" i="14"/>
  <c r="J105" i="14"/>
  <c r="J97" i="14"/>
  <c r="J81" i="14"/>
  <c r="J71" i="14"/>
  <c r="J63" i="14"/>
  <c r="J49" i="14"/>
  <c r="J45" i="14"/>
  <c r="J33" i="14"/>
  <c r="J23" i="14"/>
  <c r="J116" i="14"/>
  <c r="J108" i="14"/>
  <c r="J102" i="14"/>
  <c r="J96" i="14"/>
  <c r="J88" i="14"/>
  <c r="J80" i="14"/>
  <c r="J76" i="14"/>
  <c r="J68" i="14"/>
  <c r="J60" i="14"/>
  <c r="J54" i="14"/>
  <c r="J44" i="14"/>
  <c r="J32" i="14"/>
  <c r="J111" i="14"/>
  <c r="J107" i="14"/>
  <c r="J95" i="14"/>
  <c r="J91" i="14"/>
  <c r="J87" i="14"/>
  <c r="J83" i="14"/>
  <c r="J79" i="14"/>
  <c r="J73" i="14"/>
  <c r="J65" i="14"/>
  <c r="J57" i="14"/>
  <c r="J51" i="14"/>
  <c r="J43" i="14"/>
  <c r="J39" i="14"/>
  <c r="J31" i="14"/>
  <c r="J120" i="14"/>
  <c r="J114" i="14"/>
  <c r="J104" i="14"/>
  <c r="J94" i="14"/>
  <c r="J90" i="14"/>
  <c r="J86" i="14"/>
  <c r="J78" i="14"/>
  <c r="J70" i="14"/>
  <c r="J62" i="14"/>
  <c r="J48" i="14"/>
  <c r="J42" i="14"/>
  <c r="J38" i="14"/>
  <c r="H27" i="14"/>
  <c r="J101" i="14"/>
  <c r="J93" i="14"/>
  <c r="J85" i="14"/>
  <c r="J75" i="14"/>
  <c r="J67" i="14"/>
  <c r="J59" i="14"/>
  <c r="J53" i="14"/>
  <c r="J41" i="14"/>
  <c r="J37" i="14"/>
  <c r="J29" i="14"/>
  <c r="J25" i="14"/>
  <c r="J110" i="14"/>
  <c r="J106" i="14"/>
  <c r="J100" i="14"/>
  <c r="J82" i="14"/>
  <c r="J72" i="14"/>
  <c r="J64" i="14"/>
  <c r="J56" i="14"/>
  <c r="J50" i="14"/>
  <c r="J36" i="14"/>
  <c r="J30" i="14"/>
  <c r="J24" i="14"/>
  <c r="V101" i="16"/>
  <c r="V97" i="16"/>
  <c r="V85" i="16"/>
  <c r="V81" i="16"/>
  <c r="V77" i="16"/>
  <c r="V110" i="16"/>
  <c r="V100" i="16"/>
  <c r="V92" i="16"/>
  <c r="V84" i="16"/>
  <c r="V94" i="16"/>
  <c r="V90" i="16"/>
  <c r="V103" i="16"/>
  <c r="V93" i="16"/>
  <c r="V89" i="16"/>
  <c r="V106" i="16"/>
  <c r="V105" i="16"/>
  <c r="V64" i="16"/>
  <c r="V56" i="16"/>
  <c r="V44" i="16"/>
  <c r="V40" i="16"/>
  <c r="V36" i="16"/>
  <c r="V28" i="16"/>
  <c r="V76" i="16"/>
  <c r="V63" i="16"/>
  <c r="V55" i="16"/>
  <c r="V47" i="16"/>
  <c r="V39" i="16"/>
  <c r="V35" i="16"/>
  <c r="V27" i="16"/>
  <c r="V104" i="16"/>
  <c r="V91" i="16"/>
  <c r="V66" i="16"/>
  <c r="V58" i="16"/>
  <c r="V46" i="16"/>
  <c r="V38" i="16"/>
  <c r="V34" i="16"/>
  <c r="V22" i="16"/>
  <c r="V95" i="16"/>
  <c r="V73" i="16"/>
  <c r="V65" i="16"/>
  <c r="V57" i="16"/>
  <c r="V49" i="16"/>
  <c r="V37" i="16"/>
  <c r="V33" i="16"/>
  <c r="V21" i="16"/>
  <c r="V96" i="16"/>
  <c r="V86" i="16"/>
  <c r="V83" i="16"/>
  <c r="V72" i="16"/>
  <c r="V68" i="16"/>
  <c r="V60" i="16"/>
  <c r="V52" i="16"/>
  <c r="V48" i="16"/>
  <c r="V32" i="16"/>
  <c r="V20" i="16"/>
  <c r="Z12" i="16"/>
  <c r="V99" i="16"/>
  <c r="V98" i="16"/>
  <c r="V87" i="16"/>
  <c r="V78" i="16"/>
  <c r="V75" i="16"/>
  <c r="V71" i="16"/>
  <c r="V67" i="16"/>
  <c r="V59" i="16"/>
  <c r="V51" i="16"/>
  <c r="V43" i="16"/>
  <c r="V31" i="16"/>
  <c r="V88" i="16"/>
  <c r="V80" i="16"/>
  <c r="V79" i="16"/>
  <c r="V74" i="16"/>
  <c r="V70" i="16"/>
  <c r="V62" i="16"/>
  <c r="V54" i="16"/>
  <c r="V50" i="16"/>
  <c r="V42" i="16"/>
  <c r="V30" i="16"/>
  <c r="V26" i="16"/>
  <c r="V82" i="16"/>
  <c r="V69" i="16"/>
  <c r="V61" i="16"/>
  <c r="V53" i="16"/>
  <c r="V45" i="16"/>
  <c r="V41" i="16"/>
  <c r="V29" i="16"/>
  <c r="T24" i="16"/>
  <c r="P26" i="20"/>
  <c r="V259" i="8"/>
  <c r="V251" i="8"/>
  <c r="V237" i="8"/>
  <c r="V233" i="8"/>
  <c r="V205" i="8"/>
  <c r="V193" i="8"/>
  <c r="V181" i="8"/>
  <c r="V173" i="8"/>
  <c r="V169" i="8"/>
  <c r="V161" i="8"/>
  <c r="T156" i="8"/>
  <c r="V149" i="8"/>
  <c r="V141" i="8"/>
  <c r="V133" i="8"/>
  <c r="V125" i="8"/>
  <c r="V117" i="8"/>
  <c r="V109" i="8"/>
  <c r="V101" i="8"/>
  <c r="V254" i="8"/>
  <c r="V244" i="8"/>
  <c r="V240" i="8"/>
  <c r="V236" i="8"/>
  <c r="V232" i="8"/>
  <c r="V224" i="8"/>
  <c r="V208" i="8"/>
  <c r="V204" i="8"/>
  <c r="V196" i="8"/>
  <c r="V184" i="8"/>
  <c r="V180" i="8"/>
  <c r="V172" i="8"/>
  <c r="V168" i="8"/>
  <c r="V160" i="8"/>
  <c r="V148" i="8"/>
  <c r="V140" i="8"/>
  <c r="V132" i="8"/>
  <c r="V124" i="8"/>
  <c r="V116" i="8"/>
  <c r="V108" i="8"/>
  <c r="V100" i="8"/>
  <c r="Z12" i="8"/>
  <c r="V249" i="8"/>
  <c r="V243" i="8"/>
  <c r="V239" i="8"/>
  <c r="V231" i="8"/>
  <c r="V227" i="8"/>
  <c r="V223" i="8"/>
  <c r="V219" i="8"/>
  <c r="V215" i="8"/>
  <c r="V207" i="8"/>
  <c r="V199" i="8"/>
  <c r="V195" i="8"/>
  <c r="V187" i="8"/>
  <c r="V183" i="8"/>
  <c r="V171" i="8"/>
  <c r="V167" i="8"/>
  <c r="V159" i="8"/>
  <c r="V147" i="8"/>
  <c r="V139" i="8"/>
  <c r="V131" i="8"/>
  <c r="V123" i="8"/>
  <c r="V115" i="8"/>
  <c r="V107" i="8"/>
  <c r="V99" i="8"/>
  <c r="V252" i="8"/>
  <c r="V246" i="8"/>
  <c r="V242" i="8"/>
  <c r="V230" i="8"/>
  <c r="V226" i="8"/>
  <c r="V222" i="8"/>
  <c r="V218" i="8"/>
  <c r="V214" i="8"/>
  <c r="V210" i="8"/>
  <c r="V198" i="8"/>
  <c r="V190" i="8"/>
  <c r="V186" i="8"/>
  <c r="V170" i="8"/>
  <c r="V166" i="8"/>
  <c r="V154" i="8"/>
  <c r="V146" i="8"/>
  <c r="V138" i="8"/>
  <c r="V130" i="8"/>
  <c r="V122" i="8"/>
  <c r="V114" i="8"/>
  <c r="V106" i="8"/>
  <c r="V98" i="8"/>
  <c r="V255" i="8"/>
  <c r="V245" i="8"/>
  <c r="V241" i="8"/>
  <c r="V229" i="8"/>
  <c r="V225" i="8"/>
  <c r="V221" i="8"/>
  <c r="V217" i="8"/>
  <c r="V213" i="8"/>
  <c r="V209" i="8"/>
  <c r="V201" i="8"/>
  <c r="V197" i="8"/>
  <c r="V189" i="8"/>
  <c r="V185" i="8"/>
  <c r="V177" i="8"/>
  <c r="V165" i="8"/>
  <c r="V153" i="8"/>
  <c r="V145" i="8"/>
  <c r="V137" i="8"/>
  <c r="V129" i="8"/>
  <c r="V121" i="8"/>
  <c r="V113" i="8"/>
  <c r="V105" i="8"/>
  <c r="V253" i="8"/>
  <c r="V235" i="8"/>
  <c r="V211" i="8"/>
  <c r="V203" i="8"/>
  <c r="V191" i="8"/>
  <c r="V179" i="8"/>
  <c r="V175" i="8"/>
  <c r="V163" i="8"/>
  <c r="V151" i="8"/>
  <c r="V143" i="8"/>
  <c r="V135" i="8"/>
  <c r="V127" i="8"/>
  <c r="V119" i="8"/>
  <c r="V111" i="8"/>
  <c r="V103" i="8"/>
  <c r="V248" i="8"/>
  <c r="V238" i="8"/>
  <c r="V234" i="8"/>
  <c r="V206" i="8"/>
  <c r="V202" i="8"/>
  <c r="V194" i="8"/>
  <c r="V182" i="8"/>
  <c r="V178" i="8"/>
  <c r="V174" i="8"/>
  <c r="V162" i="8"/>
  <c r="V158" i="8"/>
  <c r="V150" i="8"/>
  <c r="V142" i="8"/>
  <c r="V134" i="8"/>
  <c r="V126" i="8"/>
  <c r="V118" i="8"/>
  <c r="V110" i="8"/>
  <c r="V102" i="8"/>
  <c r="V250" i="8"/>
  <c r="V188" i="8"/>
  <c r="V164" i="8"/>
  <c r="V136" i="8"/>
  <c r="V120" i="8"/>
  <c r="V104" i="8"/>
  <c r="V228" i="8"/>
  <c r="V216" i="8"/>
  <c r="V220" i="8"/>
  <c r="V212" i="8"/>
  <c r="V144" i="8"/>
  <c r="V200" i="8"/>
  <c r="V192" i="8"/>
  <c r="V176" i="8"/>
  <c r="V152" i="8"/>
  <c r="V128" i="8"/>
  <c r="V112" i="8"/>
  <c r="J102" i="10"/>
  <c r="J98" i="10"/>
  <c r="J92" i="10"/>
  <c r="J86" i="10"/>
  <c r="J80" i="10"/>
  <c r="J74" i="10"/>
  <c r="J70" i="10"/>
  <c r="H59" i="10"/>
  <c r="J50" i="10"/>
  <c r="J42" i="10"/>
  <c r="J111" i="10"/>
  <c r="J105" i="10"/>
  <c r="J101" i="10"/>
  <c r="J97" i="10"/>
  <c r="J73" i="10"/>
  <c r="J69" i="10"/>
  <c r="J116" i="10"/>
  <c r="J108" i="10"/>
  <c r="J104" i="10"/>
  <c r="J94" i="10"/>
  <c r="J88" i="10"/>
  <c r="J82" i="10"/>
  <c r="J68" i="10"/>
  <c r="J62" i="10"/>
  <c r="J56" i="10"/>
  <c r="J48" i="10"/>
  <c r="J107" i="10"/>
  <c r="J91" i="10"/>
  <c r="J85" i="10"/>
  <c r="J79" i="10"/>
  <c r="J67" i="10"/>
  <c r="J55" i="10"/>
  <c r="J47" i="10"/>
  <c r="J117" i="10"/>
  <c r="J103" i="10"/>
  <c r="J93" i="10"/>
  <c r="J87" i="10"/>
  <c r="J81" i="10"/>
  <c r="J77" i="10"/>
  <c r="J65" i="10"/>
  <c r="J53" i="10"/>
  <c r="J45" i="10"/>
  <c r="J100" i="10"/>
  <c r="J90" i="10"/>
  <c r="J76" i="10"/>
  <c r="J71" i="10"/>
  <c r="J59" i="10"/>
  <c r="J44" i="10"/>
  <c r="J121" i="10"/>
  <c r="J84" i="10"/>
  <c r="J83" i="10"/>
  <c r="J112" i="10"/>
  <c r="J106" i="10"/>
  <c r="J99" i="10"/>
  <c r="J54" i="10"/>
  <c r="J49" i="10"/>
  <c r="J96" i="10"/>
  <c r="J66" i="10"/>
  <c r="J40" i="10"/>
  <c r="J114" i="10"/>
  <c r="J95" i="10"/>
  <c r="J63" i="10"/>
  <c r="J89" i="10"/>
  <c r="J52" i="10"/>
  <c r="J110" i="10"/>
  <c r="J75" i="10"/>
  <c r="J72" i="10"/>
  <c r="J61" i="10"/>
  <c r="J57" i="10"/>
  <c r="J43" i="10"/>
  <c r="J64" i="10"/>
  <c r="J51" i="10"/>
  <c r="J115" i="10"/>
  <c r="J41" i="10"/>
  <c r="J78" i="10"/>
  <c r="J46" i="10"/>
  <c r="J109" i="10"/>
  <c r="X12" i="11"/>
  <c r="Z12" i="11" s="1"/>
  <c r="N90" i="5"/>
  <c r="H94" i="5"/>
  <c r="X267" i="3"/>
  <c r="F240" i="6"/>
  <c r="F223" i="6"/>
  <c r="F199" i="6"/>
  <c r="F194" i="6"/>
  <c r="F182" i="6"/>
  <c r="F179" i="6"/>
  <c r="F170" i="6"/>
  <c r="F167" i="6"/>
  <c r="F159" i="6"/>
  <c r="F147" i="6"/>
  <c r="F135" i="6"/>
  <c r="F127" i="6"/>
  <c r="F119" i="6"/>
  <c r="F111" i="6"/>
  <c r="F103" i="6"/>
  <c r="F95" i="6"/>
  <c r="F233" i="6"/>
  <c r="F229" i="6"/>
  <c r="F226" i="6"/>
  <c r="F222" i="6"/>
  <c r="F213" i="6"/>
  <c r="F190" i="6"/>
  <c r="F185" i="6"/>
  <c r="F173" i="6"/>
  <c r="F166" i="6"/>
  <c r="F158" i="6"/>
  <c r="F154" i="6"/>
  <c r="F146" i="6"/>
  <c r="F134" i="6"/>
  <c r="F126" i="6"/>
  <c r="F118" i="6"/>
  <c r="F110" i="6"/>
  <c r="F102" i="6"/>
  <c r="F94" i="6"/>
  <c r="F238" i="6"/>
  <c r="F225" i="6"/>
  <c r="F221" i="6"/>
  <c r="F216" i="6"/>
  <c r="F196" i="6"/>
  <c r="F193" i="6"/>
  <c r="F181" i="6"/>
  <c r="F176" i="6"/>
  <c r="F169" i="6"/>
  <c r="F157" i="6"/>
  <c r="F153" i="6"/>
  <c r="F145" i="6"/>
  <c r="F133" i="6"/>
  <c r="F125" i="6"/>
  <c r="F117" i="6"/>
  <c r="F109" i="6"/>
  <c r="F101" i="6"/>
  <c r="F93" i="6"/>
  <c r="F88" i="6"/>
  <c r="F241" i="6"/>
  <c r="F232" i="6"/>
  <c r="F228" i="6"/>
  <c r="F220" i="6"/>
  <c r="F212" i="6"/>
  <c r="F207" i="6"/>
  <c r="F203" i="6"/>
  <c r="F192" i="6"/>
  <c r="F187" i="6"/>
  <c r="F184" i="6"/>
  <c r="F172" i="6"/>
  <c r="F163" i="6"/>
  <c r="F156" i="6"/>
  <c r="F152" i="6"/>
  <c r="F141" i="6"/>
  <c r="F132" i="6"/>
  <c r="F124" i="6"/>
  <c r="F116" i="6"/>
  <c r="F108" i="6"/>
  <c r="F100" i="6"/>
  <c r="F92" i="6"/>
  <c r="L12" i="6"/>
  <c r="N12" i="6" s="1"/>
  <c r="F245" i="6"/>
  <c r="F236" i="6"/>
  <c r="F231" i="6"/>
  <c r="F219" i="6"/>
  <c r="F215" i="6"/>
  <c r="F211" i="6"/>
  <c r="F198" i="6"/>
  <c r="F195" i="6"/>
  <c r="F183" i="6"/>
  <c r="F178" i="6"/>
  <c r="F175" i="6"/>
  <c r="F171" i="6"/>
  <c r="F151" i="6"/>
  <c r="D141" i="6"/>
  <c r="F139" i="6"/>
  <c r="F131" i="6"/>
  <c r="F123" i="6"/>
  <c r="F115" i="6"/>
  <c r="F107" i="6"/>
  <c r="F99" i="6"/>
  <c r="F91" i="6"/>
  <c r="F239" i="6"/>
  <c r="F234" i="6"/>
  <c r="F230" i="6"/>
  <c r="F218" i="6"/>
  <c r="F214" i="6"/>
  <c r="F210" i="6"/>
  <c r="F206" i="6"/>
  <c r="F202" i="6"/>
  <c r="F189" i="6"/>
  <c r="F186" i="6"/>
  <c r="F174" i="6"/>
  <c r="F165" i="6"/>
  <c r="F162" i="6"/>
  <c r="F150" i="6"/>
  <c r="F138" i="6"/>
  <c r="F130" i="6"/>
  <c r="F122" i="6"/>
  <c r="F114" i="6"/>
  <c r="F106" i="6"/>
  <c r="F98" i="6"/>
  <c r="F90" i="6"/>
  <c r="F224" i="6"/>
  <c r="F217" i="6"/>
  <c r="F209" i="6"/>
  <c r="F205" i="6"/>
  <c r="F201" i="6"/>
  <c r="F197" i="6"/>
  <c r="F180" i="6"/>
  <c r="F177" i="6"/>
  <c r="F168" i="6"/>
  <c r="F161" i="6"/>
  <c r="F149" i="6"/>
  <c r="F144" i="6"/>
  <c r="F143" i="6"/>
  <c r="F137" i="6"/>
  <c r="F129" i="6"/>
  <c r="F121" i="6"/>
  <c r="F113" i="6"/>
  <c r="F105" i="6"/>
  <c r="F97" i="6"/>
  <c r="F89" i="6"/>
  <c r="F191" i="6"/>
  <c r="F188" i="6"/>
  <c r="F155" i="6"/>
  <c r="F112" i="6"/>
  <c r="F96" i="6"/>
  <c r="F164" i="6"/>
  <c r="F237" i="6"/>
  <c r="F204" i="6"/>
  <c r="F148" i="6"/>
  <c r="F227" i="6"/>
  <c r="F120" i="6"/>
  <c r="F136" i="6"/>
  <c r="F128" i="6"/>
  <c r="F104" i="6"/>
  <c r="F200" i="6"/>
  <c r="F160" i="6"/>
  <c r="F208" i="6"/>
  <c r="R88" i="17"/>
  <c r="R83" i="17"/>
  <c r="R68" i="17"/>
  <c r="R64" i="17"/>
  <c r="R59" i="17"/>
  <c r="R56" i="17"/>
  <c r="R51" i="17"/>
  <c r="R48" i="17"/>
  <c r="R43" i="17"/>
  <c r="R36" i="17"/>
  <c r="R31" i="17"/>
  <c r="R93" i="17"/>
  <c r="R82" i="17"/>
  <c r="R75" i="17"/>
  <c r="R42" i="17"/>
  <c r="R30" i="17"/>
  <c r="R19" i="17"/>
  <c r="R85" i="17"/>
  <c r="R81" i="17"/>
  <c r="R61" i="17"/>
  <c r="R58" i="17"/>
  <c r="R53" i="17"/>
  <c r="R50" i="17"/>
  <c r="R80" i="17"/>
  <c r="R72" i="17"/>
  <c r="R40" i="17"/>
  <c r="R28" i="17"/>
  <c r="R97" i="17"/>
  <c r="R91" i="17"/>
  <c r="R87" i="17"/>
  <c r="R84" i="17"/>
  <c r="R79" i="17"/>
  <c r="R71" i="17"/>
  <c r="R67" i="17"/>
  <c r="R63" i="17"/>
  <c r="R60" i="17"/>
  <c r="R55" i="17"/>
  <c r="R52" i="17"/>
  <c r="R47" i="17"/>
  <c r="R44" i="17"/>
  <c r="R39" i="17"/>
  <c r="R35" i="17"/>
  <c r="R27" i="17"/>
  <c r="R25" i="17"/>
  <c r="P23" i="17"/>
  <c r="R90" i="17"/>
  <c r="R78" i="17"/>
  <c r="R74" i="17"/>
  <c r="R70" i="17"/>
  <c r="R66" i="17"/>
  <c r="R38" i="17"/>
  <c r="R34" i="17"/>
  <c r="R29" i="17"/>
  <c r="R32" i="17"/>
  <c r="R26" i="17"/>
  <c r="R89" i="17"/>
  <c r="R65" i="17"/>
  <c r="R62" i="17"/>
  <c r="R57" i="17"/>
  <c r="R54" i="17"/>
  <c r="R49" i="17"/>
  <c r="R45" i="17"/>
  <c r="R37" i="17"/>
  <c r="R33" i="17"/>
  <c r="R86" i="17"/>
  <c r="R46" i="17"/>
  <c r="X12" i="17"/>
  <c r="R76" i="17"/>
  <c r="R69" i="17"/>
  <c r="R41" i="17"/>
  <c r="R77" i="17"/>
  <c r="R20" i="17"/>
  <c r="R73" i="17"/>
  <c r="R21" i="17"/>
  <c r="H108" i="16"/>
  <c r="N24" i="16"/>
  <c r="V84" i="12"/>
  <c r="V78" i="12"/>
  <c r="V66" i="12"/>
  <c r="V62" i="12"/>
  <c r="V54" i="12"/>
  <c r="V38" i="12"/>
  <c r="V34" i="12"/>
  <c r="V32" i="12"/>
  <c r="V77" i="12"/>
  <c r="V69" i="12"/>
  <c r="V65" i="12"/>
  <c r="V53" i="12"/>
  <c r="V37" i="12"/>
  <c r="T32" i="12"/>
  <c r="V90" i="12"/>
  <c r="V80" i="12"/>
  <c r="V76" i="12"/>
  <c r="V68" i="12"/>
  <c r="V64" i="12"/>
  <c r="V56" i="12"/>
  <c r="V48" i="12"/>
  <c r="V36" i="12"/>
  <c r="V85" i="12"/>
  <c r="V79" i="12"/>
  <c r="V75" i="12"/>
  <c r="V71" i="12"/>
  <c r="V59" i="12"/>
  <c r="V55" i="12"/>
  <c r="V47" i="12"/>
  <c r="V43" i="12"/>
  <c r="V35" i="12"/>
  <c r="V81" i="12"/>
  <c r="V73" i="12"/>
  <c r="V61" i="12"/>
  <c r="V57" i="12"/>
  <c r="V49" i="12"/>
  <c r="V45" i="12"/>
  <c r="V41" i="12"/>
  <c r="V29" i="12"/>
  <c r="V86" i="12"/>
  <c r="V72" i="12"/>
  <c r="V60" i="12"/>
  <c r="V52" i="12"/>
  <c r="V44" i="12"/>
  <c r="V40" i="12"/>
  <c r="V28" i="12"/>
  <c r="V39" i="12"/>
  <c r="V67" i="12"/>
  <c r="V63" i="12"/>
  <c r="V58" i="12"/>
  <c r="V70" i="12"/>
  <c r="V74" i="12"/>
  <c r="V50" i="12"/>
  <c r="V46" i="12"/>
  <c r="V42" i="12"/>
  <c r="V27" i="12"/>
  <c r="V51" i="12"/>
  <c r="V30" i="12"/>
  <c r="V82" i="12"/>
  <c r="L226" i="7"/>
  <c r="N226" i="7" s="1"/>
  <c r="J275" i="3"/>
  <c r="J270" i="3"/>
  <c r="J280" i="3"/>
  <c r="J271" i="3"/>
  <c r="J267" i="3"/>
  <c r="J263" i="3"/>
  <c r="J259" i="3"/>
  <c r="J251" i="3"/>
  <c r="J245" i="3"/>
  <c r="J225" i="3"/>
  <c r="J219" i="3"/>
  <c r="J211" i="3"/>
  <c r="J205" i="3"/>
  <c r="J199" i="3"/>
  <c r="J183" i="3"/>
  <c r="J179" i="3"/>
  <c r="H168" i="3"/>
  <c r="J159" i="3"/>
  <c r="J151" i="3"/>
  <c r="J143" i="3"/>
  <c r="J135" i="3"/>
  <c r="J127" i="3"/>
  <c r="J119" i="3"/>
  <c r="J111" i="3"/>
  <c r="J172" i="3"/>
  <c r="J160" i="3"/>
  <c r="J128" i="3"/>
  <c r="J276" i="3"/>
  <c r="J262" i="3"/>
  <c r="J250" i="3"/>
  <c r="J236" i="3"/>
  <c r="J232" i="3"/>
  <c r="J222" i="3"/>
  <c r="J216" i="3"/>
  <c r="J210" i="3"/>
  <c r="J202" i="3"/>
  <c r="J198" i="3"/>
  <c r="J192" i="3"/>
  <c r="J178" i="3"/>
  <c r="J170" i="3"/>
  <c r="J166" i="3"/>
  <c r="J158" i="3"/>
  <c r="J150" i="3"/>
  <c r="J142" i="3"/>
  <c r="J134" i="3"/>
  <c r="J126" i="3"/>
  <c r="J118" i="3"/>
  <c r="J110" i="3"/>
  <c r="J228" i="3"/>
  <c r="J214" i="3"/>
  <c r="J180" i="3"/>
  <c r="J273" i="3"/>
  <c r="J265" i="3"/>
  <c r="J261" i="3"/>
  <c r="J255" i="3"/>
  <c r="J249" i="3"/>
  <c r="J241" i="3"/>
  <c r="J227" i="3"/>
  <c r="J213" i="3"/>
  <c r="J207" i="3"/>
  <c r="J201" i="3"/>
  <c r="J195" i="3"/>
  <c r="J189" i="3"/>
  <c r="J177" i="3"/>
  <c r="J171" i="3"/>
  <c r="J165" i="3"/>
  <c r="J157" i="3"/>
  <c r="J149" i="3"/>
  <c r="J141" i="3"/>
  <c r="J133" i="3"/>
  <c r="J125" i="3"/>
  <c r="J117" i="3"/>
  <c r="J109" i="3"/>
  <c r="J190" i="3"/>
  <c r="J112" i="3"/>
  <c r="J268" i="3"/>
  <c r="J258" i="3"/>
  <c r="J248" i="3"/>
  <c r="J244" i="3"/>
  <c r="J240" i="3"/>
  <c r="J224" i="3"/>
  <c r="J218" i="3"/>
  <c r="J204" i="3"/>
  <c r="J188" i="3"/>
  <c r="J182" i="3"/>
  <c r="J176" i="3"/>
  <c r="J164" i="3"/>
  <c r="J156" i="3"/>
  <c r="J148" i="3"/>
  <c r="J140" i="3"/>
  <c r="J132" i="3"/>
  <c r="J124" i="3"/>
  <c r="J116" i="3"/>
  <c r="J274" i="3"/>
  <c r="J256" i="3"/>
  <c r="J252" i="3"/>
  <c r="J242" i="3"/>
  <c r="J220" i="3"/>
  <c r="J196" i="3"/>
  <c r="J152" i="3"/>
  <c r="J136" i="3"/>
  <c r="J120" i="3"/>
  <c r="J285" i="3"/>
  <c r="J247" i="3"/>
  <c r="J243" i="3"/>
  <c r="J239" i="3"/>
  <c r="J235" i="3"/>
  <c r="J231" i="3"/>
  <c r="J221" i="3"/>
  <c r="J215" i="3"/>
  <c r="J209" i="3"/>
  <c r="J197" i="3"/>
  <c r="J191" i="3"/>
  <c r="J187" i="3"/>
  <c r="J175" i="3"/>
  <c r="J163" i="3"/>
  <c r="J155" i="3"/>
  <c r="J147" i="3"/>
  <c r="J139" i="3"/>
  <c r="J131" i="3"/>
  <c r="J123" i="3"/>
  <c r="J115" i="3"/>
  <c r="J272" i="3"/>
  <c r="J264" i="3"/>
  <c r="J260" i="3"/>
  <c r="J254" i="3"/>
  <c r="J246" i="3"/>
  <c r="J238" i="3"/>
  <c r="J234" i="3"/>
  <c r="J230" i="3"/>
  <c r="J226" i="3"/>
  <c r="J212" i="3"/>
  <c r="J206" i="3"/>
  <c r="J200" i="3"/>
  <c r="J194" i="3"/>
  <c r="J186" i="3"/>
  <c r="J174" i="3"/>
  <c r="J162" i="3"/>
  <c r="J154" i="3"/>
  <c r="J146" i="3"/>
  <c r="J138" i="3"/>
  <c r="J130" i="3"/>
  <c r="J122" i="3"/>
  <c r="J114" i="3"/>
  <c r="J108" i="3"/>
  <c r="J184" i="3"/>
  <c r="J144" i="3"/>
  <c r="J284" i="3"/>
  <c r="J269" i="3"/>
  <c r="J257" i="3"/>
  <c r="J253" i="3"/>
  <c r="J237" i="3"/>
  <c r="J233" i="3"/>
  <c r="J229" i="3"/>
  <c r="J223" i="3"/>
  <c r="J217" i="3"/>
  <c r="J203" i="3"/>
  <c r="J193" i="3"/>
  <c r="J185" i="3"/>
  <c r="J181" i="3"/>
  <c r="J173" i="3"/>
  <c r="J161" i="3"/>
  <c r="J153" i="3"/>
  <c r="J145" i="3"/>
  <c r="J137" i="3"/>
  <c r="J129" i="3"/>
  <c r="J121" i="3"/>
  <c r="J113" i="3"/>
  <c r="J208" i="3"/>
  <c r="F284" i="3"/>
  <c r="F272" i="3"/>
  <c r="F269" i="3"/>
  <c r="F256" i="3"/>
  <c r="F252" i="3"/>
  <c r="F228" i="3"/>
  <c r="F223" i="3"/>
  <c r="F220" i="3"/>
  <c r="F208" i="3"/>
  <c r="F203" i="3"/>
  <c r="F196" i="3"/>
  <c r="F184" i="3"/>
  <c r="F180" i="3"/>
  <c r="F172" i="3"/>
  <c r="F160" i="3"/>
  <c r="F152" i="3"/>
  <c r="F144" i="3"/>
  <c r="F136" i="3"/>
  <c r="F128" i="3"/>
  <c r="F120" i="3"/>
  <c r="F112" i="3"/>
  <c r="F200" i="3"/>
  <c r="F137" i="3"/>
  <c r="F121" i="3"/>
  <c r="F280" i="3"/>
  <c r="F274" i="3"/>
  <c r="F263" i="3"/>
  <c r="F259" i="3"/>
  <c r="F251" i="3"/>
  <c r="F242" i="3"/>
  <c r="F219" i="3"/>
  <c r="F214" i="3"/>
  <c r="F211" i="3"/>
  <c r="F199" i="3"/>
  <c r="F190" i="3"/>
  <c r="F183" i="3"/>
  <c r="F179" i="3"/>
  <c r="F159" i="3"/>
  <c r="F151" i="3"/>
  <c r="F143" i="3"/>
  <c r="F135" i="3"/>
  <c r="F127" i="3"/>
  <c r="F119" i="3"/>
  <c r="F111" i="3"/>
  <c r="F161" i="3"/>
  <c r="F271" i="3"/>
  <c r="F267" i="3"/>
  <c r="F262" i="3"/>
  <c r="F250" i="3"/>
  <c r="F245" i="3"/>
  <c r="F225" i="3"/>
  <c r="F222" i="3"/>
  <c r="F210" i="3"/>
  <c r="F205" i="3"/>
  <c r="F202" i="3"/>
  <c r="F198" i="3"/>
  <c r="F178" i="3"/>
  <c r="D168" i="3"/>
  <c r="F168" i="3" s="1"/>
  <c r="F166" i="3"/>
  <c r="F158" i="3"/>
  <c r="F150" i="3"/>
  <c r="F142" i="3"/>
  <c r="F134" i="3"/>
  <c r="F126" i="3"/>
  <c r="F118" i="3"/>
  <c r="F110" i="3"/>
  <c r="F264" i="3"/>
  <c r="F253" i="3"/>
  <c r="F237" i="3"/>
  <c r="F233" i="3"/>
  <c r="F185" i="3"/>
  <c r="F181" i="3"/>
  <c r="F173" i="3"/>
  <c r="F129" i="3"/>
  <c r="F276" i="3"/>
  <c r="F265" i="3"/>
  <c r="F261" i="3"/>
  <c r="F249" i="3"/>
  <c r="F241" i="3"/>
  <c r="F236" i="3"/>
  <c r="F232" i="3"/>
  <c r="F216" i="3"/>
  <c r="F213" i="3"/>
  <c r="F201" i="3"/>
  <c r="F192" i="3"/>
  <c r="F189" i="3"/>
  <c r="F177" i="3"/>
  <c r="F165" i="3"/>
  <c r="F157" i="3"/>
  <c r="F149" i="3"/>
  <c r="F141" i="3"/>
  <c r="F133" i="3"/>
  <c r="F125" i="3"/>
  <c r="F117" i="3"/>
  <c r="F109" i="3"/>
  <c r="L12" i="3"/>
  <c r="N12" i="3" s="1"/>
  <c r="F260" i="3"/>
  <c r="F229" i="3"/>
  <c r="F212" i="3"/>
  <c r="F273" i="3"/>
  <c r="F270" i="3"/>
  <c r="F255" i="3"/>
  <c r="F248" i="3"/>
  <c r="F244" i="3"/>
  <c r="F240" i="3"/>
  <c r="F227" i="3"/>
  <c r="F224" i="3"/>
  <c r="F207" i="3"/>
  <c r="F204" i="3"/>
  <c r="F195" i="3"/>
  <c r="F188" i="3"/>
  <c r="F176" i="3"/>
  <c r="F171" i="3"/>
  <c r="F170" i="3"/>
  <c r="F164" i="3"/>
  <c r="F156" i="3"/>
  <c r="F148" i="3"/>
  <c r="F140" i="3"/>
  <c r="F132" i="3"/>
  <c r="F124" i="3"/>
  <c r="F116" i="3"/>
  <c r="F153" i="3"/>
  <c r="F113" i="3"/>
  <c r="F275" i="3"/>
  <c r="F268" i="3"/>
  <c r="F258" i="3"/>
  <c r="F247" i="3"/>
  <c r="F243" i="3"/>
  <c r="F239" i="3"/>
  <c r="F235" i="3"/>
  <c r="F231" i="3"/>
  <c r="F218" i="3"/>
  <c r="F215" i="3"/>
  <c r="F191" i="3"/>
  <c r="F187" i="3"/>
  <c r="F182" i="3"/>
  <c r="F175" i="3"/>
  <c r="F163" i="3"/>
  <c r="F155" i="3"/>
  <c r="F147" i="3"/>
  <c r="F139" i="3"/>
  <c r="F131" i="3"/>
  <c r="F123" i="3"/>
  <c r="F115" i="3"/>
  <c r="F257" i="3"/>
  <c r="F285" i="3"/>
  <c r="F254" i="3"/>
  <c r="F246" i="3"/>
  <c r="F238" i="3"/>
  <c r="F234" i="3"/>
  <c r="F230" i="3"/>
  <c r="F226" i="3"/>
  <c r="F221" i="3"/>
  <c r="F209" i="3"/>
  <c r="F206" i="3"/>
  <c r="F197" i="3"/>
  <c r="F194" i="3"/>
  <c r="F186" i="3"/>
  <c r="F174" i="3"/>
  <c r="F162" i="3"/>
  <c r="F154" i="3"/>
  <c r="F146" i="3"/>
  <c r="F138" i="3"/>
  <c r="F130" i="3"/>
  <c r="F122" i="3"/>
  <c r="F114" i="3"/>
  <c r="F217" i="3"/>
  <c r="F193" i="3"/>
  <c r="F145" i="3"/>
  <c r="F108" i="3"/>
  <c r="Z20" i="51"/>
  <c r="T87" i="51"/>
  <c r="V20" i="51"/>
  <c r="H77" i="39"/>
  <c r="N63" i="63"/>
  <c r="F80" i="60"/>
  <c r="F77" i="60"/>
  <c r="F76" i="60"/>
  <c r="F67" i="60"/>
  <c r="F81" i="60"/>
  <c r="F85" i="60"/>
  <c r="F72" i="60"/>
  <c r="F70" i="60"/>
  <c r="F59" i="60"/>
  <c r="F56" i="60"/>
  <c r="F51" i="60"/>
  <c r="F48" i="60"/>
  <c r="F43" i="60"/>
  <c r="F40" i="60"/>
  <c r="F28" i="60"/>
  <c r="F79" i="60"/>
  <c r="F78" i="60"/>
  <c r="F74" i="60"/>
  <c r="F69" i="60"/>
  <c r="F68" i="60"/>
  <c r="F62" i="60"/>
  <c r="F39" i="60"/>
  <c r="F34" i="60"/>
  <c r="F27" i="60"/>
  <c r="F89" i="60"/>
  <c r="F75" i="60"/>
  <c r="F71" i="60"/>
  <c r="F66" i="60"/>
  <c r="F58" i="60"/>
  <c r="F53" i="60"/>
  <c r="F50" i="60"/>
  <c r="F45" i="60"/>
  <c r="F42" i="60"/>
  <c r="F38" i="60"/>
  <c r="F26" i="60"/>
  <c r="F17" i="60"/>
  <c r="F65" i="60"/>
  <c r="F61" i="60"/>
  <c r="F37" i="60"/>
  <c r="F33" i="60"/>
  <c r="F25" i="60"/>
  <c r="F64" i="60"/>
  <c r="F60" i="60"/>
  <c r="F55" i="60"/>
  <c r="F52" i="60"/>
  <c r="F47" i="60"/>
  <c r="F44" i="60"/>
  <c r="F36" i="60"/>
  <c r="F32" i="60"/>
  <c r="L12" i="60"/>
  <c r="N12" i="60" s="1"/>
  <c r="F63" i="60"/>
  <c r="F35" i="60"/>
  <c r="F31" i="60"/>
  <c r="F82" i="60"/>
  <c r="F73" i="60"/>
  <c r="F57" i="60"/>
  <c r="F54" i="60"/>
  <c r="F49" i="60"/>
  <c r="F46" i="60"/>
  <c r="F41" i="60"/>
  <c r="F30" i="60"/>
  <c r="F18" i="60"/>
  <c r="F23" i="60"/>
  <c r="F29" i="60"/>
  <c r="F24" i="60"/>
  <c r="F83" i="60"/>
  <c r="F19" i="60"/>
  <c r="D21" i="60"/>
  <c r="F77" i="58"/>
  <c r="F74" i="58"/>
  <c r="F57" i="58"/>
  <c r="F54" i="58"/>
  <c r="F49" i="58"/>
  <c r="F46" i="58"/>
  <c r="F41" i="58"/>
  <c r="F30" i="58"/>
  <c r="F18" i="58"/>
  <c r="F73" i="58"/>
  <c r="F29" i="58"/>
  <c r="F24" i="58"/>
  <c r="F23" i="58"/>
  <c r="F76" i="58"/>
  <c r="F72" i="58"/>
  <c r="F59" i="58"/>
  <c r="F56" i="58"/>
  <c r="F51" i="58"/>
  <c r="F48" i="58"/>
  <c r="F43" i="58"/>
  <c r="F40" i="58"/>
  <c r="F28" i="58"/>
  <c r="F78" i="58"/>
  <c r="F70" i="58"/>
  <c r="F58" i="58"/>
  <c r="F53" i="58"/>
  <c r="F50" i="58"/>
  <c r="F45" i="58"/>
  <c r="F42" i="58"/>
  <c r="F38" i="58"/>
  <c r="F26" i="58"/>
  <c r="F17" i="58"/>
  <c r="F69" i="58"/>
  <c r="F65" i="58"/>
  <c r="F61" i="58"/>
  <c r="F75" i="58"/>
  <c r="F66" i="58"/>
  <c r="F68" i="58"/>
  <c r="F67" i="58"/>
  <c r="F55" i="58"/>
  <c r="F44" i="58"/>
  <c r="F84" i="58"/>
  <c r="F71" i="58"/>
  <c r="F62" i="58"/>
  <c r="F36" i="58"/>
  <c r="F19" i="58"/>
  <c r="F63" i="58"/>
  <c r="F47" i="58"/>
  <c r="F37" i="58"/>
  <c r="F31" i="58"/>
  <c r="F27" i="58"/>
  <c r="D21" i="58"/>
  <c r="F21" i="58" s="1"/>
  <c r="L12" i="58"/>
  <c r="F80" i="58"/>
  <c r="F64" i="58"/>
  <c r="F60" i="58"/>
  <c r="F39" i="58"/>
  <c r="F33" i="58"/>
  <c r="F25" i="58"/>
  <c r="F35" i="58"/>
  <c r="F32" i="58"/>
  <c r="F52" i="58"/>
  <c r="F34" i="58"/>
  <c r="P31" i="55"/>
  <c r="X17" i="55"/>
  <c r="P53" i="57"/>
  <c r="Z17" i="55"/>
  <c r="T31" i="55"/>
  <c r="X17" i="52"/>
  <c r="Z17" i="52" s="1"/>
  <c r="P70" i="52"/>
  <c r="P53" i="56"/>
  <c r="J32" i="50"/>
  <c r="J24" i="50"/>
  <c r="J20" i="50"/>
  <c r="J16" i="50"/>
  <c r="J44" i="50"/>
  <c r="J37" i="50"/>
  <c r="J29" i="50"/>
  <c r="J21" i="50"/>
  <c r="J26" i="50"/>
  <c r="J31" i="50"/>
  <c r="J23" i="50"/>
  <c r="J15" i="50"/>
  <c r="J28" i="50"/>
  <c r="N12" i="50"/>
  <c r="J30" i="50"/>
  <c r="J22" i="50"/>
  <c r="J18" i="50"/>
  <c r="J39" i="50"/>
  <c r="J33" i="50"/>
  <c r="J27" i="50"/>
  <c r="H18" i="50"/>
  <c r="J41" i="50"/>
  <c r="J35" i="50"/>
  <c r="J25" i="50"/>
  <c r="T20" i="44"/>
  <c r="V24" i="44"/>
  <c r="V23" i="44"/>
  <c r="V32" i="44"/>
  <c r="V26" i="44"/>
  <c r="V18" i="44"/>
  <c r="V25" i="44"/>
  <c r="V17" i="44"/>
  <c r="V22" i="44"/>
  <c r="V16" i="44"/>
  <c r="V28" i="44"/>
  <c r="T44" i="40"/>
  <c r="Z17" i="40"/>
  <c r="D82" i="47"/>
  <c r="L16" i="47"/>
  <c r="J23" i="44"/>
  <c r="J17" i="44"/>
  <c r="J25" i="44"/>
  <c r="J16" i="44"/>
  <c r="H20" i="44"/>
  <c r="J32" i="44"/>
  <c r="J28" i="44"/>
  <c r="J26" i="44"/>
  <c r="N12" i="44"/>
  <c r="J22" i="44"/>
  <c r="J24" i="44"/>
  <c r="J18" i="44"/>
  <c r="P44" i="40"/>
  <c r="X17" i="40"/>
  <c r="J109" i="43"/>
  <c r="J101" i="43"/>
  <c r="J97" i="43"/>
  <c r="J93" i="43"/>
  <c r="J85" i="43"/>
  <c r="J77" i="43"/>
  <c r="J63" i="43"/>
  <c r="J51" i="43"/>
  <c r="J43" i="43"/>
  <c r="J120" i="43"/>
  <c r="J114" i="43"/>
  <c r="J104" i="43"/>
  <c r="J90" i="43"/>
  <c r="J82" i="43"/>
  <c r="J74" i="43"/>
  <c r="J68" i="43"/>
  <c r="J62" i="43"/>
  <c r="J111" i="43"/>
  <c r="J87" i="43"/>
  <c r="J79" i="43"/>
  <c r="J73" i="43"/>
  <c r="J61" i="43"/>
  <c r="J49" i="43"/>
  <c r="J41" i="43"/>
  <c r="J108" i="43"/>
  <c r="J100" i="43"/>
  <c r="J96" i="43"/>
  <c r="J92" i="43"/>
  <c r="J84" i="43"/>
  <c r="J76" i="43"/>
  <c r="J72" i="43"/>
  <c r="J60" i="43"/>
  <c r="J56" i="43"/>
  <c r="J48" i="43"/>
  <c r="J40" i="43"/>
  <c r="J113" i="43"/>
  <c r="J107" i="43"/>
  <c r="J103" i="43"/>
  <c r="J99" i="43"/>
  <c r="J95" i="43"/>
  <c r="J89" i="43"/>
  <c r="J81" i="43"/>
  <c r="J71" i="43"/>
  <c r="J67" i="43"/>
  <c r="H56" i="43"/>
  <c r="J47" i="43"/>
  <c r="J39" i="43"/>
  <c r="J105" i="43"/>
  <c r="J91" i="43"/>
  <c r="J83" i="43"/>
  <c r="J75" i="43"/>
  <c r="J69" i="43"/>
  <c r="J65" i="43"/>
  <c r="J59" i="43"/>
  <c r="J110" i="43"/>
  <c r="J50" i="43"/>
  <c r="J46" i="43"/>
  <c r="J116" i="43"/>
  <c r="J94" i="43"/>
  <c r="J86" i="43"/>
  <c r="J78" i="43"/>
  <c r="J52" i="43"/>
  <c r="J42" i="43"/>
  <c r="J53" i="43"/>
  <c r="J98" i="43"/>
  <c r="J66" i="43"/>
  <c r="J44" i="43"/>
  <c r="J106" i="43"/>
  <c r="J64" i="43"/>
  <c r="J54" i="43"/>
  <c r="J88" i="43"/>
  <c r="J80" i="43"/>
  <c r="J70" i="43"/>
  <c r="J58" i="43"/>
  <c r="J102" i="43"/>
  <c r="J38" i="43"/>
  <c r="J112" i="43"/>
  <c r="J45" i="43"/>
  <c r="F112" i="43"/>
  <c r="F91" i="43"/>
  <c r="F88" i="43"/>
  <c r="F83" i="43"/>
  <c r="F80" i="43"/>
  <c r="F75" i="43"/>
  <c r="F64" i="43"/>
  <c r="F59" i="43"/>
  <c r="F58" i="43"/>
  <c r="F52" i="43"/>
  <c r="F44" i="43"/>
  <c r="F116" i="43"/>
  <c r="F63" i="43"/>
  <c r="F120" i="43"/>
  <c r="F114" i="43"/>
  <c r="F109" i="43"/>
  <c r="F101" i="43"/>
  <c r="F97" i="43"/>
  <c r="F93" i="43"/>
  <c r="F90" i="43"/>
  <c r="F85" i="43"/>
  <c r="F82" i="43"/>
  <c r="F77" i="43"/>
  <c r="F74" i="43"/>
  <c r="F62" i="43"/>
  <c r="F50" i="43"/>
  <c r="F42" i="43"/>
  <c r="F104" i="43"/>
  <c r="F73" i="43"/>
  <c r="F68" i="43"/>
  <c r="F61" i="43"/>
  <c r="F49" i="43"/>
  <c r="F41" i="43"/>
  <c r="F111" i="43"/>
  <c r="F108" i="43"/>
  <c r="F100" i="43"/>
  <c r="F96" i="43"/>
  <c r="F92" i="43"/>
  <c r="F87" i="43"/>
  <c r="F84" i="43"/>
  <c r="F79" i="43"/>
  <c r="F76" i="43"/>
  <c r="F72" i="43"/>
  <c r="F60" i="43"/>
  <c r="F48" i="43"/>
  <c r="F40" i="43"/>
  <c r="F113" i="43"/>
  <c r="F110" i="43"/>
  <c r="F106" i="43"/>
  <c r="F102" i="43"/>
  <c r="F98" i="43"/>
  <c r="F94" i="43"/>
  <c r="F89" i="43"/>
  <c r="F86" i="43"/>
  <c r="F81" i="43"/>
  <c r="F78" i="43"/>
  <c r="F70" i="43"/>
  <c r="F66" i="43"/>
  <c r="F107" i="43"/>
  <c r="F65" i="43"/>
  <c r="D56" i="43"/>
  <c r="F51" i="43"/>
  <c r="L12" i="43"/>
  <c r="N12" i="43" s="1"/>
  <c r="F71" i="43"/>
  <c r="F47" i="43"/>
  <c r="F46" i="43"/>
  <c r="F43" i="43"/>
  <c r="F105" i="43"/>
  <c r="F69" i="43"/>
  <c r="F95" i="43"/>
  <c r="F53" i="43"/>
  <c r="F39" i="43"/>
  <c r="F99" i="43"/>
  <c r="F67" i="43"/>
  <c r="F45" i="43"/>
  <c r="F103" i="43"/>
  <c r="F56" i="43"/>
  <c r="F54" i="43"/>
  <c r="F38" i="43"/>
  <c r="P33" i="41"/>
  <c r="D77" i="39"/>
  <c r="L23" i="39"/>
  <c r="N23" i="39" s="1"/>
  <c r="V103" i="37"/>
  <c r="V93" i="37"/>
  <c r="V89" i="37"/>
  <c r="V85" i="37"/>
  <c r="V77" i="37"/>
  <c r="V61" i="37"/>
  <c r="V49" i="37"/>
  <c r="V41" i="37"/>
  <c r="V96" i="37"/>
  <c r="V92" i="37"/>
  <c r="V88" i="37"/>
  <c r="V80" i="37"/>
  <c r="V76" i="37"/>
  <c r="V60" i="37"/>
  <c r="V48" i="37"/>
  <c r="V40" i="37"/>
  <c r="V101" i="37"/>
  <c r="V95" i="37"/>
  <c r="V91" i="37"/>
  <c r="V79" i="37"/>
  <c r="V71" i="37"/>
  <c r="V59" i="37"/>
  <c r="V55" i="37"/>
  <c r="V53" i="37"/>
  <c r="V47" i="37"/>
  <c r="V39" i="37"/>
  <c r="V87" i="37"/>
  <c r="V83" i="37"/>
  <c r="V75" i="37"/>
  <c r="V67" i="37"/>
  <c r="V63" i="37"/>
  <c r="V51" i="37"/>
  <c r="V43" i="37"/>
  <c r="V100" i="37"/>
  <c r="V94" i="37"/>
  <c r="V86" i="37"/>
  <c r="V74" i="37"/>
  <c r="V66" i="37"/>
  <c r="V62" i="37"/>
  <c r="V50" i="37"/>
  <c r="V42" i="37"/>
  <c r="V102" i="37"/>
  <c r="V56" i="37"/>
  <c r="V68" i="37"/>
  <c r="Z12" i="37"/>
  <c r="V97" i="37"/>
  <c r="V81" i="37"/>
  <c r="V69" i="37"/>
  <c r="V64" i="37"/>
  <c r="V57" i="37"/>
  <c r="T53" i="37"/>
  <c r="V44" i="37"/>
  <c r="V36" i="37"/>
  <c r="V90" i="37"/>
  <c r="V72" i="37"/>
  <c r="V70" i="37"/>
  <c r="V37" i="37"/>
  <c r="V98" i="37"/>
  <c r="V82" i="37"/>
  <c r="V78" i="37"/>
  <c r="V73" i="37"/>
  <c r="V65" i="37"/>
  <c r="V58" i="37"/>
  <c r="V45" i="37"/>
  <c r="V38" i="37"/>
  <c r="V46" i="37"/>
  <c r="V84" i="37"/>
  <c r="V107" i="37"/>
  <c r="J82" i="36"/>
  <c r="J78" i="36"/>
  <c r="J74" i="36"/>
  <c r="J73" i="36"/>
  <c r="J69" i="36"/>
  <c r="J80" i="36"/>
  <c r="J72" i="36"/>
  <c r="J66" i="36"/>
  <c r="J62" i="36"/>
  <c r="J56" i="36"/>
  <c r="J48" i="36"/>
  <c r="J44" i="36"/>
  <c r="J40" i="36"/>
  <c r="J76" i="36"/>
  <c r="J70" i="36"/>
  <c r="J64" i="36"/>
  <c r="J58" i="36"/>
  <c r="J52" i="36"/>
  <c r="J75" i="36"/>
  <c r="J67" i="36"/>
  <c r="J63" i="36"/>
  <c r="J79" i="36"/>
  <c r="J51" i="36"/>
  <c r="J50" i="36"/>
  <c r="J47" i="36"/>
  <c r="J27" i="36"/>
  <c r="J41" i="36"/>
  <c r="J39" i="36"/>
  <c r="J38" i="36"/>
  <c r="J37" i="36"/>
  <c r="J36" i="36"/>
  <c r="J87" i="36"/>
  <c r="J35" i="36"/>
  <c r="J83" i="36"/>
  <c r="J55" i="36"/>
  <c r="J54" i="36"/>
  <c r="J49" i="36"/>
  <c r="J46" i="36"/>
  <c r="J34" i="36"/>
  <c r="J71" i="36"/>
  <c r="J68" i="36"/>
  <c r="J61" i="36"/>
  <c r="J59" i="36"/>
  <c r="J57" i="36"/>
  <c r="J77" i="36"/>
  <c r="J60" i="36"/>
  <c r="J45" i="36"/>
  <c r="J28" i="36"/>
  <c r="J33" i="36"/>
  <c r="J53" i="36"/>
  <c r="J42" i="36"/>
  <c r="J32" i="36"/>
  <c r="J43" i="36"/>
  <c r="H30" i="36"/>
  <c r="J65" i="36"/>
  <c r="L144" i="35"/>
  <c r="N144" i="35" s="1"/>
  <c r="R141" i="35"/>
  <c r="R136" i="35"/>
  <c r="R124" i="35"/>
  <c r="R117" i="35"/>
  <c r="R105" i="35"/>
  <c r="R92" i="35"/>
  <c r="R80" i="35"/>
  <c r="R72" i="35"/>
  <c r="R64" i="35"/>
  <c r="R57" i="35"/>
  <c r="R146" i="35"/>
  <c r="R135" i="35"/>
  <c r="R127" i="35"/>
  <c r="R123" i="35"/>
  <c r="R120" i="35"/>
  <c r="R111" i="35"/>
  <c r="R108" i="35"/>
  <c r="R96" i="35"/>
  <c r="R91" i="35"/>
  <c r="R79" i="35"/>
  <c r="R71" i="35"/>
  <c r="R63" i="35"/>
  <c r="R138" i="35"/>
  <c r="R134" i="35"/>
  <c r="R130" i="35"/>
  <c r="R126" i="35"/>
  <c r="R114" i="35"/>
  <c r="R102" i="35"/>
  <c r="R90" i="35"/>
  <c r="R78" i="35"/>
  <c r="R70" i="35"/>
  <c r="R62" i="35"/>
  <c r="R144" i="35"/>
  <c r="R133" i="35"/>
  <c r="R129" i="35"/>
  <c r="R122" i="35"/>
  <c r="R113" i="35"/>
  <c r="R110" i="35"/>
  <c r="R101" i="35"/>
  <c r="R89" i="35"/>
  <c r="R84" i="35"/>
  <c r="R77" i="35"/>
  <c r="R69" i="35"/>
  <c r="R61" i="35"/>
  <c r="R147" i="35"/>
  <c r="R140" i="35"/>
  <c r="R137" i="35"/>
  <c r="R132" i="35"/>
  <c r="R125" i="35"/>
  <c r="R116" i="35"/>
  <c r="R104" i="35"/>
  <c r="R100" i="35"/>
  <c r="R88" i="35"/>
  <c r="R86" i="35"/>
  <c r="P84" i="35"/>
  <c r="R76" i="35"/>
  <c r="R68" i="35"/>
  <c r="R60" i="35"/>
  <c r="R94" i="35"/>
  <c r="R87" i="35"/>
  <c r="R58" i="35"/>
  <c r="R142" i="35"/>
  <c r="R81" i="35"/>
  <c r="R73" i="35"/>
  <c r="R66" i="35"/>
  <c r="R59" i="35"/>
  <c r="X12" i="35"/>
  <c r="R95" i="35"/>
  <c r="R151" i="35"/>
  <c r="R128" i="35"/>
  <c r="R112" i="35"/>
  <c r="R97" i="35"/>
  <c r="R82" i="35"/>
  <c r="R74" i="35"/>
  <c r="R67" i="35"/>
  <c r="R121" i="35"/>
  <c r="R119" i="35"/>
  <c r="R109" i="35"/>
  <c r="R107" i="35"/>
  <c r="R98" i="35"/>
  <c r="R145" i="35"/>
  <c r="R93" i="35"/>
  <c r="R65" i="35"/>
  <c r="R99" i="35"/>
  <c r="R75" i="35"/>
  <c r="R139" i="35"/>
  <c r="R131" i="35"/>
  <c r="R106" i="35"/>
  <c r="R115" i="35"/>
  <c r="R118" i="35"/>
  <c r="R103" i="35"/>
  <c r="J42" i="33"/>
  <c r="J34" i="33"/>
  <c r="J30" i="33"/>
  <c r="J24" i="33"/>
  <c r="J39" i="33"/>
  <c r="J29" i="33"/>
  <c r="J54" i="33"/>
  <c r="J48" i="33"/>
  <c r="J44" i="33"/>
  <c r="J36" i="33"/>
  <c r="J28" i="33"/>
  <c r="J18" i="33"/>
  <c r="J41" i="33"/>
  <c r="J33" i="33"/>
  <c r="J27" i="33"/>
  <c r="J43" i="33"/>
  <c r="J35" i="33"/>
  <c r="J25" i="33"/>
  <c r="J21" i="33"/>
  <c r="J57" i="33"/>
  <c r="J50" i="33"/>
  <c r="J40" i="33"/>
  <c r="J32" i="33"/>
  <c r="H21" i="33"/>
  <c r="N12" i="33"/>
  <c r="J52" i="33"/>
  <c r="J38" i="33"/>
  <c r="J31" i="33"/>
  <c r="J19" i="33"/>
  <c r="J45" i="33"/>
  <c r="J26" i="33"/>
  <c r="J23" i="33"/>
  <c r="J37" i="33"/>
  <c r="J46" i="33"/>
  <c r="F144" i="35"/>
  <c r="V105" i="32"/>
  <c r="V101" i="32"/>
  <c r="V97" i="32"/>
  <c r="V85" i="32"/>
  <c r="V73" i="32"/>
  <c r="V69" i="32"/>
  <c r="V57" i="32"/>
  <c r="V114" i="32"/>
  <c r="V108" i="32"/>
  <c r="V104" i="32"/>
  <c r="V100" i="32"/>
  <c r="V96" i="32"/>
  <c r="V88" i="32"/>
  <c r="V72" i="32"/>
  <c r="V68" i="32"/>
  <c r="V56" i="32"/>
  <c r="V48" i="32"/>
  <c r="V40" i="32"/>
  <c r="V117" i="32"/>
  <c r="V107" i="32"/>
  <c r="V103" i="32"/>
  <c r="V91" i="32"/>
  <c r="V87" i="32"/>
  <c r="V79" i="32"/>
  <c r="V67" i="32"/>
  <c r="V55" i="32"/>
  <c r="V47" i="32"/>
  <c r="V110" i="32"/>
  <c r="V106" i="32"/>
  <c r="V90" i="32"/>
  <c r="V78" i="32"/>
  <c r="V66" i="32"/>
  <c r="V54" i="32"/>
  <c r="V46" i="32"/>
  <c r="V112" i="32"/>
  <c r="V92" i="32"/>
  <c r="V84" i="32"/>
  <c r="V80" i="32"/>
  <c r="V76" i="32"/>
  <c r="V64" i="32"/>
  <c r="T59" i="32"/>
  <c r="V52" i="32"/>
  <c r="V44" i="32"/>
  <c r="V121" i="32"/>
  <c r="V111" i="32"/>
  <c r="V99" i="32"/>
  <c r="V95" i="32"/>
  <c r="V83" i="32"/>
  <c r="V75" i="32"/>
  <c r="V71" i="32"/>
  <c r="V63" i="32"/>
  <c r="V51" i="32"/>
  <c r="V43" i="32"/>
  <c r="V62" i="32"/>
  <c r="V61" i="32"/>
  <c r="V59" i="32"/>
  <c r="V41" i="32"/>
  <c r="V45" i="32"/>
  <c r="V42" i="32"/>
  <c r="Z12" i="32"/>
  <c r="V89" i="32"/>
  <c r="V109" i="32"/>
  <c r="V94" i="32"/>
  <c r="V70" i="32"/>
  <c r="V65" i="32"/>
  <c r="V49" i="32"/>
  <c r="V102" i="32"/>
  <c r="V98" i="32"/>
  <c r="V93" i="32"/>
  <c r="V82" i="32"/>
  <c r="V74" i="32"/>
  <c r="V53" i="32"/>
  <c r="V116" i="32"/>
  <c r="V81" i="32"/>
  <c r="V115" i="32"/>
  <c r="V50" i="32"/>
  <c r="V86" i="32"/>
  <c r="V77" i="32"/>
  <c r="H46" i="27"/>
  <c r="N16" i="27"/>
  <c r="H64" i="23"/>
  <c r="N16" i="23"/>
  <c r="P38" i="29"/>
  <c r="X16" i="29"/>
  <c r="T51" i="26"/>
  <c r="Z16" i="23"/>
  <c r="T64" i="23"/>
  <c r="T35" i="21"/>
  <c r="H31" i="20"/>
  <c r="N26" i="20"/>
  <c r="Z103" i="16"/>
  <c r="N100" i="19"/>
  <c r="T119" i="15"/>
  <c r="Z33" i="15"/>
  <c r="R175" i="13"/>
  <c r="R168" i="13"/>
  <c r="R165" i="13"/>
  <c r="R153" i="13"/>
  <c r="R145" i="13"/>
  <c r="R141" i="13"/>
  <c r="R136" i="13"/>
  <c r="R124" i="13"/>
  <c r="R112" i="13"/>
  <c r="R100" i="13"/>
  <c r="R88" i="13"/>
  <c r="R80" i="13"/>
  <c r="R156" i="13"/>
  <c r="R148" i="13"/>
  <c r="R135" i="13"/>
  <c r="R132" i="13"/>
  <c r="R120" i="13"/>
  <c r="R115" i="13"/>
  <c r="R111" i="13"/>
  <c r="R99" i="13"/>
  <c r="R97" i="13"/>
  <c r="P95" i="13"/>
  <c r="R87" i="13"/>
  <c r="R79" i="13"/>
  <c r="R173" i="13"/>
  <c r="R170" i="13"/>
  <c r="R167" i="13"/>
  <c r="R162" i="13"/>
  <c r="R138" i="13"/>
  <c r="R126" i="13"/>
  <c r="R123" i="13"/>
  <c r="R110" i="13"/>
  <c r="R106" i="13"/>
  <c r="R179" i="13"/>
  <c r="R161" i="13"/>
  <c r="R134" i="13"/>
  <c r="R129" i="13"/>
  <c r="R117" i="13"/>
  <c r="R114" i="13"/>
  <c r="R109" i="13"/>
  <c r="R105" i="13"/>
  <c r="R98" i="13"/>
  <c r="R93" i="13"/>
  <c r="R169" i="13"/>
  <c r="R164" i="13"/>
  <c r="R160" i="13"/>
  <c r="R152" i="13"/>
  <c r="R144" i="13"/>
  <c r="R140" i="13"/>
  <c r="R137" i="13"/>
  <c r="R128" i="13"/>
  <c r="R125" i="13"/>
  <c r="R108" i="13"/>
  <c r="R104" i="13"/>
  <c r="R92" i="13"/>
  <c r="R84" i="13"/>
  <c r="R76" i="13"/>
  <c r="R174" i="13"/>
  <c r="R159" i="13"/>
  <c r="R155" i="13"/>
  <c r="R151" i="13"/>
  <c r="R147" i="13"/>
  <c r="R143" i="13"/>
  <c r="R131" i="13"/>
  <c r="R119" i="13"/>
  <c r="R116" i="13"/>
  <c r="R103" i="13"/>
  <c r="R91" i="13"/>
  <c r="R83" i="13"/>
  <c r="R166" i="13"/>
  <c r="R163" i="13"/>
  <c r="R158" i="13"/>
  <c r="R154" i="13"/>
  <c r="R150" i="13"/>
  <c r="R146" i="13"/>
  <c r="R142" i="13"/>
  <c r="R139" i="13"/>
  <c r="R127" i="13"/>
  <c r="R122" i="13"/>
  <c r="R107" i="13"/>
  <c r="R102" i="13"/>
  <c r="R90" i="13"/>
  <c r="R82" i="13"/>
  <c r="R172" i="13"/>
  <c r="R157" i="13"/>
  <c r="R149" i="13"/>
  <c r="R85" i="13"/>
  <c r="R68" i="13"/>
  <c r="R60" i="13"/>
  <c r="X12" i="13"/>
  <c r="Z12" i="13" s="1"/>
  <c r="R86" i="13"/>
  <c r="R67" i="13"/>
  <c r="R66" i="13"/>
  <c r="R59" i="13"/>
  <c r="R130" i="13"/>
  <c r="R113" i="13"/>
  <c r="R89" i="13"/>
  <c r="R75" i="13"/>
  <c r="R74" i="13"/>
  <c r="R73" i="13"/>
  <c r="R65" i="13"/>
  <c r="R101" i="13"/>
  <c r="R71" i="13"/>
  <c r="R63" i="13"/>
  <c r="R121" i="13"/>
  <c r="R81" i="13"/>
  <c r="R77" i="13"/>
  <c r="R70" i="13"/>
  <c r="R62" i="13"/>
  <c r="R72" i="13"/>
  <c r="R78" i="13"/>
  <c r="R133" i="13"/>
  <c r="R61" i="13"/>
  <c r="R69" i="13"/>
  <c r="R64" i="13"/>
  <c r="R118" i="13"/>
  <c r="F149" i="11"/>
  <c r="F145" i="11"/>
  <c r="F141" i="11"/>
  <c r="F137" i="11"/>
  <c r="F133" i="11"/>
  <c r="F128" i="11"/>
  <c r="F116" i="11"/>
  <c r="F113" i="11"/>
  <c r="F93" i="11"/>
  <c r="F81" i="11"/>
  <c r="F73" i="11"/>
  <c r="F65" i="11"/>
  <c r="F159" i="11"/>
  <c r="F156" i="11"/>
  <c r="F148" i="11"/>
  <c r="F144" i="11"/>
  <c r="F140" i="11"/>
  <c r="F124" i="11"/>
  <c r="F112" i="11"/>
  <c r="F107" i="11"/>
  <c r="F104" i="11"/>
  <c r="F92" i="11"/>
  <c r="F80" i="11"/>
  <c r="F72" i="11"/>
  <c r="F64" i="11"/>
  <c r="F164" i="11"/>
  <c r="F147" i="11"/>
  <c r="F130" i="11"/>
  <c r="F127" i="11"/>
  <c r="F118" i="11"/>
  <c r="F115" i="11"/>
  <c r="F103" i="11"/>
  <c r="F98" i="11"/>
  <c r="F91" i="11"/>
  <c r="F79" i="11"/>
  <c r="F71" i="11"/>
  <c r="F63" i="11"/>
  <c r="F158" i="11"/>
  <c r="F153" i="11"/>
  <c r="F126" i="11"/>
  <c r="F121" i="11"/>
  <c r="F109" i="11"/>
  <c r="F106" i="11"/>
  <c r="F102" i="11"/>
  <c r="F90" i="11"/>
  <c r="F78" i="11"/>
  <c r="F70" i="11"/>
  <c r="F62" i="11"/>
  <c r="F57" i="11"/>
  <c r="F165" i="11"/>
  <c r="F160" i="11"/>
  <c r="F155" i="11"/>
  <c r="F152" i="11"/>
  <c r="F143" i="11"/>
  <c r="F139" i="11"/>
  <c r="F123" i="11"/>
  <c r="F120" i="11"/>
  <c r="F111" i="11"/>
  <c r="F108" i="11"/>
  <c r="F100" i="11"/>
  <c r="F96" i="11"/>
  <c r="D86" i="11"/>
  <c r="F84" i="11"/>
  <c r="F76" i="11"/>
  <c r="F68" i="11"/>
  <c r="F60" i="11"/>
  <c r="L12" i="11"/>
  <c r="N12" i="11" s="1"/>
  <c r="F169" i="11"/>
  <c r="F151" i="11"/>
  <c r="F146" i="11"/>
  <c r="F135" i="11"/>
  <c r="F131" i="11"/>
  <c r="F119" i="11"/>
  <c r="F114" i="11"/>
  <c r="F99" i="11"/>
  <c r="F95" i="11"/>
  <c r="F83" i="11"/>
  <c r="F75" i="11"/>
  <c r="F67" i="11"/>
  <c r="F59" i="11"/>
  <c r="F142" i="11"/>
  <c r="F138" i="11"/>
  <c r="F97" i="11"/>
  <c r="F89" i="11"/>
  <c r="F69" i="11"/>
  <c r="F162" i="11"/>
  <c r="F150" i="11"/>
  <c r="F134" i="11"/>
  <c r="F157" i="11"/>
  <c r="F129" i="11"/>
  <c r="F117" i="11"/>
  <c r="F101" i="11"/>
  <c r="F125" i="11"/>
  <c r="F163" i="11"/>
  <c r="F122" i="11"/>
  <c r="F88" i="11"/>
  <c r="F105" i="11"/>
  <c r="F61" i="11"/>
  <c r="F136" i="11"/>
  <c r="F132" i="11"/>
  <c r="F110" i="11"/>
  <c r="F77" i="11"/>
  <c r="F74" i="11"/>
  <c r="F58" i="11"/>
  <c r="F94" i="11"/>
  <c r="F154" i="11"/>
  <c r="F82" i="11"/>
  <c r="F66" i="11"/>
  <c r="Z84" i="12"/>
  <c r="J249" i="8"/>
  <c r="J239" i="8"/>
  <c r="J229" i="8"/>
  <c r="J221" i="8"/>
  <c r="J217" i="8"/>
  <c r="J213" i="8"/>
  <c r="J207" i="8"/>
  <c r="J201" i="8"/>
  <c r="J195" i="8"/>
  <c r="J189" i="8"/>
  <c r="J183" i="8"/>
  <c r="J177" i="8"/>
  <c r="J165" i="8"/>
  <c r="J159" i="8"/>
  <c r="J153" i="8"/>
  <c r="J145" i="8"/>
  <c r="J137" i="8"/>
  <c r="J129" i="8"/>
  <c r="J121" i="8"/>
  <c r="J113" i="8"/>
  <c r="J105" i="8"/>
  <c r="J252" i="8"/>
  <c r="J212" i="8"/>
  <c r="J192" i="8"/>
  <c r="J176" i="8"/>
  <c r="J170" i="8"/>
  <c r="J164" i="8"/>
  <c r="J152" i="8"/>
  <c r="J144" i="8"/>
  <c r="J136" i="8"/>
  <c r="J128" i="8"/>
  <c r="J120" i="8"/>
  <c r="J112" i="8"/>
  <c r="J104" i="8"/>
  <c r="J98" i="8"/>
  <c r="J255" i="8"/>
  <c r="J245" i="8"/>
  <c r="J241" i="8"/>
  <c r="J235" i="8"/>
  <c r="J225" i="8"/>
  <c r="J209" i="8"/>
  <c r="J203" i="8"/>
  <c r="J197" i="8"/>
  <c r="J185" i="8"/>
  <c r="J179" i="8"/>
  <c r="J175" i="8"/>
  <c r="J163" i="8"/>
  <c r="J151" i="8"/>
  <c r="J143" i="8"/>
  <c r="J135" i="8"/>
  <c r="J127" i="8"/>
  <c r="J119" i="8"/>
  <c r="J111" i="8"/>
  <c r="J103" i="8"/>
  <c r="J250" i="8"/>
  <c r="J238" i="8"/>
  <c r="J234" i="8"/>
  <c r="J228" i="8"/>
  <c r="J220" i="8"/>
  <c r="J216" i="8"/>
  <c r="J206" i="8"/>
  <c r="J200" i="8"/>
  <c r="J194" i="8"/>
  <c r="J188" i="8"/>
  <c r="J182" i="8"/>
  <c r="J174" i="8"/>
  <c r="J162" i="8"/>
  <c r="J150" i="8"/>
  <c r="J142" i="8"/>
  <c r="J134" i="8"/>
  <c r="J126" i="8"/>
  <c r="J118" i="8"/>
  <c r="J110" i="8"/>
  <c r="J102" i="8"/>
  <c r="J259" i="8"/>
  <c r="J253" i="8"/>
  <c r="J237" i="8"/>
  <c r="J233" i="8"/>
  <c r="J211" i="8"/>
  <c r="J205" i="8"/>
  <c r="J191" i="8"/>
  <c r="J181" i="8"/>
  <c r="J173" i="8"/>
  <c r="J169" i="8"/>
  <c r="J161" i="8"/>
  <c r="J149" i="8"/>
  <c r="J141" i="8"/>
  <c r="J133" i="8"/>
  <c r="J125" i="8"/>
  <c r="J117" i="8"/>
  <c r="J109" i="8"/>
  <c r="J101" i="8"/>
  <c r="J251" i="8"/>
  <c r="J243" i="8"/>
  <c r="J231" i="8"/>
  <c r="J227" i="8"/>
  <c r="J223" i="8"/>
  <c r="J219" i="8"/>
  <c r="J215" i="8"/>
  <c r="J199" i="8"/>
  <c r="J193" i="8"/>
  <c r="J187" i="8"/>
  <c r="J171" i="8"/>
  <c r="J167" i="8"/>
  <c r="H156" i="8"/>
  <c r="J147" i="8"/>
  <c r="J139" i="8"/>
  <c r="J131" i="8"/>
  <c r="J123" i="8"/>
  <c r="J115" i="8"/>
  <c r="J107" i="8"/>
  <c r="J99" i="8"/>
  <c r="J254" i="8"/>
  <c r="J246" i="8"/>
  <c r="J242" i="8"/>
  <c r="J236" i="8"/>
  <c r="J230" i="8"/>
  <c r="J226" i="8"/>
  <c r="J222" i="8"/>
  <c r="J218" i="8"/>
  <c r="J214" i="8"/>
  <c r="J210" i="8"/>
  <c r="J204" i="8"/>
  <c r="J198" i="8"/>
  <c r="J190" i="8"/>
  <c r="J186" i="8"/>
  <c r="J180" i="8"/>
  <c r="J166" i="8"/>
  <c r="J158" i="8"/>
  <c r="J154" i="8"/>
  <c r="J146" i="8"/>
  <c r="J138" i="8"/>
  <c r="J130" i="8"/>
  <c r="J122" i="8"/>
  <c r="J114" i="8"/>
  <c r="J106" i="8"/>
  <c r="J248" i="8"/>
  <c r="J168" i="8"/>
  <c r="J156" i="8"/>
  <c r="J140" i="8"/>
  <c r="J240" i="8"/>
  <c r="J178" i="8"/>
  <c r="J172" i="8"/>
  <c r="J124" i="8"/>
  <c r="J108" i="8"/>
  <c r="J232" i="8"/>
  <c r="J148" i="8"/>
  <c r="J208" i="8"/>
  <c r="J202" i="8"/>
  <c r="J184" i="8"/>
  <c r="J224" i="8"/>
  <c r="J132" i="8"/>
  <c r="J116" i="8"/>
  <c r="J100" i="8"/>
  <c r="J160" i="8"/>
  <c r="J196" i="8"/>
  <c r="J244" i="8"/>
  <c r="V231" i="7"/>
  <c r="V213" i="7"/>
  <c r="V189" i="7"/>
  <c r="V181" i="7"/>
  <c r="V169" i="7"/>
  <c r="V157" i="7"/>
  <c r="V153" i="7"/>
  <c r="V141" i="7"/>
  <c r="V129" i="7"/>
  <c r="V121" i="7"/>
  <c r="V113" i="7"/>
  <c r="V105" i="7"/>
  <c r="V97" i="7"/>
  <c r="V89" i="7"/>
  <c r="V226" i="7"/>
  <c r="V216" i="7"/>
  <c r="V212" i="7"/>
  <c r="V184" i="7"/>
  <c r="V180" i="7"/>
  <c r="V172" i="7"/>
  <c r="V160" i="7"/>
  <c r="V156" i="7"/>
  <c r="V152" i="7"/>
  <c r="V140" i="7"/>
  <c r="V229" i="7"/>
  <c r="V215" i="7"/>
  <c r="V211" i="7"/>
  <c r="V183" i="7"/>
  <c r="V171" i="7"/>
  <c r="V159" i="7"/>
  <c r="V151" i="7"/>
  <c r="V147" i="7"/>
  <c r="V139" i="7"/>
  <c r="V222" i="7"/>
  <c r="V218" i="7"/>
  <c r="V214" i="7"/>
  <c r="V210" i="7"/>
  <c r="V202" i="7"/>
  <c r="V186" i="7"/>
  <c r="V182" i="7"/>
  <c r="V174" i="7"/>
  <c r="V162" i="7"/>
  <c r="V158" i="7"/>
  <c r="V150" i="7"/>
  <c r="V146" i="7"/>
  <c r="V138" i="7"/>
  <c r="V126" i="7"/>
  <c r="V118" i="7"/>
  <c r="V110" i="7"/>
  <c r="V102" i="7"/>
  <c r="V94" i="7"/>
  <c r="V235" i="7"/>
  <c r="V227" i="7"/>
  <c r="V221" i="7"/>
  <c r="V217" i="7"/>
  <c r="V209" i="7"/>
  <c r="V205" i="7"/>
  <c r="V201" i="7"/>
  <c r="V197" i="7"/>
  <c r="V193" i="7"/>
  <c r="V185" i="7"/>
  <c r="V177" i="7"/>
  <c r="V173" i="7"/>
  <c r="V165" i="7"/>
  <c r="V161" i="7"/>
  <c r="V149" i="7"/>
  <c r="V145" i="7"/>
  <c r="V137" i="7"/>
  <c r="V125" i="7"/>
  <c r="V117" i="7"/>
  <c r="V109" i="7"/>
  <c r="V101" i="7"/>
  <c r="V93" i="7"/>
  <c r="V85" i="7"/>
  <c r="V223" i="7"/>
  <c r="V219" i="7"/>
  <c r="V207" i="7"/>
  <c r="V203" i="7"/>
  <c r="V199" i="7"/>
  <c r="V195" i="7"/>
  <c r="V191" i="7"/>
  <c r="V187" i="7"/>
  <c r="V179" i="7"/>
  <c r="V175" i="7"/>
  <c r="V167" i="7"/>
  <c r="V163" i="7"/>
  <c r="V155" i="7"/>
  <c r="V143" i="7"/>
  <c r="V131" i="7"/>
  <c r="V123" i="7"/>
  <c r="V115" i="7"/>
  <c r="V107" i="7"/>
  <c r="V99" i="7"/>
  <c r="V91" i="7"/>
  <c r="V228" i="7"/>
  <c r="V206" i="7"/>
  <c r="V198" i="7"/>
  <c r="V194" i="7"/>
  <c r="V190" i="7"/>
  <c r="V178" i="7"/>
  <c r="V124" i="7"/>
  <c r="V108" i="7"/>
  <c r="V103" i="7"/>
  <c r="V230" i="7"/>
  <c r="V200" i="7"/>
  <c r="V154" i="7"/>
  <c r="V104" i="7"/>
  <c r="V90" i="7"/>
  <c r="V188" i="7"/>
  <c r="V144" i="7"/>
  <c r="V114" i="7"/>
  <c r="V100" i="7"/>
  <c r="V95" i="7"/>
  <c r="V204" i="7"/>
  <c r="V168" i="7"/>
  <c r="V130" i="7"/>
  <c r="V119" i="7"/>
  <c r="V96" i="7"/>
  <c r="V192" i="7"/>
  <c r="V176" i="7"/>
  <c r="V120" i="7"/>
  <c r="V92" i="7"/>
  <c r="V84" i="7"/>
  <c r="V83" i="7"/>
  <c r="V220" i="7"/>
  <c r="V208" i="7"/>
  <c r="V116" i="7"/>
  <c r="V106" i="7"/>
  <c r="V196" i="7"/>
  <c r="V170" i="7"/>
  <c r="V166" i="7"/>
  <c r="V164" i="7"/>
  <c r="V142" i="7"/>
  <c r="V136" i="7"/>
  <c r="V132" i="7"/>
  <c r="V127" i="7"/>
  <c r="V111" i="7"/>
  <c r="V88" i="7"/>
  <c r="V87" i="7"/>
  <c r="V86" i="7"/>
  <c r="V128" i="7"/>
  <c r="V112" i="7"/>
  <c r="T134" i="7"/>
  <c r="V122" i="7"/>
  <c r="V148" i="7"/>
  <c r="V224" i="7"/>
  <c r="V98" i="7"/>
  <c r="H22" i="4"/>
  <c r="N16" i="4"/>
  <c r="R59" i="63"/>
  <c r="R48" i="63"/>
  <c r="R43" i="63"/>
  <c r="R31" i="63"/>
  <c r="R27" i="63"/>
  <c r="R20" i="63"/>
  <c r="R55" i="63"/>
  <c r="R42" i="63"/>
  <c r="R39" i="63"/>
  <c r="R26" i="63"/>
  <c r="R15" i="63"/>
  <c r="R64" i="63"/>
  <c r="R61" i="63"/>
  <c r="R58" i="63"/>
  <c r="R45" i="63"/>
  <c r="R30" i="63"/>
  <c r="R25" i="63"/>
  <c r="R52" i="63"/>
  <c r="R41" i="63"/>
  <c r="R36" i="63"/>
  <c r="R24" i="63"/>
  <c r="X12" i="63"/>
  <c r="Z12" i="63" s="1"/>
  <c r="R60" i="63"/>
  <c r="R51" i="63"/>
  <c r="R47" i="63"/>
  <c r="R44" i="63"/>
  <c r="R35" i="63"/>
  <c r="R23" i="63"/>
  <c r="R68" i="63"/>
  <c r="R54" i="63"/>
  <c r="R50" i="63"/>
  <c r="R38" i="63"/>
  <c r="R34" i="63"/>
  <c r="R22" i="63"/>
  <c r="R17" i="63"/>
  <c r="R57" i="63"/>
  <c r="R49" i="63"/>
  <c r="R46" i="63"/>
  <c r="R33" i="63"/>
  <c r="R29" i="63"/>
  <c r="R21" i="63"/>
  <c r="R19" i="63"/>
  <c r="P17" i="63"/>
  <c r="R63" i="63"/>
  <c r="R53" i="63"/>
  <c r="R40" i="63"/>
  <c r="R37" i="63"/>
  <c r="R56" i="63"/>
  <c r="R32" i="63"/>
  <c r="R28" i="63"/>
  <c r="T82" i="58"/>
  <c r="L50" i="30"/>
  <c r="D99" i="30"/>
  <c r="P51" i="26"/>
  <c r="X47" i="26"/>
  <c r="Z47" i="26" s="1"/>
  <c r="F60" i="18"/>
  <c r="F57" i="18"/>
  <c r="F49" i="18"/>
  <c r="F44" i="18"/>
  <c r="F33" i="18"/>
  <c r="F29" i="18"/>
  <c r="F21" i="18"/>
  <c r="F56" i="18"/>
  <c r="F40" i="18"/>
  <c r="F32" i="18"/>
  <c r="F28" i="18"/>
  <c r="F59" i="18"/>
  <c r="F46" i="18"/>
  <c r="F43" i="18"/>
  <c r="F31" i="18"/>
  <c r="F27" i="18"/>
  <c r="D17" i="18"/>
  <c r="F63" i="18"/>
  <c r="F53" i="18"/>
  <c r="F42" i="18"/>
  <c r="F37" i="18"/>
  <c r="F26" i="18"/>
  <c r="F61" i="18"/>
  <c r="F48" i="18"/>
  <c r="F45" i="18"/>
  <c r="F25" i="18"/>
  <c r="F20" i="18"/>
  <c r="F19" i="18"/>
  <c r="F55" i="18"/>
  <c r="F52" i="18"/>
  <c r="F39" i="18"/>
  <c r="F36" i="18"/>
  <c r="F24" i="18"/>
  <c r="F15" i="18"/>
  <c r="L12" i="18"/>
  <c r="N12" i="18" s="1"/>
  <c r="F64" i="18"/>
  <c r="F58" i="18"/>
  <c r="F51" i="18"/>
  <c r="F47" i="18"/>
  <c r="F35" i="18"/>
  <c r="F30" i="18"/>
  <c r="F23" i="18"/>
  <c r="F50" i="18"/>
  <c r="F41" i="18"/>
  <c r="F38" i="18"/>
  <c r="F54" i="18"/>
  <c r="F22" i="18"/>
  <c r="F34" i="18"/>
  <c r="F68" i="18"/>
  <c r="H27" i="64"/>
  <c r="N18" i="64"/>
  <c r="J68" i="63"/>
  <c r="J60" i="63"/>
  <c r="J54" i="63"/>
  <c r="J50" i="63"/>
  <c r="J44" i="63"/>
  <c r="J38" i="63"/>
  <c r="J34" i="63"/>
  <c r="J22" i="63"/>
  <c r="J57" i="63"/>
  <c r="J49" i="63"/>
  <c r="J33" i="63"/>
  <c r="J29" i="63"/>
  <c r="J21" i="63"/>
  <c r="J56" i="63"/>
  <c r="J46" i="63"/>
  <c r="J40" i="63"/>
  <c r="J32" i="63"/>
  <c r="J28" i="63"/>
  <c r="H17" i="63"/>
  <c r="J63" i="63"/>
  <c r="J59" i="63"/>
  <c r="J53" i="63"/>
  <c r="J43" i="63"/>
  <c r="J37" i="63"/>
  <c r="J31" i="63"/>
  <c r="J27" i="63"/>
  <c r="J19" i="63"/>
  <c r="J48" i="63"/>
  <c r="J42" i="63"/>
  <c r="J26" i="63"/>
  <c r="J20" i="63"/>
  <c r="J61" i="63"/>
  <c r="J55" i="63"/>
  <c r="J45" i="63"/>
  <c r="J39" i="63"/>
  <c r="J25" i="63"/>
  <c r="J15" i="63"/>
  <c r="J64" i="63"/>
  <c r="J58" i="63"/>
  <c r="J52" i="63"/>
  <c r="J36" i="63"/>
  <c r="J30" i="63"/>
  <c r="J24" i="63"/>
  <c r="N12" i="63"/>
  <c r="J35" i="63"/>
  <c r="J41" i="63"/>
  <c r="J51" i="63"/>
  <c r="L12" i="63"/>
  <c r="J23" i="63"/>
  <c r="J47" i="63"/>
  <c r="H28" i="62"/>
  <c r="P91" i="60"/>
  <c r="X87" i="60"/>
  <c r="H49" i="57"/>
  <c r="N16" i="57"/>
  <c r="D35" i="55"/>
  <c r="L31" i="55"/>
  <c r="R49" i="56"/>
  <c r="P37" i="50"/>
  <c r="X18" i="50"/>
  <c r="D70" i="52"/>
  <c r="H87" i="51"/>
  <c r="F86" i="45"/>
  <c r="F72" i="45"/>
  <c r="F43" i="45"/>
  <c r="F40" i="45"/>
  <c r="F28" i="45"/>
  <c r="F23" i="45"/>
  <c r="F22" i="45"/>
  <c r="F78" i="45"/>
  <c r="F75" i="45"/>
  <c r="F71" i="45"/>
  <c r="F62" i="45"/>
  <c r="F54" i="45"/>
  <c r="F51" i="45"/>
  <c r="F46" i="45"/>
  <c r="F27" i="45"/>
  <c r="F70" i="45"/>
  <c r="F57" i="45"/>
  <c r="F42" i="45"/>
  <c r="F37" i="45"/>
  <c r="F26" i="45"/>
  <c r="F77" i="45"/>
  <c r="F69" i="45"/>
  <c r="F64" i="45"/>
  <c r="F61" i="45"/>
  <c r="F53" i="45"/>
  <c r="F48" i="45"/>
  <c r="F45" i="45"/>
  <c r="F32" i="45"/>
  <c r="F25" i="45"/>
  <c r="F16" i="45"/>
  <c r="F81" i="45"/>
  <c r="F68" i="45"/>
  <c r="F60" i="45"/>
  <c r="F56" i="45"/>
  <c r="F44" i="45"/>
  <c r="F39" i="45"/>
  <c r="F36" i="45"/>
  <c r="F24" i="45"/>
  <c r="L12" i="45"/>
  <c r="F66" i="45"/>
  <c r="F58" i="45"/>
  <c r="F41" i="45"/>
  <c r="F38" i="45"/>
  <c r="F34" i="45"/>
  <c r="F30" i="45"/>
  <c r="D20" i="45"/>
  <c r="F18" i="45"/>
  <c r="F73" i="45"/>
  <c r="F29" i="45"/>
  <c r="F74" i="45"/>
  <c r="F52" i="45"/>
  <c r="F20" i="45"/>
  <c r="F82" i="45"/>
  <c r="F55" i="45"/>
  <c r="F47" i="45"/>
  <c r="F79" i="45"/>
  <c r="F76" i="45"/>
  <c r="F67" i="45"/>
  <c r="F35" i="45"/>
  <c r="F17" i="45"/>
  <c r="F63" i="45"/>
  <c r="F31" i="45"/>
  <c r="F65" i="45"/>
  <c r="F50" i="45"/>
  <c r="F33" i="45"/>
  <c r="F49" i="45"/>
  <c r="F59" i="45"/>
  <c r="L81" i="45"/>
  <c r="V19" i="41"/>
  <c r="V18" i="41"/>
  <c r="V27" i="41"/>
  <c r="T23" i="41"/>
  <c r="V23" i="41" s="1"/>
  <c r="V31" i="41"/>
  <c r="V25" i="41"/>
  <c r="V21" i="41"/>
  <c r="V20" i="41"/>
  <c r="Z12" i="41"/>
  <c r="N100" i="37"/>
  <c r="X100" i="37"/>
  <c r="Z100" i="37" s="1"/>
  <c r="N82" i="36"/>
  <c r="D85" i="36"/>
  <c r="V135" i="35"/>
  <c r="V127" i="35"/>
  <c r="V123" i="35"/>
  <c r="V111" i="35"/>
  <c r="V91" i="35"/>
  <c r="V79" i="35"/>
  <c r="V71" i="35"/>
  <c r="V63" i="35"/>
  <c r="V144" i="35"/>
  <c r="V138" i="35"/>
  <c r="V134" i="35"/>
  <c r="V130" i="35"/>
  <c r="V126" i="35"/>
  <c r="V122" i="35"/>
  <c r="V114" i="35"/>
  <c r="V110" i="35"/>
  <c r="V102" i="35"/>
  <c r="V90" i="35"/>
  <c r="V86" i="35"/>
  <c r="V78" i="35"/>
  <c r="V70" i="35"/>
  <c r="V62" i="35"/>
  <c r="V147" i="35"/>
  <c r="V137" i="35"/>
  <c r="V133" i="35"/>
  <c r="V129" i="35"/>
  <c r="V125" i="35"/>
  <c r="V113" i="35"/>
  <c r="V101" i="35"/>
  <c r="V89" i="35"/>
  <c r="T84" i="35"/>
  <c r="V84" i="35" s="1"/>
  <c r="V77" i="35"/>
  <c r="V69" i="35"/>
  <c r="V61" i="35"/>
  <c r="V140" i="35"/>
  <c r="V132" i="35"/>
  <c r="V128" i="35"/>
  <c r="V116" i="35"/>
  <c r="V112" i="35"/>
  <c r="V104" i="35"/>
  <c r="V100" i="35"/>
  <c r="V88" i="35"/>
  <c r="V76" i="35"/>
  <c r="V68" i="35"/>
  <c r="V60" i="35"/>
  <c r="V145" i="35"/>
  <c r="V139" i="35"/>
  <c r="V131" i="35"/>
  <c r="V119" i="35"/>
  <c r="V115" i="35"/>
  <c r="V107" i="35"/>
  <c r="V103" i="35"/>
  <c r="V99" i="35"/>
  <c r="V95" i="35"/>
  <c r="V87" i="35"/>
  <c r="V75" i="35"/>
  <c r="V67" i="35"/>
  <c r="V59" i="35"/>
  <c r="V142" i="35"/>
  <c r="V124" i="35"/>
  <c r="V81" i="35"/>
  <c r="V73" i="35"/>
  <c r="V66" i="35"/>
  <c r="Z12" i="35"/>
  <c r="V136" i="35"/>
  <c r="V117" i="35"/>
  <c r="V105" i="35"/>
  <c r="V96" i="35"/>
  <c r="V151" i="35"/>
  <c r="V97" i="35"/>
  <c r="V82" i="35"/>
  <c r="V74" i="35"/>
  <c r="V120" i="35"/>
  <c r="V118" i="35"/>
  <c r="V108" i="35"/>
  <c r="V106" i="35"/>
  <c r="V146" i="35"/>
  <c r="V93" i="35"/>
  <c r="V64" i="35"/>
  <c r="V57" i="35"/>
  <c r="V141" i="35"/>
  <c r="V65" i="35"/>
  <c r="V58" i="35"/>
  <c r="V94" i="35"/>
  <c r="V72" i="35"/>
  <c r="V92" i="35"/>
  <c r="V121" i="35"/>
  <c r="V80" i="35"/>
  <c r="V109" i="35"/>
  <c r="V98" i="35"/>
  <c r="J147" i="35"/>
  <c r="J137" i="35"/>
  <c r="J125" i="35"/>
  <c r="J119" i="35"/>
  <c r="J107" i="35"/>
  <c r="J99" i="35"/>
  <c r="J95" i="35"/>
  <c r="H84" i="35"/>
  <c r="J75" i="35"/>
  <c r="J67" i="35"/>
  <c r="J59" i="35"/>
  <c r="J142" i="35"/>
  <c r="J128" i="35"/>
  <c r="J118" i="35"/>
  <c r="J112" i="35"/>
  <c r="J106" i="35"/>
  <c r="J98" i="35"/>
  <c r="J94" i="35"/>
  <c r="J86" i="35"/>
  <c r="J82" i="35"/>
  <c r="J74" i="35"/>
  <c r="J66" i="35"/>
  <c r="J58" i="35"/>
  <c r="J151" i="35"/>
  <c r="J145" i="35"/>
  <c r="J139" i="35"/>
  <c r="J131" i="35"/>
  <c r="J121" i="35"/>
  <c r="J115" i="35"/>
  <c r="J109" i="35"/>
  <c r="J103" i="35"/>
  <c r="J97" i="35"/>
  <c r="J93" i="35"/>
  <c r="J87" i="35"/>
  <c r="J81" i="35"/>
  <c r="J73" i="35"/>
  <c r="J65" i="35"/>
  <c r="J136" i="35"/>
  <c r="J124" i="35"/>
  <c r="J92" i="35"/>
  <c r="J80" i="35"/>
  <c r="J72" i="35"/>
  <c r="J64" i="35"/>
  <c r="J141" i="35"/>
  <c r="J135" i="35"/>
  <c r="J127" i="35"/>
  <c r="J123" i="35"/>
  <c r="J117" i="35"/>
  <c r="J111" i="35"/>
  <c r="J105" i="35"/>
  <c r="J91" i="35"/>
  <c r="J79" i="35"/>
  <c r="J71" i="35"/>
  <c r="J63" i="35"/>
  <c r="J57" i="35"/>
  <c r="J146" i="35"/>
  <c r="J130" i="35"/>
  <c r="J90" i="35"/>
  <c r="J84" i="35"/>
  <c r="J76" i="35"/>
  <c r="J140" i="35"/>
  <c r="J114" i="35"/>
  <c r="J69" i="35"/>
  <c r="J62" i="35"/>
  <c r="J77" i="35"/>
  <c r="J70" i="35"/>
  <c r="J138" i="35"/>
  <c r="J133" i="35"/>
  <c r="J101" i="35"/>
  <c r="J88" i="35"/>
  <c r="J60" i="35"/>
  <c r="J144" i="35"/>
  <c r="J134" i="35"/>
  <c r="J120" i="35"/>
  <c r="J110" i="35"/>
  <c r="J108" i="35"/>
  <c r="J89" i="35"/>
  <c r="J96" i="35"/>
  <c r="J116" i="35"/>
  <c r="J104" i="35"/>
  <c r="J132" i="35"/>
  <c r="J113" i="35"/>
  <c r="J61" i="35"/>
  <c r="J129" i="35"/>
  <c r="J68" i="35"/>
  <c r="J126" i="35"/>
  <c r="J122" i="35"/>
  <c r="J100" i="35"/>
  <c r="J78" i="35"/>
  <c r="J102" i="35"/>
  <c r="L12" i="35"/>
  <c r="N12" i="35" s="1"/>
  <c r="F84" i="35"/>
  <c r="H42" i="29"/>
  <c r="N38" i="29"/>
  <c r="J94" i="30"/>
  <c r="J84" i="30"/>
  <c r="J80" i="30"/>
  <c r="J72" i="30"/>
  <c r="J66" i="30"/>
  <c r="J56" i="30"/>
  <c r="J44" i="30"/>
  <c r="J36" i="30"/>
  <c r="J28" i="30"/>
  <c r="J91" i="30"/>
  <c r="J83" i="30"/>
  <c r="J77" i="30"/>
  <c r="J71" i="30"/>
  <c r="J61" i="30"/>
  <c r="J55" i="30"/>
  <c r="J43" i="30"/>
  <c r="J35" i="30"/>
  <c r="J90" i="30"/>
  <c r="J86" i="30"/>
  <c r="J74" i="30"/>
  <c r="J68" i="30"/>
  <c r="J54" i="30"/>
  <c r="J50" i="30"/>
  <c r="J42" i="30"/>
  <c r="J34" i="30"/>
  <c r="J103" i="30"/>
  <c r="J97" i="30"/>
  <c r="J93" i="30"/>
  <c r="J89" i="30"/>
  <c r="J79" i="30"/>
  <c r="J65" i="30"/>
  <c r="H50" i="30"/>
  <c r="J41" i="30"/>
  <c r="J33" i="30"/>
  <c r="J27" i="30"/>
  <c r="J88" i="30"/>
  <c r="J82" i="30"/>
  <c r="J76" i="30"/>
  <c r="J70" i="30"/>
  <c r="J64" i="30"/>
  <c r="J60" i="30"/>
  <c r="J52" i="30"/>
  <c r="J48" i="30"/>
  <c r="J40" i="30"/>
  <c r="J32" i="30"/>
  <c r="J92" i="30"/>
  <c r="J78" i="30"/>
  <c r="J62" i="30"/>
  <c r="J58" i="30"/>
  <c r="J46" i="30"/>
  <c r="J38" i="30"/>
  <c r="J30" i="30"/>
  <c r="J106" i="30"/>
  <c r="J99" i="30"/>
  <c r="J87" i="30"/>
  <c r="J81" i="30"/>
  <c r="J75" i="30"/>
  <c r="J69" i="30"/>
  <c r="J57" i="30"/>
  <c r="J45" i="30"/>
  <c r="J37" i="30"/>
  <c r="J29" i="30"/>
  <c r="J95" i="30"/>
  <c r="J85" i="30"/>
  <c r="J73" i="30"/>
  <c r="J53" i="30"/>
  <c r="J31" i="30"/>
  <c r="J63" i="30"/>
  <c r="J59" i="30"/>
  <c r="J39" i="30"/>
  <c r="J67" i="30"/>
  <c r="J47" i="30"/>
  <c r="N12" i="30"/>
  <c r="J101" i="30"/>
  <c r="T42" i="29"/>
  <c r="L38" i="29"/>
  <c r="D53" i="27"/>
  <c r="N162" i="11"/>
  <c r="R114" i="10"/>
  <c r="R107" i="10"/>
  <c r="R100" i="10"/>
  <c r="R96" i="10"/>
  <c r="R91" i="10"/>
  <c r="R79" i="10"/>
  <c r="R72" i="10"/>
  <c r="R67" i="10"/>
  <c r="R55" i="10"/>
  <c r="R47" i="10"/>
  <c r="R40" i="10"/>
  <c r="R117" i="10"/>
  <c r="R110" i="10"/>
  <c r="R103" i="10"/>
  <c r="R90" i="10"/>
  <c r="R87" i="10"/>
  <c r="R78" i="10"/>
  <c r="R66" i="10"/>
  <c r="R106" i="10"/>
  <c r="R93" i="10"/>
  <c r="R81" i="10"/>
  <c r="R77" i="10"/>
  <c r="R65" i="10"/>
  <c r="R53" i="10"/>
  <c r="R45" i="10"/>
  <c r="R115" i="10"/>
  <c r="R112" i="10"/>
  <c r="R109" i="10"/>
  <c r="R89" i="10"/>
  <c r="R84" i="10"/>
  <c r="R76" i="10"/>
  <c r="R64" i="10"/>
  <c r="R52" i="10"/>
  <c r="R44" i="10"/>
  <c r="X12" i="10"/>
  <c r="Z12" i="10" s="1"/>
  <c r="R111" i="10"/>
  <c r="R102" i="10"/>
  <c r="R98" i="10"/>
  <c r="R86" i="10"/>
  <c r="R74" i="10"/>
  <c r="R70" i="10"/>
  <c r="R50" i="10"/>
  <c r="R42" i="10"/>
  <c r="R101" i="10"/>
  <c r="R85" i="10"/>
  <c r="R69" i="10"/>
  <c r="R62" i="10"/>
  <c r="R54" i="10"/>
  <c r="R116" i="10"/>
  <c r="R94" i="10"/>
  <c r="R95" i="10"/>
  <c r="R63" i="10"/>
  <c r="R46" i="10"/>
  <c r="R41" i="10"/>
  <c r="R97" i="10"/>
  <c r="R61" i="10"/>
  <c r="R51" i="10"/>
  <c r="R108" i="10"/>
  <c r="R57" i="10"/>
  <c r="R56" i="10"/>
  <c r="R104" i="10"/>
  <c r="R83" i="10"/>
  <c r="R71" i="10"/>
  <c r="P59" i="10"/>
  <c r="R121" i="10"/>
  <c r="R105" i="10"/>
  <c r="R99" i="10"/>
  <c r="R92" i="10"/>
  <c r="R73" i="10"/>
  <c r="R68" i="10"/>
  <c r="R49" i="10"/>
  <c r="R48" i="10"/>
  <c r="R80" i="10"/>
  <c r="R82" i="10"/>
  <c r="R43" i="10"/>
  <c r="R75" i="10"/>
  <c r="R88" i="10"/>
  <c r="P97" i="9"/>
  <c r="X30" i="9"/>
  <c r="X86" i="11"/>
  <c r="P167" i="11"/>
  <c r="R86" i="11"/>
  <c r="H243" i="6"/>
  <c r="D22" i="4"/>
  <c r="L16" i="4"/>
  <c r="Z267" i="3"/>
  <c r="L236" i="6"/>
  <c r="N236" i="6" s="1"/>
  <c r="P22" i="4"/>
  <c r="X16" i="4"/>
  <c r="V267" i="3"/>
  <c r="Z21" i="60"/>
  <c r="T87" i="60"/>
  <c r="R80" i="58"/>
  <c r="R78" i="58"/>
  <c r="R75" i="58"/>
  <c r="R70" i="58"/>
  <c r="R58" i="58"/>
  <c r="R55" i="58"/>
  <c r="R50" i="58"/>
  <c r="R47" i="58"/>
  <c r="R42" i="58"/>
  <c r="R38" i="58"/>
  <c r="R26" i="58"/>
  <c r="R69" i="58"/>
  <c r="R65" i="58"/>
  <c r="R61" i="58"/>
  <c r="R37" i="58"/>
  <c r="R33" i="58"/>
  <c r="R25" i="58"/>
  <c r="R23" i="58"/>
  <c r="P21" i="58"/>
  <c r="R77" i="58"/>
  <c r="R68" i="58"/>
  <c r="R64" i="58"/>
  <c r="R60" i="58"/>
  <c r="R57" i="58"/>
  <c r="R52" i="58"/>
  <c r="R49" i="58"/>
  <c r="R44" i="58"/>
  <c r="R41" i="58"/>
  <c r="R36" i="58"/>
  <c r="R32" i="58"/>
  <c r="R74" i="58"/>
  <c r="R59" i="58"/>
  <c r="R54" i="58"/>
  <c r="R51" i="58"/>
  <c r="R46" i="58"/>
  <c r="R43" i="58"/>
  <c r="R30" i="58"/>
  <c r="R18" i="58"/>
  <c r="R73" i="58"/>
  <c r="R66" i="58"/>
  <c r="R62" i="58"/>
  <c r="R72" i="58"/>
  <c r="R48" i="58"/>
  <c r="R27" i="58"/>
  <c r="R24" i="58"/>
  <c r="R53" i="58"/>
  <c r="R39" i="58"/>
  <c r="R28" i="58"/>
  <c r="R40" i="58"/>
  <c r="R34" i="58"/>
  <c r="R29" i="58"/>
  <c r="R19" i="58"/>
  <c r="R84" i="58"/>
  <c r="R76" i="58"/>
  <c r="R71" i="58"/>
  <c r="R63" i="58"/>
  <c r="R56" i="58"/>
  <c r="R45" i="58"/>
  <c r="X12" i="58"/>
  <c r="Z12" i="58" s="1"/>
  <c r="R31" i="58"/>
  <c r="R17" i="58"/>
  <c r="R67" i="58"/>
  <c r="R35" i="58"/>
  <c r="D49" i="57"/>
  <c r="L16" i="57"/>
  <c r="V28" i="50"/>
  <c r="V20" i="50"/>
  <c r="V18" i="50"/>
  <c r="Z12" i="50"/>
  <c r="V27" i="50"/>
  <c r="T18" i="50"/>
  <c r="V30" i="50"/>
  <c r="V22" i="50"/>
  <c r="V39" i="50"/>
  <c r="V33" i="50"/>
  <c r="V29" i="50"/>
  <c r="V21" i="50"/>
  <c r="V32" i="50"/>
  <c r="V24" i="50"/>
  <c r="V16" i="50"/>
  <c r="V26" i="50"/>
  <c r="V35" i="50"/>
  <c r="V25" i="50"/>
  <c r="V23" i="50"/>
  <c r="V31" i="50"/>
  <c r="V15" i="50"/>
  <c r="X16" i="62"/>
  <c r="T66" i="63"/>
  <c r="V90" i="61"/>
  <c r="V85" i="61"/>
  <c r="V83" i="61"/>
  <c r="V79" i="61"/>
  <c r="V77" i="61"/>
  <c r="V69" i="61"/>
  <c r="V65" i="61"/>
  <c r="V61" i="61"/>
  <c r="V53" i="61"/>
  <c r="V45" i="61"/>
  <c r="V29" i="61"/>
  <c r="V17" i="61"/>
  <c r="V81" i="61"/>
  <c r="V76" i="61"/>
  <c r="V68" i="61"/>
  <c r="V64" i="61"/>
  <c r="V60" i="61"/>
  <c r="V52" i="61"/>
  <c r="V44" i="61"/>
  <c r="V28" i="61"/>
  <c r="V78" i="61"/>
  <c r="V54" i="61"/>
  <c r="V46" i="61"/>
  <c r="V38" i="61"/>
  <c r="V26" i="61"/>
  <c r="T21" i="61"/>
  <c r="V73" i="61"/>
  <c r="V57" i="61"/>
  <c r="V49" i="61"/>
  <c r="V41" i="61"/>
  <c r="V37" i="61"/>
  <c r="V33" i="61"/>
  <c r="V25" i="61"/>
  <c r="V87" i="61"/>
  <c r="V72" i="61"/>
  <c r="V56" i="61"/>
  <c r="V48" i="61"/>
  <c r="V40" i="61"/>
  <c r="V36" i="61"/>
  <c r="V32" i="61"/>
  <c r="V24" i="61"/>
  <c r="Z12" i="61"/>
  <c r="V75" i="61"/>
  <c r="V71" i="61"/>
  <c r="V59" i="61"/>
  <c r="V51" i="61"/>
  <c r="V43" i="61"/>
  <c r="V35" i="61"/>
  <c r="V31" i="61"/>
  <c r="V74" i="61"/>
  <c r="V70" i="61"/>
  <c r="V66" i="61"/>
  <c r="V62" i="61"/>
  <c r="V58" i="61"/>
  <c r="V50" i="61"/>
  <c r="V42" i="61"/>
  <c r="V34" i="61"/>
  <c r="V30" i="61"/>
  <c r="V18" i="61"/>
  <c r="V27" i="61"/>
  <c r="V21" i="61"/>
  <c r="V67" i="61"/>
  <c r="V63" i="61"/>
  <c r="V55" i="61"/>
  <c r="V23" i="61"/>
  <c r="V39" i="61"/>
  <c r="V19" i="61"/>
  <c r="V47" i="61"/>
  <c r="J31" i="59"/>
  <c r="J21" i="59"/>
  <c r="J45" i="59"/>
  <c r="J38" i="59"/>
  <c r="J28" i="59"/>
  <c r="J22" i="59"/>
  <c r="J33" i="59"/>
  <c r="J25" i="59"/>
  <c r="J30" i="59"/>
  <c r="J16" i="59"/>
  <c r="J27" i="59"/>
  <c r="J29" i="59"/>
  <c r="J23" i="59"/>
  <c r="J36" i="59"/>
  <c r="J40" i="59"/>
  <c r="J24" i="59"/>
  <c r="J17" i="59"/>
  <c r="N12" i="59"/>
  <c r="L12" i="59"/>
  <c r="J34" i="59"/>
  <c r="J19" i="59"/>
  <c r="J42" i="59"/>
  <c r="H19" i="59"/>
  <c r="J32" i="59"/>
  <c r="J26" i="59"/>
  <c r="H49" i="56"/>
  <c r="N18" i="56"/>
  <c r="H35" i="55"/>
  <c r="N31" i="55"/>
  <c r="H70" i="52"/>
  <c r="N17" i="52"/>
  <c r="T49" i="57"/>
  <c r="X49" i="57" s="1"/>
  <c r="Z16" i="57"/>
  <c r="L84" i="51"/>
  <c r="J84" i="51"/>
  <c r="N20" i="42"/>
  <c r="H79" i="42"/>
  <c r="P79" i="42"/>
  <c r="X20" i="42"/>
  <c r="Z20" i="42" s="1"/>
  <c r="T118" i="43"/>
  <c r="V56" i="43"/>
  <c r="F103" i="37"/>
  <c r="F98" i="37"/>
  <c r="F85" i="37"/>
  <c r="F82" i="37"/>
  <c r="F70" i="37"/>
  <c r="F58" i="37"/>
  <c r="F46" i="37"/>
  <c r="F38" i="37"/>
  <c r="F107" i="37"/>
  <c r="F88" i="37"/>
  <c r="F76" i="37"/>
  <c r="F73" i="37"/>
  <c r="F69" i="37"/>
  <c r="F65" i="37"/>
  <c r="F57" i="37"/>
  <c r="F45" i="37"/>
  <c r="F37" i="37"/>
  <c r="F101" i="37"/>
  <c r="F95" i="37"/>
  <c r="F84" i="37"/>
  <c r="F68" i="37"/>
  <c r="F64" i="37"/>
  <c r="F44" i="37"/>
  <c r="L12" i="37"/>
  <c r="N12" i="37" s="1"/>
  <c r="F96" i="37"/>
  <c r="F92" i="37"/>
  <c r="F83" i="37"/>
  <c r="F80" i="37"/>
  <c r="F60" i="37"/>
  <c r="F48" i="37"/>
  <c r="F40" i="37"/>
  <c r="F100" i="37"/>
  <c r="F91" i="37"/>
  <c r="F79" i="37"/>
  <c r="F74" i="37"/>
  <c r="F71" i="37"/>
  <c r="F66" i="37"/>
  <c r="F59" i="37"/>
  <c r="F47" i="37"/>
  <c r="F39" i="37"/>
  <c r="F89" i="37"/>
  <c r="F55" i="37"/>
  <c r="F49" i="37"/>
  <c r="F36" i="37"/>
  <c r="F90" i="37"/>
  <c r="F75" i="37"/>
  <c r="F72" i="37"/>
  <c r="F67" i="37"/>
  <c r="F62" i="37"/>
  <c r="F42" i="37"/>
  <c r="F94" i="37"/>
  <c r="F63" i="37"/>
  <c r="F50" i="37"/>
  <c r="F43" i="37"/>
  <c r="F78" i="37"/>
  <c r="F77" i="37"/>
  <c r="F51" i="37"/>
  <c r="F86" i="37"/>
  <c r="F87" i="37"/>
  <c r="F102" i="37"/>
  <c r="F61" i="37"/>
  <c r="F56" i="37"/>
  <c r="D53" i="37"/>
  <c r="F41" i="37"/>
  <c r="F97" i="37"/>
  <c r="F81" i="37"/>
  <c r="F93" i="37"/>
  <c r="V71" i="39"/>
  <c r="V63" i="39"/>
  <c r="V70" i="39"/>
  <c r="V62" i="39"/>
  <c r="V58" i="39"/>
  <c r="V50" i="39"/>
  <c r="V79" i="39"/>
  <c r="V73" i="39"/>
  <c r="V49" i="39"/>
  <c r="V72" i="39"/>
  <c r="V66" i="39"/>
  <c r="V75" i="39"/>
  <c r="V55" i="39"/>
  <c r="V54" i="39"/>
  <c r="V44" i="39"/>
  <c r="V40" i="39"/>
  <c r="V28" i="39"/>
  <c r="T23" i="39"/>
  <c r="V68" i="39"/>
  <c r="V43" i="39"/>
  <c r="V39" i="39"/>
  <c r="V35" i="39"/>
  <c r="V27" i="39"/>
  <c r="V67" i="39"/>
  <c r="V52" i="39"/>
  <c r="V51" i="39"/>
  <c r="V46" i="39"/>
  <c r="V38" i="39"/>
  <c r="V34" i="39"/>
  <c r="V26" i="39"/>
  <c r="V69" i="39"/>
  <c r="V60" i="39"/>
  <c r="V45" i="39"/>
  <c r="V37" i="39"/>
  <c r="V33" i="39"/>
  <c r="V65" i="39"/>
  <c r="V48" i="39"/>
  <c r="V47" i="39"/>
  <c r="V42" i="39"/>
  <c r="V30" i="39"/>
  <c r="V18" i="39"/>
  <c r="V53" i="39"/>
  <c r="V41" i="39"/>
  <c r="V29" i="39"/>
  <c r="V25" i="39"/>
  <c r="V59" i="39"/>
  <c r="V56" i="39"/>
  <c r="V21" i="39"/>
  <c r="V31" i="39"/>
  <c r="V57" i="39"/>
  <c r="V36" i="39"/>
  <c r="Z12" i="39"/>
  <c r="V64" i="39"/>
  <c r="V32" i="39"/>
  <c r="V19" i="39"/>
  <c r="V61" i="39"/>
  <c r="V20" i="39"/>
  <c r="P85" i="36"/>
  <c r="X30" i="36"/>
  <c r="L12" i="36"/>
  <c r="N12" i="36" s="1"/>
  <c r="H102" i="28"/>
  <c r="N18" i="28"/>
  <c r="D54" i="26"/>
  <c r="D69" i="24"/>
  <c r="L16" i="24"/>
  <c r="Z16" i="22"/>
  <c r="T69" i="22"/>
  <c r="H47" i="26"/>
  <c r="N16" i="26"/>
  <c r="D69" i="22"/>
  <c r="L16" i="22"/>
  <c r="T66" i="18"/>
  <c r="J97" i="19"/>
  <c r="J87" i="19"/>
  <c r="J81" i="19"/>
  <c r="J102" i="19"/>
  <c r="J94" i="19"/>
  <c r="J86" i="19"/>
  <c r="J93" i="19"/>
  <c r="J89" i="19"/>
  <c r="J83" i="19"/>
  <c r="J77" i="19"/>
  <c r="J100" i="19"/>
  <c r="J96" i="19"/>
  <c r="J92" i="19"/>
  <c r="J103" i="19"/>
  <c r="J91" i="19"/>
  <c r="J85" i="19"/>
  <c r="J98" i="19"/>
  <c r="J88" i="19"/>
  <c r="J82" i="19"/>
  <c r="J79" i="19"/>
  <c r="J71" i="19"/>
  <c r="J59" i="19"/>
  <c r="J47" i="19"/>
  <c r="J39" i="19"/>
  <c r="J90" i="19"/>
  <c r="J80" i="19"/>
  <c r="J76" i="19"/>
  <c r="J70" i="19"/>
  <c r="J58" i="19"/>
  <c r="J46" i="19"/>
  <c r="J38" i="19"/>
  <c r="J107" i="19"/>
  <c r="J73" i="19"/>
  <c r="J69" i="19"/>
  <c r="J65" i="19"/>
  <c r="J57" i="19"/>
  <c r="J45" i="19"/>
  <c r="J37" i="19"/>
  <c r="J95" i="19"/>
  <c r="J68" i="19"/>
  <c r="J64" i="19"/>
  <c r="H53" i="19"/>
  <c r="J53" i="19" s="1"/>
  <c r="J44" i="19"/>
  <c r="N12" i="19"/>
  <c r="J75" i="19"/>
  <c r="J67" i="19"/>
  <c r="J63" i="19"/>
  <c r="J55" i="19"/>
  <c r="J51" i="19"/>
  <c r="J43" i="19"/>
  <c r="J72" i="19"/>
  <c r="J62" i="19"/>
  <c r="J56" i="19"/>
  <c r="J50" i="19"/>
  <c r="J42" i="19"/>
  <c r="J36" i="19"/>
  <c r="J101" i="19"/>
  <c r="J61" i="19"/>
  <c r="J49" i="19"/>
  <c r="J41" i="19"/>
  <c r="J66" i="19"/>
  <c r="J40" i="19"/>
  <c r="J74" i="19"/>
  <c r="J60" i="19"/>
  <c r="J78" i="19"/>
  <c r="J84" i="19"/>
  <c r="J48" i="19"/>
  <c r="V82" i="17"/>
  <c r="V58" i="17"/>
  <c r="V50" i="17"/>
  <c r="V42" i="17"/>
  <c r="V30" i="17"/>
  <c r="V85" i="17"/>
  <c r="V81" i="17"/>
  <c r="V61" i="17"/>
  <c r="V53" i="17"/>
  <c r="V45" i="17"/>
  <c r="V41" i="17"/>
  <c r="V29" i="17"/>
  <c r="V25" i="17"/>
  <c r="V23" i="17"/>
  <c r="V84" i="17"/>
  <c r="V80" i="17"/>
  <c r="V72" i="17"/>
  <c r="V60" i="17"/>
  <c r="V52" i="17"/>
  <c r="V97" i="17"/>
  <c r="V91" i="17"/>
  <c r="V87" i="17"/>
  <c r="V79" i="17"/>
  <c r="V71" i="17"/>
  <c r="V67" i="17"/>
  <c r="V63" i="17"/>
  <c r="V55" i="17"/>
  <c r="V47" i="17"/>
  <c r="V39" i="17"/>
  <c r="V35" i="17"/>
  <c r="V27" i="17"/>
  <c r="V90" i="17"/>
  <c r="V86" i="17"/>
  <c r="V78" i="17"/>
  <c r="V74" i="17"/>
  <c r="V70" i="17"/>
  <c r="V66" i="17"/>
  <c r="V62" i="17"/>
  <c r="V54" i="17"/>
  <c r="V46" i="17"/>
  <c r="V38" i="17"/>
  <c r="V34" i="17"/>
  <c r="V26" i="17"/>
  <c r="V89" i="17"/>
  <c r="V77" i="17"/>
  <c r="V73" i="17"/>
  <c r="V69" i="17"/>
  <c r="V65" i="17"/>
  <c r="V57" i="17"/>
  <c r="V49" i="17"/>
  <c r="V37" i="17"/>
  <c r="V33" i="17"/>
  <c r="V21" i="17"/>
  <c r="V68" i="17"/>
  <c r="V32" i="17"/>
  <c r="T23" i="17"/>
  <c r="V75" i="17"/>
  <c r="V43" i="17"/>
  <c r="V40" i="17"/>
  <c r="V19" i="17"/>
  <c r="Z12" i="17"/>
  <c r="V76" i="17"/>
  <c r="V20" i="17"/>
  <c r="V59" i="17"/>
  <c r="V51" i="17"/>
  <c r="V88" i="17"/>
  <c r="V83" i="17"/>
  <c r="V64" i="17"/>
  <c r="V56" i="17"/>
  <c r="V48" i="17"/>
  <c r="V31" i="17"/>
  <c r="V28" i="17"/>
  <c r="V93" i="17"/>
  <c r="V44" i="17"/>
  <c r="V36" i="17"/>
  <c r="F100" i="14"/>
  <c r="F75" i="14"/>
  <c r="F72" i="14"/>
  <c r="F67" i="14"/>
  <c r="F64" i="14"/>
  <c r="F59" i="14"/>
  <c r="F56" i="14"/>
  <c r="F36" i="14"/>
  <c r="F24" i="14"/>
  <c r="F110" i="14"/>
  <c r="F106" i="14"/>
  <c r="F103" i="14"/>
  <c r="F99" i="14"/>
  <c r="F82" i="14"/>
  <c r="F55" i="14"/>
  <c r="F50" i="14"/>
  <c r="F47" i="14"/>
  <c r="F35" i="14"/>
  <c r="F30" i="14"/>
  <c r="F29" i="14"/>
  <c r="F115" i="14"/>
  <c r="F98" i="14"/>
  <c r="F89" i="14"/>
  <c r="F77" i="14"/>
  <c r="F74" i="14"/>
  <c r="F69" i="14"/>
  <c r="F66" i="14"/>
  <c r="F61" i="14"/>
  <c r="F58" i="14"/>
  <c r="F46" i="14"/>
  <c r="F34" i="14"/>
  <c r="F109" i="14"/>
  <c r="F105" i="14"/>
  <c r="F97" i="14"/>
  <c r="F92" i="14"/>
  <c r="F84" i="14"/>
  <c r="F81" i="14"/>
  <c r="F52" i="14"/>
  <c r="F49" i="14"/>
  <c r="F45" i="14"/>
  <c r="F40" i="14"/>
  <c r="F33" i="14"/>
  <c r="F113" i="14"/>
  <c r="F108" i="14"/>
  <c r="F96" i="14"/>
  <c r="F88" i="14"/>
  <c r="F80" i="14"/>
  <c r="F76" i="14"/>
  <c r="F71" i="14"/>
  <c r="F68" i="14"/>
  <c r="F63" i="14"/>
  <c r="F60" i="14"/>
  <c r="F44" i="14"/>
  <c r="F32" i="14"/>
  <c r="F23" i="14"/>
  <c r="L12" i="14"/>
  <c r="N12" i="14" s="1"/>
  <c r="F116" i="14"/>
  <c r="F111" i="14"/>
  <c r="F107" i="14"/>
  <c r="F102" i="14"/>
  <c r="F95" i="14"/>
  <c r="F91" i="14"/>
  <c r="F87" i="14"/>
  <c r="F83" i="14"/>
  <c r="F79" i="14"/>
  <c r="F54" i="14"/>
  <c r="F51" i="14"/>
  <c r="F43" i="14"/>
  <c r="F39" i="14"/>
  <c r="F31" i="14"/>
  <c r="F120" i="14"/>
  <c r="F94" i="14"/>
  <c r="F90" i="14"/>
  <c r="F86" i="14"/>
  <c r="F78" i="14"/>
  <c r="F73" i="14"/>
  <c r="F70" i="14"/>
  <c r="F65" i="14"/>
  <c r="F62" i="14"/>
  <c r="F57" i="14"/>
  <c r="F42" i="14"/>
  <c r="F38" i="14"/>
  <c r="F114" i="14"/>
  <c r="F104" i="14"/>
  <c r="F101" i="14"/>
  <c r="F93" i="14"/>
  <c r="F85" i="14"/>
  <c r="F53" i="14"/>
  <c r="F48" i="14"/>
  <c r="F41" i="14"/>
  <c r="F37" i="14"/>
  <c r="D27" i="14"/>
  <c r="F25" i="14"/>
  <c r="J103" i="16"/>
  <c r="N114" i="10"/>
  <c r="T118" i="14"/>
  <c r="X162" i="11"/>
  <c r="Z162" i="11" s="1"/>
  <c r="Z248" i="8"/>
  <c r="R86" i="12"/>
  <c r="R72" i="12"/>
  <c r="R67" i="12"/>
  <c r="R63" i="12"/>
  <c r="R60" i="12"/>
  <c r="R44" i="12"/>
  <c r="R39" i="12"/>
  <c r="R78" i="12"/>
  <c r="R66" i="12"/>
  <c r="R54" i="12"/>
  <c r="R51" i="12"/>
  <c r="R38" i="12"/>
  <c r="R27" i="12"/>
  <c r="R84" i="12"/>
  <c r="R77" i="12"/>
  <c r="R69" i="12"/>
  <c r="R65" i="12"/>
  <c r="R62" i="12"/>
  <c r="R37" i="12"/>
  <c r="R90" i="12"/>
  <c r="R80" i="12"/>
  <c r="R76" i="12"/>
  <c r="R56" i="12"/>
  <c r="R53" i="12"/>
  <c r="R48" i="12"/>
  <c r="R36" i="12"/>
  <c r="R34" i="12"/>
  <c r="P32" i="12"/>
  <c r="R85" i="12"/>
  <c r="R82" i="12"/>
  <c r="R79" i="12"/>
  <c r="R74" i="12"/>
  <c r="R58" i="12"/>
  <c r="R55" i="12"/>
  <c r="R50" i="12"/>
  <c r="R46" i="12"/>
  <c r="R42" i="12"/>
  <c r="R35" i="12"/>
  <c r="R30" i="12"/>
  <c r="R73" i="12"/>
  <c r="R70" i="12"/>
  <c r="R61" i="12"/>
  <c r="R45" i="12"/>
  <c r="R41" i="12"/>
  <c r="R29" i="12"/>
  <c r="R43" i="12"/>
  <c r="R28" i="12"/>
  <c r="X12" i="12"/>
  <c r="Z12" i="12" s="1"/>
  <c r="R71" i="12"/>
  <c r="R57" i="12"/>
  <c r="R52" i="12"/>
  <c r="R75" i="12"/>
  <c r="R47" i="12"/>
  <c r="R81" i="12"/>
  <c r="R64" i="12"/>
  <c r="R40" i="12"/>
  <c r="R59" i="12"/>
  <c r="R49" i="12"/>
  <c r="R68" i="12"/>
  <c r="N248" i="8"/>
  <c r="X248" i="8"/>
  <c r="X114" i="15"/>
  <c r="Z114" i="15" s="1"/>
  <c r="R33" i="15"/>
  <c r="F251" i="8"/>
  <c r="F246" i="8"/>
  <c r="F242" i="8"/>
  <c r="F230" i="8"/>
  <c r="F226" i="8"/>
  <c r="F222" i="8"/>
  <c r="F218" i="8"/>
  <c r="F214" i="8"/>
  <c r="F210" i="8"/>
  <c r="F198" i="8"/>
  <c r="F193" i="8"/>
  <c r="F190" i="8"/>
  <c r="F186" i="8"/>
  <c r="F166" i="8"/>
  <c r="D156" i="8"/>
  <c r="F154" i="8"/>
  <c r="F146" i="8"/>
  <c r="F138" i="8"/>
  <c r="F130" i="8"/>
  <c r="F122" i="8"/>
  <c r="F114" i="8"/>
  <c r="F106" i="8"/>
  <c r="F254" i="8"/>
  <c r="F236" i="8"/>
  <c r="F229" i="8"/>
  <c r="F221" i="8"/>
  <c r="F217" i="8"/>
  <c r="F213" i="8"/>
  <c r="F204" i="8"/>
  <c r="F201" i="8"/>
  <c r="F189" i="8"/>
  <c r="F180" i="8"/>
  <c r="F177" i="8"/>
  <c r="F165" i="8"/>
  <c r="F153" i="8"/>
  <c r="F145" i="8"/>
  <c r="F137" i="8"/>
  <c r="F129" i="8"/>
  <c r="F121" i="8"/>
  <c r="F113" i="8"/>
  <c r="F105" i="8"/>
  <c r="F249" i="8"/>
  <c r="F239" i="8"/>
  <c r="F212" i="8"/>
  <c r="F207" i="8"/>
  <c r="F195" i="8"/>
  <c r="F192" i="8"/>
  <c r="F183" i="8"/>
  <c r="F176" i="8"/>
  <c r="F164" i="8"/>
  <c r="F159" i="8"/>
  <c r="F158" i="8"/>
  <c r="F152" i="8"/>
  <c r="F144" i="8"/>
  <c r="F136" i="8"/>
  <c r="F128" i="8"/>
  <c r="F120" i="8"/>
  <c r="F112" i="8"/>
  <c r="F104" i="8"/>
  <c r="F252" i="8"/>
  <c r="F235" i="8"/>
  <c r="F203" i="8"/>
  <c r="F179" i="8"/>
  <c r="F175" i="8"/>
  <c r="F170" i="8"/>
  <c r="F163" i="8"/>
  <c r="F151" i="8"/>
  <c r="F143" i="8"/>
  <c r="F135" i="8"/>
  <c r="F127" i="8"/>
  <c r="F119" i="8"/>
  <c r="F111" i="8"/>
  <c r="F103" i="8"/>
  <c r="F98" i="8"/>
  <c r="F255" i="8"/>
  <c r="F245" i="8"/>
  <c r="F241" i="8"/>
  <c r="F238" i="8"/>
  <c r="F234" i="8"/>
  <c r="F225" i="8"/>
  <c r="F209" i="8"/>
  <c r="F206" i="8"/>
  <c r="F197" i="8"/>
  <c r="F194" i="8"/>
  <c r="F185" i="8"/>
  <c r="F182" i="8"/>
  <c r="F174" i="8"/>
  <c r="F162" i="8"/>
  <c r="F150" i="8"/>
  <c r="F142" i="8"/>
  <c r="F134" i="8"/>
  <c r="F126" i="8"/>
  <c r="F118" i="8"/>
  <c r="F110" i="8"/>
  <c r="F102" i="8"/>
  <c r="F253" i="8"/>
  <c r="F244" i="8"/>
  <c r="F240" i="8"/>
  <c r="F232" i="8"/>
  <c r="F224" i="8"/>
  <c r="F211" i="8"/>
  <c r="F208" i="8"/>
  <c r="F196" i="8"/>
  <c r="F191" i="8"/>
  <c r="F184" i="8"/>
  <c r="F172" i="8"/>
  <c r="F168" i="8"/>
  <c r="F160" i="8"/>
  <c r="F148" i="8"/>
  <c r="F140" i="8"/>
  <c r="F132" i="8"/>
  <c r="F124" i="8"/>
  <c r="F116" i="8"/>
  <c r="F108" i="8"/>
  <c r="F100" i="8"/>
  <c r="L12" i="8"/>
  <c r="N12" i="8" s="1"/>
  <c r="F248" i="8"/>
  <c r="F243" i="8"/>
  <c r="F231" i="8"/>
  <c r="F227" i="8"/>
  <c r="F223" i="8"/>
  <c r="F219" i="8"/>
  <c r="F215" i="8"/>
  <c r="F202" i="8"/>
  <c r="F199" i="8"/>
  <c r="F187" i="8"/>
  <c r="F178" i="8"/>
  <c r="F171" i="8"/>
  <c r="F167" i="8"/>
  <c r="F156" i="8"/>
  <c r="F147" i="8"/>
  <c r="F139" i="8"/>
  <c r="F131" i="8"/>
  <c r="F123" i="8"/>
  <c r="F115" i="8"/>
  <c r="F107" i="8"/>
  <c r="F99" i="8"/>
  <c r="F188" i="8"/>
  <c r="F133" i="8"/>
  <c r="F117" i="8"/>
  <c r="F101" i="8"/>
  <c r="F228" i="8"/>
  <c r="F216" i="8"/>
  <c r="F161" i="8"/>
  <c r="F237" i="8"/>
  <c r="F220" i="8"/>
  <c r="F169" i="8"/>
  <c r="F141" i="8"/>
  <c r="F200" i="8"/>
  <c r="F181" i="8"/>
  <c r="F173" i="8"/>
  <c r="F125" i="8"/>
  <c r="F109" i="8"/>
  <c r="F233" i="8"/>
  <c r="F205" i="8"/>
  <c r="F149" i="8"/>
  <c r="F259" i="8"/>
  <c r="F250" i="8"/>
  <c r="Z236" i="6"/>
  <c r="R223" i="7"/>
  <c r="R219" i="7"/>
  <c r="R203" i="7"/>
  <c r="R190" i="7"/>
  <c r="R187" i="7"/>
  <c r="R175" i="7"/>
  <c r="R170" i="7"/>
  <c r="R163" i="7"/>
  <c r="R154" i="7"/>
  <c r="R142" i="7"/>
  <c r="R130" i="7"/>
  <c r="R122" i="7"/>
  <c r="R114" i="7"/>
  <c r="R106" i="7"/>
  <c r="R98" i="7"/>
  <c r="R90" i="7"/>
  <c r="R83" i="7"/>
  <c r="R228" i="7"/>
  <c r="R213" i="7"/>
  <c r="R206" i="7"/>
  <c r="R198" i="7"/>
  <c r="R194" i="7"/>
  <c r="R181" i="7"/>
  <c r="R178" i="7"/>
  <c r="R166" i="7"/>
  <c r="R157" i="7"/>
  <c r="R153" i="7"/>
  <c r="R141" i="7"/>
  <c r="R231" i="7"/>
  <c r="R216" i="7"/>
  <c r="R212" i="7"/>
  <c r="R189" i="7"/>
  <c r="R184" i="7"/>
  <c r="R172" i="7"/>
  <c r="R169" i="7"/>
  <c r="R160" i="7"/>
  <c r="R152" i="7"/>
  <c r="R140" i="7"/>
  <c r="R226" i="7"/>
  <c r="R215" i="7"/>
  <c r="R211" i="7"/>
  <c r="R183" i="7"/>
  <c r="R180" i="7"/>
  <c r="R159" i="7"/>
  <c r="R156" i="7"/>
  <c r="R151" i="7"/>
  <c r="R147" i="7"/>
  <c r="R139" i="7"/>
  <c r="R127" i="7"/>
  <c r="R119" i="7"/>
  <c r="R111" i="7"/>
  <c r="R103" i="7"/>
  <c r="R95" i="7"/>
  <c r="R229" i="7"/>
  <c r="R222" i="7"/>
  <c r="R218" i="7"/>
  <c r="R210" i="7"/>
  <c r="R202" i="7"/>
  <c r="R186" i="7"/>
  <c r="R174" i="7"/>
  <c r="R171" i="7"/>
  <c r="R162" i="7"/>
  <c r="R150" i="7"/>
  <c r="R146" i="7"/>
  <c r="R138" i="7"/>
  <c r="R136" i="7"/>
  <c r="P134" i="7"/>
  <c r="R126" i="7"/>
  <c r="R118" i="7"/>
  <c r="R110" i="7"/>
  <c r="R102" i="7"/>
  <c r="R94" i="7"/>
  <c r="R86" i="7"/>
  <c r="R227" i="7"/>
  <c r="R224" i="7"/>
  <c r="R220" i="7"/>
  <c r="R217" i="7"/>
  <c r="R208" i="7"/>
  <c r="R204" i="7"/>
  <c r="R200" i="7"/>
  <c r="R196" i="7"/>
  <c r="R192" i="7"/>
  <c r="R188" i="7"/>
  <c r="R185" i="7"/>
  <c r="R176" i="7"/>
  <c r="R173" i="7"/>
  <c r="R168" i="7"/>
  <c r="R164" i="7"/>
  <c r="R161" i="7"/>
  <c r="R144" i="7"/>
  <c r="R137" i="7"/>
  <c r="R132" i="7"/>
  <c r="R124" i="7"/>
  <c r="R116" i="7"/>
  <c r="R108" i="7"/>
  <c r="R100" i="7"/>
  <c r="R92" i="7"/>
  <c r="R230" i="7"/>
  <c r="R207" i="7"/>
  <c r="R199" i="7"/>
  <c r="R195" i="7"/>
  <c r="R191" i="7"/>
  <c r="R179" i="7"/>
  <c r="R221" i="7"/>
  <c r="R209" i="7"/>
  <c r="R158" i="7"/>
  <c r="R143" i="7"/>
  <c r="R129" i="7"/>
  <c r="R128" i="7"/>
  <c r="R123" i="7"/>
  <c r="R113" i="7"/>
  <c r="R112" i="7"/>
  <c r="R197" i="7"/>
  <c r="R167" i="7"/>
  <c r="R165" i="7"/>
  <c r="R148" i="7"/>
  <c r="R99" i="7"/>
  <c r="R125" i="7"/>
  <c r="R109" i="7"/>
  <c r="R105" i="7"/>
  <c r="R104" i="7"/>
  <c r="R182" i="7"/>
  <c r="R91" i="7"/>
  <c r="R201" i="7"/>
  <c r="R155" i="7"/>
  <c r="R149" i="7"/>
  <c r="R115" i="7"/>
  <c r="R101" i="7"/>
  <c r="R97" i="7"/>
  <c r="R96" i="7"/>
  <c r="R145" i="7"/>
  <c r="R131" i="7"/>
  <c r="R121" i="7"/>
  <c r="R120" i="7"/>
  <c r="R85" i="7"/>
  <c r="R84" i="7"/>
  <c r="X12" i="7"/>
  <c r="Z12" i="7" s="1"/>
  <c r="R235" i="7"/>
  <c r="R214" i="7"/>
  <c r="R205" i="7"/>
  <c r="R93" i="7"/>
  <c r="R87" i="7"/>
  <c r="R193" i="7"/>
  <c r="R117" i="7"/>
  <c r="R88" i="7"/>
  <c r="R177" i="7"/>
  <c r="R89" i="7"/>
  <c r="R107" i="7"/>
  <c r="R267" i="3"/>
  <c r="F110" i="32"/>
  <c r="F90" i="32"/>
  <c r="F85" i="32"/>
  <c r="F78" i="32"/>
  <c r="F66" i="32"/>
  <c r="F114" i="32"/>
  <c r="F100" i="32"/>
  <c r="F96" i="32"/>
  <c r="F93" i="32"/>
  <c r="F81" i="32"/>
  <c r="F77" i="32"/>
  <c r="F72" i="32"/>
  <c r="F65" i="32"/>
  <c r="F53" i="32"/>
  <c r="F45" i="32"/>
  <c r="F40" i="32"/>
  <c r="F117" i="32"/>
  <c r="F112" i="32"/>
  <c r="F103" i="32"/>
  <c r="F87" i="32"/>
  <c r="F84" i="32"/>
  <c r="F76" i="32"/>
  <c r="F64" i="32"/>
  <c r="F52" i="32"/>
  <c r="F44" i="32"/>
  <c r="F121" i="32"/>
  <c r="F106" i="32"/>
  <c r="F99" i="32"/>
  <c r="F95" i="32"/>
  <c r="F83" i="32"/>
  <c r="F75" i="32"/>
  <c r="F71" i="32"/>
  <c r="F63" i="32"/>
  <c r="F51" i="32"/>
  <c r="F43" i="32"/>
  <c r="F105" i="32"/>
  <c r="F101" i="32"/>
  <c r="F97" i="32"/>
  <c r="F92" i="32"/>
  <c r="F80" i="32"/>
  <c r="F73" i="32"/>
  <c r="F69" i="32"/>
  <c r="D59" i="32"/>
  <c r="F57" i="32"/>
  <c r="F49" i="32"/>
  <c r="F41" i="32"/>
  <c r="F111" i="32"/>
  <c r="F108" i="32"/>
  <c r="F104" i="32"/>
  <c r="F88" i="32"/>
  <c r="F68" i="32"/>
  <c r="F56" i="32"/>
  <c r="F48" i="32"/>
  <c r="F94" i="32"/>
  <c r="F86" i="32"/>
  <c r="F50" i="32"/>
  <c r="F54" i="32"/>
  <c r="F107" i="32"/>
  <c r="F91" i="32"/>
  <c r="F82" i="32"/>
  <c r="F59" i="32"/>
  <c r="F55" i="32"/>
  <c r="F115" i="32"/>
  <c r="F67" i="32"/>
  <c r="F116" i="32"/>
  <c r="F42" i="32"/>
  <c r="F98" i="32"/>
  <c r="F89" i="32"/>
  <c r="F74" i="32"/>
  <c r="F61" i="32"/>
  <c r="F46" i="32"/>
  <c r="L12" i="32"/>
  <c r="N12" i="32" s="1"/>
  <c r="F109" i="32"/>
  <c r="F102" i="32"/>
  <c r="F47" i="32"/>
  <c r="F70" i="32"/>
  <c r="F79" i="32"/>
  <c r="F62" i="32"/>
  <c r="F66" i="63"/>
  <c r="Z20" i="62"/>
  <c r="P28" i="62"/>
  <c r="X24" i="62"/>
  <c r="X63" i="63"/>
  <c r="Z63" i="63" s="1"/>
  <c r="V63" i="63"/>
  <c r="J87" i="61"/>
  <c r="J81" i="61"/>
  <c r="J85" i="61"/>
  <c r="J73" i="61"/>
  <c r="J67" i="61"/>
  <c r="J63" i="61"/>
  <c r="J57" i="61"/>
  <c r="J49" i="61"/>
  <c r="J41" i="61"/>
  <c r="J37" i="61"/>
  <c r="J33" i="61"/>
  <c r="J25" i="61"/>
  <c r="J21" i="61"/>
  <c r="J78" i="61"/>
  <c r="J72" i="61"/>
  <c r="J54" i="61"/>
  <c r="J46" i="61"/>
  <c r="J36" i="61"/>
  <c r="J32" i="61"/>
  <c r="H21" i="61"/>
  <c r="N12" i="61"/>
  <c r="J90" i="61"/>
  <c r="J70" i="61"/>
  <c r="J66" i="61"/>
  <c r="J62" i="61"/>
  <c r="J56" i="61"/>
  <c r="J48" i="61"/>
  <c r="J40" i="61"/>
  <c r="J30" i="61"/>
  <c r="J24" i="61"/>
  <c r="J18" i="61"/>
  <c r="J77" i="61"/>
  <c r="J69" i="61"/>
  <c r="J65" i="61"/>
  <c r="J61" i="61"/>
  <c r="J53" i="61"/>
  <c r="J45" i="61"/>
  <c r="J29" i="61"/>
  <c r="J74" i="61"/>
  <c r="J68" i="61"/>
  <c r="J64" i="61"/>
  <c r="J58" i="61"/>
  <c r="J50" i="61"/>
  <c r="J42" i="61"/>
  <c r="J34" i="61"/>
  <c r="J28" i="61"/>
  <c r="J83" i="61"/>
  <c r="J79" i="61"/>
  <c r="J55" i="61"/>
  <c r="J47" i="61"/>
  <c r="J39" i="61"/>
  <c r="J27" i="61"/>
  <c r="J76" i="61"/>
  <c r="J60" i="61"/>
  <c r="J52" i="61"/>
  <c r="J44" i="61"/>
  <c r="J38" i="61"/>
  <c r="J26" i="61"/>
  <c r="J75" i="61"/>
  <c r="J71" i="61"/>
  <c r="J43" i="61"/>
  <c r="J31" i="61"/>
  <c r="J19" i="61"/>
  <c r="J51" i="61"/>
  <c r="J35" i="61"/>
  <c r="J59" i="61"/>
  <c r="J17" i="61"/>
  <c r="J23" i="61"/>
  <c r="P28" i="53"/>
  <c r="X18" i="53"/>
  <c r="Z17" i="48"/>
  <c r="T38" i="48"/>
  <c r="H28" i="53"/>
  <c r="N18" i="53"/>
  <c r="H42" i="48"/>
  <c r="P38" i="48"/>
  <c r="X17" i="48"/>
  <c r="L12" i="50"/>
  <c r="D37" i="50"/>
  <c r="L18" i="50"/>
  <c r="H82" i="47"/>
  <c r="N16" i="47"/>
  <c r="N20" i="45"/>
  <c r="H84" i="45"/>
  <c r="H44" i="40"/>
  <c r="L17" i="40"/>
  <c r="N17" i="40" s="1"/>
  <c r="H29" i="41"/>
  <c r="D48" i="40"/>
  <c r="L44" i="40"/>
  <c r="X12" i="44"/>
  <c r="Z12" i="44" s="1"/>
  <c r="R113" i="43"/>
  <c r="R108" i="43"/>
  <c r="R100" i="43"/>
  <c r="R96" i="43"/>
  <c r="R92" i="43"/>
  <c r="R89" i="43"/>
  <c r="R84" i="43"/>
  <c r="R81" i="43"/>
  <c r="R76" i="43"/>
  <c r="R72" i="43"/>
  <c r="R60" i="43"/>
  <c r="R58" i="43"/>
  <c r="P56" i="43"/>
  <c r="R48" i="43"/>
  <c r="R40" i="43"/>
  <c r="R107" i="43"/>
  <c r="R103" i="43"/>
  <c r="R99" i="43"/>
  <c r="R95" i="43"/>
  <c r="R71" i="43"/>
  <c r="R67" i="43"/>
  <c r="R110" i="43"/>
  <c r="R106" i="43"/>
  <c r="R102" i="43"/>
  <c r="R98" i="43"/>
  <c r="R94" i="43"/>
  <c r="R91" i="43"/>
  <c r="R86" i="43"/>
  <c r="R83" i="43"/>
  <c r="R78" i="43"/>
  <c r="R75" i="43"/>
  <c r="R70" i="43"/>
  <c r="R66" i="43"/>
  <c r="R59" i="43"/>
  <c r="R54" i="43"/>
  <c r="R46" i="43"/>
  <c r="R116" i="43"/>
  <c r="R105" i="43"/>
  <c r="R69" i="43"/>
  <c r="R65" i="43"/>
  <c r="R53" i="43"/>
  <c r="R45" i="43"/>
  <c r="R112" i="43"/>
  <c r="R109" i="43"/>
  <c r="R101" i="43"/>
  <c r="R97" i="43"/>
  <c r="R93" i="43"/>
  <c r="R88" i="43"/>
  <c r="R85" i="43"/>
  <c r="R80" i="43"/>
  <c r="R77" i="43"/>
  <c r="R64" i="43"/>
  <c r="R52" i="43"/>
  <c r="R44" i="43"/>
  <c r="R120" i="43"/>
  <c r="R114" i="43"/>
  <c r="R111" i="43"/>
  <c r="R90" i="43"/>
  <c r="R87" i="43"/>
  <c r="R82" i="43"/>
  <c r="R79" i="43"/>
  <c r="R74" i="43"/>
  <c r="R62" i="43"/>
  <c r="R63" i="43"/>
  <c r="R39" i="43"/>
  <c r="R38" i="43"/>
  <c r="R61" i="43"/>
  <c r="R49" i="43"/>
  <c r="X12" i="43"/>
  <c r="Z12" i="43" s="1"/>
  <c r="R104" i="43"/>
  <c r="R73" i="43"/>
  <c r="R68" i="43"/>
  <c r="R41" i="43"/>
  <c r="R47" i="43"/>
  <c r="R43" i="43"/>
  <c r="R42" i="43"/>
  <c r="R51" i="43"/>
  <c r="R50" i="43"/>
  <c r="T85" i="36"/>
  <c r="Z30" i="36"/>
  <c r="Z144" i="35"/>
  <c r="R75" i="39"/>
  <c r="R64" i="39"/>
  <c r="R71" i="39"/>
  <c r="R68" i="39"/>
  <c r="R63" i="39"/>
  <c r="R59" i="39"/>
  <c r="R56" i="39"/>
  <c r="R50" i="39"/>
  <c r="R47" i="39"/>
  <c r="R79" i="39"/>
  <c r="R73" i="39"/>
  <c r="R70" i="39"/>
  <c r="R72" i="39"/>
  <c r="R67" i="39"/>
  <c r="R66" i="39"/>
  <c r="R41" i="39"/>
  <c r="R29" i="39"/>
  <c r="R18" i="39"/>
  <c r="R55" i="39"/>
  <c r="R54" i="39"/>
  <c r="R53" i="39"/>
  <c r="R44" i="39"/>
  <c r="R40" i="39"/>
  <c r="R28" i="39"/>
  <c r="R23" i="39"/>
  <c r="R39" i="39"/>
  <c r="R35" i="39"/>
  <c r="R27" i="39"/>
  <c r="R25" i="39"/>
  <c r="P23" i="39"/>
  <c r="R62" i="39"/>
  <c r="R52" i="39"/>
  <c r="R46" i="39"/>
  <c r="R43" i="39"/>
  <c r="R38" i="39"/>
  <c r="R34" i="39"/>
  <c r="R57" i="39"/>
  <c r="R36" i="39"/>
  <c r="R31" i="39"/>
  <c r="R19" i="39"/>
  <c r="R65" i="39"/>
  <c r="R48" i="39"/>
  <c r="R42" i="39"/>
  <c r="R30" i="39"/>
  <c r="R21" i="39"/>
  <c r="R69" i="39"/>
  <c r="R60" i="39"/>
  <c r="R51" i="39"/>
  <c r="X12" i="39"/>
  <c r="R58" i="39"/>
  <c r="R45" i="39"/>
  <c r="R32" i="39"/>
  <c r="R26" i="39"/>
  <c r="R61" i="39"/>
  <c r="R49" i="39"/>
  <c r="R33" i="39"/>
  <c r="R20" i="39"/>
  <c r="R37" i="39"/>
  <c r="F57" i="33"/>
  <c r="F50" i="33"/>
  <c r="F31" i="33"/>
  <c r="D21" i="33"/>
  <c r="F19" i="33"/>
  <c r="F45" i="33"/>
  <c r="F42" i="33"/>
  <c r="F37" i="33"/>
  <c r="F34" i="33"/>
  <c r="F30" i="33"/>
  <c r="F29" i="33"/>
  <c r="F24" i="33"/>
  <c r="F23" i="33"/>
  <c r="F44" i="33"/>
  <c r="F39" i="33"/>
  <c r="F36" i="33"/>
  <c r="F28" i="33"/>
  <c r="F52" i="33"/>
  <c r="F46" i="33"/>
  <c r="F41" i="33"/>
  <c r="F38" i="33"/>
  <c r="F33" i="33"/>
  <c r="F26" i="33"/>
  <c r="F25" i="33"/>
  <c r="F35" i="33"/>
  <c r="F48" i="33"/>
  <c r="F32" i="33"/>
  <c r="F54" i="33"/>
  <c r="F21" i="33"/>
  <c r="F40" i="33"/>
  <c r="F27" i="33"/>
  <c r="F18" i="33"/>
  <c r="F43" i="33"/>
  <c r="L12" i="33"/>
  <c r="T50" i="33"/>
  <c r="R55" i="31"/>
  <c r="R46" i="31"/>
  <c r="R49" i="31"/>
  <c r="R45" i="31"/>
  <c r="R42" i="31"/>
  <c r="R37" i="31"/>
  <c r="R34" i="31"/>
  <c r="R18" i="31"/>
  <c r="R52" i="31"/>
  <c r="R48" i="31"/>
  <c r="R28" i="31"/>
  <c r="R58" i="31"/>
  <c r="R51" i="31"/>
  <c r="R44" i="31"/>
  <c r="R39" i="31"/>
  <c r="R36" i="31"/>
  <c r="R31" i="31"/>
  <c r="R27" i="31"/>
  <c r="R25" i="31"/>
  <c r="P23" i="31"/>
  <c r="R54" i="31"/>
  <c r="R47" i="31"/>
  <c r="R30" i="31"/>
  <c r="R62" i="31"/>
  <c r="R56" i="31"/>
  <c r="R53" i="31"/>
  <c r="R29" i="31"/>
  <c r="R20" i="31"/>
  <c r="X12" i="31"/>
  <c r="R43" i="31"/>
  <c r="R40" i="31"/>
  <c r="R35" i="31"/>
  <c r="R32" i="31"/>
  <c r="R19" i="31"/>
  <c r="R41" i="31"/>
  <c r="R38" i="31"/>
  <c r="R33" i="31"/>
  <c r="R26" i="31"/>
  <c r="R21" i="31"/>
  <c r="R50" i="31"/>
  <c r="X16" i="24"/>
  <c r="P69" i="24"/>
  <c r="V92" i="30"/>
  <c r="V88" i="30"/>
  <c r="V76" i="30"/>
  <c r="V64" i="30"/>
  <c r="V60" i="30"/>
  <c r="V48" i="30"/>
  <c r="V40" i="30"/>
  <c r="V32" i="30"/>
  <c r="V101" i="30"/>
  <c r="V95" i="30"/>
  <c r="V87" i="30"/>
  <c r="V75" i="30"/>
  <c r="V67" i="30"/>
  <c r="V63" i="30"/>
  <c r="V59" i="30"/>
  <c r="V47" i="30"/>
  <c r="V39" i="30"/>
  <c r="V31" i="30"/>
  <c r="V94" i="30"/>
  <c r="V78" i="30"/>
  <c r="V66" i="30"/>
  <c r="V62" i="30"/>
  <c r="V58" i="30"/>
  <c r="V46" i="30"/>
  <c r="V38" i="30"/>
  <c r="V30" i="30"/>
  <c r="V81" i="30"/>
  <c r="V77" i="30"/>
  <c r="V69" i="30"/>
  <c r="V61" i="30"/>
  <c r="V57" i="30"/>
  <c r="V45" i="30"/>
  <c r="V37" i="30"/>
  <c r="V29" i="30"/>
  <c r="V84" i="30"/>
  <c r="V80" i="30"/>
  <c r="V72" i="30"/>
  <c r="V68" i="30"/>
  <c r="V56" i="30"/>
  <c r="V52" i="30"/>
  <c r="V44" i="30"/>
  <c r="V36" i="30"/>
  <c r="V28" i="30"/>
  <c r="Z12" i="30"/>
  <c r="V90" i="30"/>
  <c r="V86" i="30"/>
  <c r="V82" i="30"/>
  <c r="V74" i="30"/>
  <c r="V70" i="30"/>
  <c r="V54" i="30"/>
  <c r="V42" i="30"/>
  <c r="V34" i="30"/>
  <c r="V93" i="30"/>
  <c r="V89" i="30"/>
  <c r="V85" i="30"/>
  <c r="V73" i="30"/>
  <c r="V65" i="30"/>
  <c r="V53" i="30"/>
  <c r="V41" i="30"/>
  <c r="V33" i="30"/>
  <c r="V79" i="30"/>
  <c r="T50" i="30"/>
  <c r="V50" i="30" s="1"/>
  <c r="V27" i="30"/>
  <c r="V55" i="30"/>
  <c r="V97" i="30"/>
  <c r="V91" i="30"/>
  <c r="V43" i="30"/>
  <c r="V35" i="30"/>
  <c r="V83" i="30"/>
  <c r="V71" i="30"/>
  <c r="D106" i="28"/>
  <c r="L102" i="28"/>
  <c r="P102" i="28"/>
  <c r="X18" i="28"/>
  <c r="L114" i="32"/>
  <c r="N114" i="32" s="1"/>
  <c r="X16" i="23"/>
  <c r="P64" i="23"/>
  <c r="D31" i="21"/>
  <c r="L16" i="21"/>
  <c r="H73" i="22"/>
  <c r="R103" i="16"/>
  <c r="L114" i="15"/>
  <c r="N114" i="15" s="1"/>
  <c r="J114" i="15"/>
  <c r="J110" i="15"/>
  <c r="J104" i="15"/>
  <c r="J98" i="15"/>
  <c r="J90" i="15"/>
  <c r="J86" i="15"/>
  <c r="J82" i="15"/>
  <c r="J76" i="15"/>
  <c r="J62" i="15"/>
  <c r="J56" i="15"/>
  <c r="J42" i="15"/>
  <c r="J36" i="15"/>
  <c r="J30" i="15"/>
  <c r="J117" i="15"/>
  <c r="J109" i="15"/>
  <c r="J97" i="15"/>
  <c r="J93" i="15"/>
  <c r="J89" i="15"/>
  <c r="J81" i="15"/>
  <c r="J73" i="15"/>
  <c r="J67" i="15"/>
  <c r="J61" i="15"/>
  <c r="J53" i="15"/>
  <c r="J41" i="15"/>
  <c r="J29" i="15"/>
  <c r="J112" i="15"/>
  <c r="J106" i="15"/>
  <c r="J96" i="15"/>
  <c r="J88" i="15"/>
  <c r="J78" i="15"/>
  <c r="J70" i="15"/>
  <c r="J64" i="15"/>
  <c r="J58" i="15"/>
  <c r="J52" i="15"/>
  <c r="J46" i="15"/>
  <c r="J40" i="15"/>
  <c r="N12" i="15"/>
  <c r="J121" i="15"/>
  <c r="J115" i="15"/>
  <c r="J103" i="15"/>
  <c r="J95" i="15"/>
  <c r="J85" i="15"/>
  <c r="J75" i="15"/>
  <c r="J55" i="15"/>
  <c r="J51" i="15"/>
  <c r="J39" i="15"/>
  <c r="J108" i="15"/>
  <c r="J102" i="15"/>
  <c r="J92" i="15"/>
  <c r="J80" i="15"/>
  <c r="J72" i="15"/>
  <c r="J66" i="15"/>
  <c r="J60" i="15"/>
  <c r="J50" i="15"/>
  <c r="J38" i="15"/>
  <c r="J28" i="15"/>
  <c r="J111" i="15"/>
  <c r="J105" i="15"/>
  <c r="J101" i="15"/>
  <c r="J87" i="15"/>
  <c r="J77" i="15"/>
  <c r="J69" i="15"/>
  <c r="J63" i="15"/>
  <c r="J57" i="15"/>
  <c r="J49" i="15"/>
  <c r="J45" i="15"/>
  <c r="J37" i="15"/>
  <c r="J33" i="15"/>
  <c r="J116" i="15"/>
  <c r="J100" i="15"/>
  <c r="J94" i="15"/>
  <c r="J84" i="15"/>
  <c r="J74" i="15"/>
  <c r="J68" i="15"/>
  <c r="J54" i="15"/>
  <c r="J48" i="15"/>
  <c r="J44" i="15"/>
  <c r="H33" i="15"/>
  <c r="J107" i="15"/>
  <c r="J99" i="15"/>
  <c r="J91" i="15"/>
  <c r="J83" i="15"/>
  <c r="J79" i="15"/>
  <c r="J71" i="15"/>
  <c r="J65" i="15"/>
  <c r="J59" i="15"/>
  <c r="J47" i="15"/>
  <c r="J43" i="15"/>
  <c r="J35" i="15"/>
  <c r="J31" i="15"/>
  <c r="L103" i="16"/>
  <c r="N103" i="16" s="1"/>
  <c r="Z172" i="13"/>
  <c r="R103" i="19"/>
  <c r="R96" i="19"/>
  <c r="R92" i="19"/>
  <c r="R85" i="19"/>
  <c r="R80" i="19"/>
  <c r="R91" i="19"/>
  <c r="R88" i="19"/>
  <c r="R79" i="19"/>
  <c r="R76" i="19"/>
  <c r="R101" i="19"/>
  <c r="R98" i="19"/>
  <c r="R95" i="19"/>
  <c r="R82" i="19"/>
  <c r="R107" i="19"/>
  <c r="R90" i="19"/>
  <c r="R97" i="19"/>
  <c r="R84" i="19"/>
  <c r="R81" i="19"/>
  <c r="R102" i="19"/>
  <c r="R87" i="19"/>
  <c r="R94" i="19"/>
  <c r="R89" i="19"/>
  <c r="R68" i="19"/>
  <c r="R64" i="19"/>
  <c r="R44" i="19"/>
  <c r="X12" i="19"/>
  <c r="R86" i="19"/>
  <c r="R75" i="19"/>
  <c r="R72" i="19"/>
  <c r="R67" i="19"/>
  <c r="R63" i="19"/>
  <c r="R56" i="19"/>
  <c r="R51" i="19"/>
  <c r="R43" i="19"/>
  <c r="R36" i="19"/>
  <c r="R62" i="19"/>
  <c r="R50" i="19"/>
  <c r="R42" i="19"/>
  <c r="R100" i="19"/>
  <c r="R83" i="19"/>
  <c r="R74" i="19"/>
  <c r="R66" i="19"/>
  <c r="R61" i="19"/>
  <c r="R49" i="19"/>
  <c r="R41" i="19"/>
  <c r="R78" i="19"/>
  <c r="R60" i="19"/>
  <c r="R48" i="19"/>
  <c r="R40" i="19"/>
  <c r="R71" i="19"/>
  <c r="R59" i="19"/>
  <c r="R47" i="19"/>
  <c r="R39" i="19"/>
  <c r="R77" i="19"/>
  <c r="R70" i="19"/>
  <c r="R58" i="19"/>
  <c r="R53" i="19"/>
  <c r="R46" i="19"/>
  <c r="R38" i="19"/>
  <c r="R93" i="19"/>
  <c r="R73" i="19"/>
  <c r="R69" i="19"/>
  <c r="P53" i="19"/>
  <c r="R45" i="19"/>
  <c r="R55" i="19"/>
  <c r="R65" i="19"/>
  <c r="R57" i="19"/>
  <c r="R37" i="19"/>
  <c r="P118" i="14"/>
  <c r="X27" i="14"/>
  <c r="Z27" i="14" s="1"/>
  <c r="J82" i="12"/>
  <c r="J74" i="12"/>
  <c r="J68" i="12"/>
  <c r="J64" i="12"/>
  <c r="J58" i="12"/>
  <c r="J50" i="12"/>
  <c r="J46" i="12"/>
  <c r="J42" i="12"/>
  <c r="J34" i="12"/>
  <c r="J30" i="12"/>
  <c r="J85" i="12"/>
  <c r="J79" i="12"/>
  <c r="J73" i="12"/>
  <c r="J61" i="12"/>
  <c r="J55" i="12"/>
  <c r="J45" i="12"/>
  <c r="J41" i="12"/>
  <c r="J35" i="12"/>
  <c r="J29" i="12"/>
  <c r="J70" i="12"/>
  <c r="J52" i="12"/>
  <c r="J40" i="12"/>
  <c r="J28" i="12"/>
  <c r="N12" i="12"/>
  <c r="J81" i="12"/>
  <c r="J67" i="12"/>
  <c r="J63" i="12"/>
  <c r="J57" i="12"/>
  <c r="J49" i="12"/>
  <c r="J39" i="12"/>
  <c r="J77" i="12"/>
  <c r="J69" i="12"/>
  <c r="J65" i="12"/>
  <c r="J51" i="12"/>
  <c r="J37" i="12"/>
  <c r="J27" i="12"/>
  <c r="J90" i="12"/>
  <c r="J84" i="12"/>
  <c r="J80" i="12"/>
  <c r="J76" i="12"/>
  <c r="J62" i="12"/>
  <c r="J56" i="12"/>
  <c r="J48" i="12"/>
  <c r="J36" i="12"/>
  <c r="J32" i="12"/>
  <c r="J60" i="12"/>
  <c r="J59" i="12"/>
  <c r="J38" i="12"/>
  <c r="J44" i="12"/>
  <c r="J43" i="12"/>
  <c r="H32" i="12"/>
  <c r="J72" i="12"/>
  <c r="J66" i="12"/>
  <c r="J53" i="12"/>
  <c r="J75" i="12"/>
  <c r="J71" i="12"/>
  <c r="J47" i="12"/>
  <c r="J86" i="12"/>
  <c r="J78" i="12"/>
  <c r="J54" i="12"/>
  <c r="V173" i="13"/>
  <c r="V167" i="13"/>
  <c r="V135" i="13"/>
  <c r="V123" i="13"/>
  <c r="V115" i="13"/>
  <c r="V111" i="13"/>
  <c r="V99" i="13"/>
  <c r="V87" i="13"/>
  <c r="V79" i="13"/>
  <c r="V170" i="13"/>
  <c r="V162" i="13"/>
  <c r="V138" i="13"/>
  <c r="V134" i="13"/>
  <c r="V126" i="13"/>
  <c r="V114" i="13"/>
  <c r="V110" i="13"/>
  <c r="V106" i="13"/>
  <c r="V98" i="13"/>
  <c r="V86" i="13"/>
  <c r="V78" i="13"/>
  <c r="V179" i="13"/>
  <c r="V169" i="13"/>
  <c r="V161" i="13"/>
  <c r="V137" i="13"/>
  <c r="V129" i="13"/>
  <c r="V125" i="13"/>
  <c r="V117" i="13"/>
  <c r="V109" i="13"/>
  <c r="V105" i="13"/>
  <c r="V174" i="13"/>
  <c r="V164" i="13"/>
  <c r="V160" i="13"/>
  <c r="V152" i="13"/>
  <c r="V144" i="13"/>
  <c r="V140" i="13"/>
  <c r="V128" i="13"/>
  <c r="V116" i="13"/>
  <c r="V108" i="13"/>
  <c r="V104" i="13"/>
  <c r="V92" i="13"/>
  <c r="V163" i="13"/>
  <c r="V159" i="13"/>
  <c r="V155" i="13"/>
  <c r="V151" i="13"/>
  <c r="V147" i="13"/>
  <c r="V143" i="13"/>
  <c r="V139" i="13"/>
  <c r="V131" i="13"/>
  <c r="V127" i="13"/>
  <c r="V119" i="13"/>
  <c r="V107" i="13"/>
  <c r="V103" i="13"/>
  <c r="V91" i="13"/>
  <c r="V83" i="13"/>
  <c r="V75" i="13"/>
  <c r="V172" i="13"/>
  <c r="V166" i="13"/>
  <c r="V158" i="13"/>
  <c r="V154" i="13"/>
  <c r="V150" i="13"/>
  <c r="V146" i="13"/>
  <c r="V142" i="13"/>
  <c r="V130" i="13"/>
  <c r="V122" i="13"/>
  <c r="V118" i="13"/>
  <c r="V102" i="13"/>
  <c r="V90" i="13"/>
  <c r="V82" i="13"/>
  <c r="V175" i="13"/>
  <c r="V165" i="13"/>
  <c r="V157" i="13"/>
  <c r="V153" i="13"/>
  <c r="V149" i="13"/>
  <c r="V145" i="13"/>
  <c r="V141" i="13"/>
  <c r="V133" i="13"/>
  <c r="V121" i="13"/>
  <c r="V113" i="13"/>
  <c r="V101" i="13"/>
  <c r="V97" i="13"/>
  <c r="V89" i="13"/>
  <c r="V81" i="13"/>
  <c r="V168" i="13"/>
  <c r="V156" i="13"/>
  <c r="V148" i="13"/>
  <c r="V88" i="13"/>
  <c r="V67" i="13"/>
  <c r="V59" i="13"/>
  <c r="V100" i="13"/>
  <c r="V66" i="13"/>
  <c r="V74" i="13"/>
  <c r="V73" i="13"/>
  <c r="V65" i="13"/>
  <c r="V120" i="13"/>
  <c r="T95" i="13"/>
  <c r="V95" i="13" s="1"/>
  <c r="V72" i="13"/>
  <c r="V64" i="13"/>
  <c r="V124" i="13"/>
  <c r="V77" i="13"/>
  <c r="V70" i="13"/>
  <c r="V62" i="13"/>
  <c r="V84" i="13"/>
  <c r="V69" i="13"/>
  <c r="V61" i="13"/>
  <c r="V60" i="13"/>
  <c r="V80" i="13"/>
  <c r="V76" i="13"/>
  <c r="V68" i="13"/>
  <c r="V63" i="13"/>
  <c r="V136" i="13"/>
  <c r="V85" i="13"/>
  <c r="V132" i="13"/>
  <c r="V71" i="13"/>
  <c r="V93" i="13"/>
  <c r="V112" i="13"/>
  <c r="F121" i="10"/>
  <c r="F106" i="10"/>
  <c r="F99" i="10"/>
  <c r="F95" i="10"/>
  <c r="F83" i="10"/>
  <c r="F75" i="10"/>
  <c r="F71" i="10"/>
  <c r="F63" i="10"/>
  <c r="F51" i="10"/>
  <c r="F43" i="10"/>
  <c r="F115" i="10"/>
  <c r="F109" i="10"/>
  <c r="F102" i="10"/>
  <c r="F98" i="10"/>
  <c r="F89" i="10"/>
  <c r="F86" i="10"/>
  <c r="F74" i="10"/>
  <c r="F70" i="10"/>
  <c r="F105" i="10"/>
  <c r="F101" i="10"/>
  <c r="F97" i="10"/>
  <c r="F92" i="10"/>
  <c r="F80" i="10"/>
  <c r="F73" i="10"/>
  <c r="F69" i="10"/>
  <c r="D59" i="10"/>
  <c r="F57" i="10"/>
  <c r="F49" i="10"/>
  <c r="F41" i="10"/>
  <c r="F111" i="10"/>
  <c r="F108" i="10"/>
  <c r="F104" i="10"/>
  <c r="F88" i="10"/>
  <c r="F68" i="10"/>
  <c r="F56" i="10"/>
  <c r="F48" i="10"/>
  <c r="F110" i="10"/>
  <c r="F90" i="10"/>
  <c r="F85" i="10"/>
  <c r="F78" i="10"/>
  <c r="F66" i="10"/>
  <c r="F54" i="10"/>
  <c r="F46" i="10"/>
  <c r="F79" i="10"/>
  <c r="F65" i="10"/>
  <c r="F53" i="10"/>
  <c r="F81" i="10"/>
  <c r="F76" i="10"/>
  <c r="F72" i="10"/>
  <c r="F61" i="10"/>
  <c r="F44" i="10"/>
  <c r="F100" i="10"/>
  <c r="F91" i="10"/>
  <c r="F84" i="10"/>
  <c r="F82" i="10"/>
  <c r="L12" i="10"/>
  <c r="N12" i="10" s="1"/>
  <c r="F112" i="10"/>
  <c r="F107" i="10"/>
  <c r="F93" i="10"/>
  <c r="F77" i="10"/>
  <c r="F45" i="10"/>
  <c r="F117" i="10"/>
  <c r="F62" i="10"/>
  <c r="F55" i="10"/>
  <c r="F50" i="10"/>
  <c r="F116" i="10"/>
  <c r="F87" i="10"/>
  <c r="F67" i="10"/>
  <c r="F64" i="10"/>
  <c r="F47" i="10"/>
  <c r="F42" i="10"/>
  <c r="F103" i="10"/>
  <c r="F52" i="10"/>
  <c r="F96" i="10"/>
  <c r="F114" i="10"/>
  <c r="F40" i="10"/>
  <c r="F94" i="10"/>
  <c r="F84" i="12"/>
  <c r="F75" i="12"/>
  <c r="F71" i="12"/>
  <c r="F62" i="12"/>
  <c r="F59" i="12"/>
  <c r="F47" i="12"/>
  <c r="F43" i="12"/>
  <c r="F82" i="12"/>
  <c r="F74" i="12"/>
  <c r="F58" i="12"/>
  <c r="F53" i="12"/>
  <c r="F50" i="12"/>
  <c r="F46" i="12"/>
  <c r="F42" i="12"/>
  <c r="D32" i="12"/>
  <c r="F30" i="12"/>
  <c r="F73" i="12"/>
  <c r="F68" i="12"/>
  <c r="F64" i="12"/>
  <c r="F61" i="12"/>
  <c r="F45" i="12"/>
  <c r="F41" i="12"/>
  <c r="F29" i="12"/>
  <c r="F85" i="12"/>
  <c r="F79" i="12"/>
  <c r="F55" i="12"/>
  <c r="F52" i="12"/>
  <c r="F40" i="12"/>
  <c r="F35" i="12"/>
  <c r="F34" i="12"/>
  <c r="F28" i="12"/>
  <c r="L12" i="12"/>
  <c r="F81" i="12"/>
  <c r="F78" i="12"/>
  <c r="F66" i="12"/>
  <c r="F57" i="12"/>
  <c r="F54" i="12"/>
  <c r="F49" i="12"/>
  <c r="F38" i="12"/>
  <c r="F86" i="12"/>
  <c r="F77" i="12"/>
  <c r="F72" i="12"/>
  <c r="F69" i="12"/>
  <c r="F65" i="12"/>
  <c r="F60" i="12"/>
  <c r="F44" i="12"/>
  <c r="F37" i="12"/>
  <c r="F90" i="12"/>
  <c r="F56" i="12"/>
  <c r="F51" i="12"/>
  <c r="F36" i="12"/>
  <c r="F27" i="12"/>
  <c r="F80" i="12"/>
  <c r="F70" i="12"/>
  <c r="F76" i="12"/>
  <c r="F48" i="12"/>
  <c r="F67" i="12"/>
  <c r="F63" i="12"/>
  <c r="F39" i="12"/>
  <c r="F173" i="13"/>
  <c r="F167" i="13"/>
  <c r="F164" i="13"/>
  <c r="F160" i="13"/>
  <c r="F152" i="13"/>
  <c r="F144" i="13"/>
  <c r="F140" i="13"/>
  <c r="F128" i="13"/>
  <c r="F123" i="13"/>
  <c r="F108" i="13"/>
  <c r="F104" i="13"/>
  <c r="F92" i="13"/>
  <c r="F84" i="13"/>
  <c r="F76" i="13"/>
  <c r="F159" i="13"/>
  <c r="F155" i="13"/>
  <c r="F151" i="13"/>
  <c r="F147" i="13"/>
  <c r="F143" i="13"/>
  <c r="F134" i="13"/>
  <c r="F131" i="13"/>
  <c r="F119" i="13"/>
  <c r="F114" i="13"/>
  <c r="F103" i="13"/>
  <c r="F98" i="13"/>
  <c r="F97" i="13"/>
  <c r="F91" i="13"/>
  <c r="F83" i="13"/>
  <c r="F75" i="13"/>
  <c r="F169" i="13"/>
  <c r="F166" i="13"/>
  <c r="F158" i="13"/>
  <c r="F154" i="13"/>
  <c r="F150" i="13"/>
  <c r="F146" i="13"/>
  <c r="F142" i="13"/>
  <c r="F137" i="13"/>
  <c r="F125" i="13"/>
  <c r="F122" i="13"/>
  <c r="F102" i="13"/>
  <c r="F174" i="13"/>
  <c r="F157" i="13"/>
  <c r="F149" i="13"/>
  <c r="F133" i="13"/>
  <c r="F121" i="13"/>
  <c r="F116" i="13"/>
  <c r="F113" i="13"/>
  <c r="F101" i="13"/>
  <c r="F89" i="13"/>
  <c r="F168" i="13"/>
  <c r="F163" i="13"/>
  <c r="F139" i="13"/>
  <c r="F136" i="13"/>
  <c r="F127" i="13"/>
  <c r="F124" i="13"/>
  <c r="F112" i="13"/>
  <c r="F107" i="13"/>
  <c r="F100" i="13"/>
  <c r="F88" i="13"/>
  <c r="F80" i="13"/>
  <c r="F172" i="13"/>
  <c r="F135" i="13"/>
  <c r="F130" i="13"/>
  <c r="F118" i="13"/>
  <c r="F115" i="13"/>
  <c r="F111" i="13"/>
  <c r="F99" i="13"/>
  <c r="F87" i="13"/>
  <c r="F79" i="13"/>
  <c r="F175" i="13"/>
  <c r="F170" i="13"/>
  <c r="F165" i="13"/>
  <c r="F162" i="13"/>
  <c r="F153" i="13"/>
  <c r="F145" i="13"/>
  <c r="F141" i="13"/>
  <c r="F138" i="13"/>
  <c r="F126" i="13"/>
  <c r="F110" i="13"/>
  <c r="F106" i="13"/>
  <c r="F95" i="13"/>
  <c r="F86" i="13"/>
  <c r="F179" i="13"/>
  <c r="F161" i="13"/>
  <c r="F156" i="13"/>
  <c r="F148" i="13"/>
  <c r="F120" i="13"/>
  <c r="F90" i="13"/>
  <c r="F72" i="13"/>
  <c r="F64" i="13"/>
  <c r="F59" i="13"/>
  <c r="F93" i="13"/>
  <c r="F81" i="13"/>
  <c r="F77" i="13"/>
  <c r="F71" i="13"/>
  <c r="F63" i="13"/>
  <c r="F78" i="13"/>
  <c r="F70" i="13"/>
  <c r="F62" i="13"/>
  <c r="F132" i="13"/>
  <c r="F85" i="13"/>
  <c r="F82" i="13"/>
  <c r="F69" i="13"/>
  <c r="F61" i="13"/>
  <c r="F129" i="13"/>
  <c r="D95" i="13"/>
  <c r="F67" i="13"/>
  <c r="F105" i="13"/>
  <c r="F66" i="13"/>
  <c r="F109" i="13"/>
  <c r="F65" i="13"/>
  <c r="F73" i="13"/>
  <c r="F60" i="13"/>
  <c r="L12" i="13"/>
  <c r="N12" i="13" s="1"/>
  <c r="F117" i="13"/>
  <c r="F74" i="13"/>
  <c r="F68" i="13"/>
  <c r="L12" i="9"/>
  <c r="N12" i="9" s="1"/>
  <c r="J235" i="7"/>
  <c r="J229" i="7"/>
  <c r="J221" i="7"/>
  <c r="J209" i="7"/>
  <c r="J205" i="7"/>
  <c r="J201" i="7"/>
  <c r="J197" i="7"/>
  <c r="J193" i="7"/>
  <c r="J177" i="7"/>
  <c r="J171" i="7"/>
  <c r="J165" i="7"/>
  <c r="J149" i="7"/>
  <c r="J145" i="7"/>
  <c r="H134" i="7"/>
  <c r="J125" i="7"/>
  <c r="J117" i="7"/>
  <c r="J109" i="7"/>
  <c r="J101" i="7"/>
  <c r="J93" i="7"/>
  <c r="J85" i="7"/>
  <c r="J224" i="7"/>
  <c r="J220" i="7"/>
  <c r="J214" i="7"/>
  <c r="J208" i="7"/>
  <c r="J204" i="7"/>
  <c r="J200" i="7"/>
  <c r="J196" i="7"/>
  <c r="J192" i="7"/>
  <c r="J188" i="7"/>
  <c r="J182" i="7"/>
  <c r="J176" i="7"/>
  <c r="J168" i="7"/>
  <c r="J164" i="7"/>
  <c r="J158" i="7"/>
  <c r="J144" i="7"/>
  <c r="J227" i="7"/>
  <c r="J217" i="7"/>
  <c r="J207" i="7"/>
  <c r="J199" i="7"/>
  <c r="J195" i="7"/>
  <c r="J191" i="7"/>
  <c r="J185" i="7"/>
  <c r="J179" i="7"/>
  <c r="J173" i="7"/>
  <c r="J167" i="7"/>
  <c r="J161" i="7"/>
  <c r="J155" i="7"/>
  <c r="J143" i="7"/>
  <c r="J137" i="7"/>
  <c r="J230" i="7"/>
  <c r="J190" i="7"/>
  <c r="J170" i="7"/>
  <c r="J154" i="7"/>
  <c r="J148" i="7"/>
  <c r="J142" i="7"/>
  <c r="J130" i="7"/>
  <c r="J122" i="7"/>
  <c r="J114" i="7"/>
  <c r="J106" i="7"/>
  <c r="J98" i="7"/>
  <c r="J223" i="7"/>
  <c r="J219" i="7"/>
  <c r="J213" i="7"/>
  <c r="J203" i="7"/>
  <c r="J187" i="7"/>
  <c r="J181" i="7"/>
  <c r="J175" i="7"/>
  <c r="J163" i="7"/>
  <c r="J157" i="7"/>
  <c r="J153" i="7"/>
  <c r="J141" i="7"/>
  <c r="J129" i="7"/>
  <c r="J121" i="7"/>
  <c r="J113" i="7"/>
  <c r="J105" i="7"/>
  <c r="J97" i="7"/>
  <c r="J89" i="7"/>
  <c r="J83" i="7"/>
  <c r="J231" i="7"/>
  <c r="J215" i="7"/>
  <c r="J211" i="7"/>
  <c r="J189" i="7"/>
  <c r="J183" i="7"/>
  <c r="J169" i="7"/>
  <c r="J159" i="7"/>
  <c r="J151" i="7"/>
  <c r="J147" i="7"/>
  <c r="J139" i="7"/>
  <c r="J127" i="7"/>
  <c r="J119" i="7"/>
  <c r="J111" i="7"/>
  <c r="J103" i="7"/>
  <c r="J95" i="7"/>
  <c r="J226" i="7"/>
  <c r="J222" i="7"/>
  <c r="J218" i="7"/>
  <c r="J210" i="7"/>
  <c r="J202" i="7"/>
  <c r="J186" i="7"/>
  <c r="J180" i="7"/>
  <c r="J174" i="7"/>
  <c r="J206" i="7"/>
  <c r="J150" i="7"/>
  <c r="J120" i="7"/>
  <c r="J116" i="7"/>
  <c r="J102" i="7"/>
  <c r="J84" i="7"/>
  <c r="N12" i="7"/>
  <c r="J194" i="7"/>
  <c r="J178" i="7"/>
  <c r="J146" i="7"/>
  <c r="J134" i="7"/>
  <c r="J132" i="7"/>
  <c r="J107" i="7"/>
  <c r="J87" i="7"/>
  <c r="J86" i="7"/>
  <c r="J184" i="7"/>
  <c r="J166" i="7"/>
  <c r="J136" i="7"/>
  <c r="J94" i="7"/>
  <c r="J88" i="7"/>
  <c r="J228" i="7"/>
  <c r="J198" i="7"/>
  <c r="J140" i="7"/>
  <c r="J128" i="7"/>
  <c r="J124" i="7"/>
  <c r="J123" i="7"/>
  <c r="J118" i="7"/>
  <c r="J112" i="7"/>
  <c r="J108" i="7"/>
  <c r="J99" i="7"/>
  <c r="J212" i="7"/>
  <c r="J172" i="7"/>
  <c r="J162" i="7"/>
  <c r="J90" i="7"/>
  <c r="J216" i="7"/>
  <c r="J138" i="7"/>
  <c r="J104" i="7"/>
  <c r="J100" i="7"/>
  <c r="J91" i="7"/>
  <c r="J152" i="7"/>
  <c r="J126" i="7"/>
  <c r="J115" i="7"/>
  <c r="J110" i="7"/>
  <c r="J160" i="7"/>
  <c r="J96" i="7"/>
  <c r="J156" i="7"/>
  <c r="J131" i="7"/>
  <c r="J92" i="7"/>
  <c r="F231" i="7"/>
  <c r="F222" i="7"/>
  <c r="F218" i="7"/>
  <c r="F210" i="7"/>
  <c r="F202" i="7"/>
  <c r="F189" i="7"/>
  <c r="F186" i="7"/>
  <c r="F174" i="7"/>
  <c r="F169" i="7"/>
  <c r="F162" i="7"/>
  <c r="F150" i="7"/>
  <c r="F146" i="7"/>
  <c r="F138" i="7"/>
  <c r="F126" i="7"/>
  <c r="F118" i="7"/>
  <c r="F110" i="7"/>
  <c r="F102" i="7"/>
  <c r="F94" i="7"/>
  <c r="F86" i="7"/>
  <c r="F235" i="7"/>
  <c r="F226" i="7"/>
  <c r="F221" i="7"/>
  <c r="F209" i="7"/>
  <c r="F205" i="7"/>
  <c r="F201" i="7"/>
  <c r="F197" i="7"/>
  <c r="F193" i="7"/>
  <c r="F180" i="7"/>
  <c r="F177" i="7"/>
  <c r="F165" i="7"/>
  <c r="F156" i="7"/>
  <c r="F149" i="7"/>
  <c r="F145" i="7"/>
  <c r="F229" i="7"/>
  <c r="F224" i="7"/>
  <c r="F220" i="7"/>
  <c r="F208" i="7"/>
  <c r="F204" i="7"/>
  <c r="F200" i="7"/>
  <c r="F196" i="7"/>
  <c r="F192" i="7"/>
  <c r="F188" i="7"/>
  <c r="F176" i="7"/>
  <c r="F171" i="7"/>
  <c r="F168" i="7"/>
  <c r="F164" i="7"/>
  <c r="F144" i="7"/>
  <c r="F214" i="7"/>
  <c r="F207" i="7"/>
  <c r="F199" i="7"/>
  <c r="F195" i="7"/>
  <c r="F191" i="7"/>
  <c r="F182" i="7"/>
  <c r="F179" i="7"/>
  <c r="F167" i="7"/>
  <c r="F158" i="7"/>
  <c r="F155" i="7"/>
  <c r="F143" i="7"/>
  <c r="F131" i="7"/>
  <c r="F123" i="7"/>
  <c r="F115" i="7"/>
  <c r="F107" i="7"/>
  <c r="F99" i="7"/>
  <c r="F91" i="7"/>
  <c r="F227" i="7"/>
  <c r="F217" i="7"/>
  <c r="F190" i="7"/>
  <c r="F185" i="7"/>
  <c r="F173" i="7"/>
  <c r="F170" i="7"/>
  <c r="F161" i="7"/>
  <c r="F154" i="7"/>
  <c r="F142" i="7"/>
  <c r="F137" i="7"/>
  <c r="F136" i="7"/>
  <c r="F130" i="7"/>
  <c r="F122" i="7"/>
  <c r="F114" i="7"/>
  <c r="F106" i="7"/>
  <c r="F98" i="7"/>
  <c r="F90" i="7"/>
  <c r="F223" i="7"/>
  <c r="F219" i="7"/>
  <c r="F216" i="7"/>
  <c r="F212" i="7"/>
  <c r="F203" i="7"/>
  <c r="F187" i="7"/>
  <c r="F184" i="7"/>
  <c r="F175" i="7"/>
  <c r="F172" i="7"/>
  <c r="F163" i="7"/>
  <c r="F160" i="7"/>
  <c r="F152" i="7"/>
  <c r="F140" i="7"/>
  <c r="F128" i="7"/>
  <c r="F120" i="7"/>
  <c r="F112" i="7"/>
  <c r="F104" i="7"/>
  <c r="F96" i="7"/>
  <c r="F228" i="7"/>
  <c r="F215" i="7"/>
  <c r="F211" i="7"/>
  <c r="F206" i="7"/>
  <c r="F198" i="7"/>
  <c r="F194" i="7"/>
  <c r="F183" i="7"/>
  <c r="F178" i="7"/>
  <c r="F153" i="7"/>
  <c r="F127" i="7"/>
  <c r="F121" i="7"/>
  <c r="F111" i="7"/>
  <c r="F93" i="7"/>
  <c r="F92" i="7"/>
  <c r="F85" i="7"/>
  <c r="F157" i="7"/>
  <c r="F117" i="7"/>
  <c r="F116" i="7"/>
  <c r="F84" i="7"/>
  <c r="L12" i="7"/>
  <c r="F151" i="7"/>
  <c r="F132" i="7"/>
  <c r="F103" i="7"/>
  <c r="F89" i="7"/>
  <c r="F87" i="7"/>
  <c r="F83" i="7"/>
  <c r="F181" i="7"/>
  <c r="F159" i="7"/>
  <c r="F147" i="7"/>
  <c r="D134" i="7"/>
  <c r="F129" i="7"/>
  <c r="F113" i="7"/>
  <c r="F88" i="7"/>
  <c r="F166" i="7"/>
  <c r="F125" i="7"/>
  <c r="F124" i="7"/>
  <c r="F109" i="7"/>
  <c r="F108" i="7"/>
  <c r="F95" i="7"/>
  <c r="F141" i="7"/>
  <c r="F119" i="7"/>
  <c r="F105" i="7"/>
  <c r="F213" i="7"/>
  <c r="F148" i="7"/>
  <c r="F101" i="7"/>
  <c r="F100" i="7"/>
  <c r="F139" i="7"/>
  <c r="F230" i="7"/>
  <c r="F97" i="7"/>
  <c r="T278" i="3"/>
  <c r="H33" i="41" l="1"/>
  <c r="J29" i="41"/>
  <c r="L53" i="37"/>
  <c r="D105" i="37"/>
  <c r="H81" i="39"/>
  <c r="H32" i="53"/>
  <c r="L28" i="53"/>
  <c r="N28" i="53" s="1"/>
  <c r="J28" i="53"/>
  <c r="P88" i="12"/>
  <c r="X32" i="12"/>
  <c r="P54" i="26"/>
  <c r="X51" i="26"/>
  <c r="T233" i="7"/>
  <c r="D109" i="28"/>
  <c r="P42" i="48"/>
  <c r="X38" i="48"/>
  <c r="P32" i="53"/>
  <c r="P31" i="62"/>
  <c r="L59" i="32"/>
  <c r="D119" i="32"/>
  <c r="X134" i="7"/>
  <c r="Z134" i="7" s="1"/>
  <c r="P233" i="7"/>
  <c r="P89" i="36"/>
  <c r="X85" i="36"/>
  <c r="R85" i="36"/>
  <c r="H38" i="59"/>
  <c r="N19" i="59"/>
  <c r="D53" i="57"/>
  <c r="L49" i="57"/>
  <c r="H45" i="29"/>
  <c r="N42" i="29"/>
  <c r="L42" i="29"/>
  <c r="H149" i="35"/>
  <c r="D89" i="36"/>
  <c r="F85" i="36"/>
  <c r="H91" i="51"/>
  <c r="J87" i="51"/>
  <c r="T86" i="58"/>
  <c r="V82" i="58"/>
  <c r="X17" i="63"/>
  <c r="Z17" i="63" s="1"/>
  <c r="P66" i="63"/>
  <c r="H50" i="33"/>
  <c r="P36" i="41"/>
  <c r="R33" i="41"/>
  <c r="H30" i="44"/>
  <c r="D86" i="47"/>
  <c r="L82" i="47"/>
  <c r="N82" i="47" s="1"/>
  <c r="L21" i="60"/>
  <c r="N21" i="60" s="1"/>
  <c r="D87" i="60"/>
  <c r="H278" i="3"/>
  <c r="H97" i="5"/>
  <c r="T108" i="16"/>
  <c r="V24" i="16"/>
  <c r="T84" i="45"/>
  <c r="X84" i="45" s="1"/>
  <c r="P243" i="6"/>
  <c r="X141" i="6"/>
  <c r="P257" i="8"/>
  <c r="X156" i="8"/>
  <c r="X17" i="18"/>
  <c r="Z17" i="18" s="1"/>
  <c r="P66" i="18"/>
  <c r="N53" i="37"/>
  <c r="H105" i="37"/>
  <c r="J53" i="37"/>
  <c r="D42" i="48"/>
  <c r="L38" i="48"/>
  <c r="N38" i="48" s="1"/>
  <c r="H177" i="13"/>
  <c r="D112" i="16"/>
  <c r="L108" i="16"/>
  <c r="F108" i="16"/>
  <c r="P35" i="21"/>
  <c r="X31" i="21"/>
  <c r="Z31" i="21" s="1"/>
  <c r="D153" i="35"/>
  <c r="F149" i="35"/>
  <c r="P50" i="33"/>
  <c r="X21" i="33"/>
  <c r="Z21" i="33" s="1"/>
  <c r="T282" i="3"/>
  <c r="V278" i="3"/>
  <c r="P118" i="43"/>
  <c r="X56" i="43"/>
  <c r="Z56" i="43" s="1"/>
  <c r="T30" i="44"/>
  <c r="Z20" i="44"/>
  <c r="T177" i="13"/>
  <c r="D35" i="21"/>
  <c r="L31" i="21"/>
  <c r="T99" i="30"/>
  <c r="D50" i="33"/>
  <c r="L21" i="33"/>
  <c r="N21" i="33" s="1"/>
  <c r="D51" i="40"/>
  <c r="H83" i="61"/>
  <c r="N21" i="61"/>
  <c r="D118" i="14"/>
  <c r="L27" i="14"/>
  <c r="T70" i="18"/>
  <c r="V66" i="18"/>
  <c r="D73" i="24"/>
  <c r="L69" i="24"/>
  <c r="T77" i="39"/>
  <c r="P83" i="42"/>
  <c r="X79" i="42"/>
  <c r="Z79" i="42" s="1"/>
  <c r="R79" i="42"/>
  <c r="H74" i="52"/>
  <c r="Z21" i="61"/>
  <c r="T83" i="61"/>
  <c r="T37" i="50"/>
  <c r="Z18" i="50"/>
  <c r="P26" i="4"/>
  <c r="X22" i="4"/>
  <c r="P171" i="11"/>
  <c r="R167" i="11"/>
  <c r="D74" i="52"/>
  <c r="L70" i="52"/>
  <c r="N70" i="52" s="1"/>
  <c r="H53" i="57"/>
  <c r="N49" i="57"/>
  <c r="L86" i="11"/>
  <c r="D167" i="11"/>
  <c r="T38" i="21"/>
  <c r="H68" i="23"/>
  <c r="N64" i="23"/>
  <c r="H85" i="36"/>
  <c r="N30" i="36"/>
  <c r="J30" i="36"/>
  <c r="D82" i="58"/>
  <c r="L21" i="58"/>
  <c r="T257" i="8"/>
  <c r="Z156" i="8"/>
  <c r="T26" i="20"/>
  <c r="Z22" i="20"/>
  <c r="D60" i="31"/>
  <c r="L23" i="31"/>
  <c r="N23" i="31" s="1"/>
  <c r="T43" i="49"/>
  <c r="Z39" i="49"/>
  <c r="P50" i="27"/>
  <c r="X46" i="27"/>
  <c r="Z46" i="27" s="1"/>
  <c r="T60" i="31"/>
  <c r="P46" i="49"/>
  <c r="P282" i="3"/>
  <c r="X278" i="3"/>
  <c r="Z278" i="3" s="1"/>
  <c r="R278" i="3"/>
  <c r="P123" i="15"/>
  <c r="X119" i="15"/>
  <c r="R119" i="15"/>
  <c r="H167" i="11"/>
  <c r="N86" i="11"/>
  <c r="T97" i="9"/>
  <c r="Z30" i="9"/>
  <c r="N69" i="24"/>
  <c r="H73" i="24"/>
  <c r="T28" i="53"/>
  <c r="X28" i="53" s="1"/>
  <c r="Z18" i="53"/>
  <c r="L19" i="59"/>
  <c r="D73" i="63"/>
  <c r="F70" i="63"/>
  <c r="D83" i="61"/>
  <c r="L21" i="61"/>
  <c r="H45" i="48"/>
  <c r="H105" i="19"/>
  <c r="P177" i="13"/>
  <c r="X95" i="13"/>
  <c r="Z95" i="13" s="1"/>
  <c r="T48" i="40"/>
  <c r="H118" i="14"/>
  <c r="N27" i="14"/>
  <c r="P31" i="64"/>
  <c r="X27" i="64"/>
  <c r="T53" i="56"/>
  <c r="T26" i="4"/>
  <c r="Z22" i="4"/>
  <c r="H70" i="18"/>
  <c r="J66" i="18"/>
  <c r="P86" i="47"/>
  <c r="X82" i="47"/>
  <c r="Z82" i="47" s="1"/>
  <c r="D42" i="59"/>
  <c r="L38" i="59"/>
  <c r="D95" i="17"/>
  <c r="L23" i="17"/>
  <c r="D88" i="12"/>
  <c r="L32" i="12"/>
  <c r="F32" i="12"/>
  <c r="P105" i="19"/>
  <c r="X53" i="19"/>
  <c r="Z53" i="19" s="1"/>
  <c r="H119" i="15"/>
  <c r="P73" i="24"/>
  <c r="X69" i="24"/>
  <c r="P60" i="31"/>
  <c r="X23" i="31"/>
  <c r="Z23" i="31" s="1"/>
  <c r="P77" i="39"/>
  <c r="X23" i="39"/>
  <c r="Z23" i="39" s="1"/>
  <c r="H86" i="47"/>
  <c r="R134" i="7"/>
  <c r="F27" i="14"/>
  <c r="D73" i="22"/>
  <c r="L69" i="22"/>
  <c r="N69" i="22" s="1"/>
  <c r="N35" i="55"/>
  <c r="H38" i="55"/>
  <c r="T70" i="63"/>
  <c r="V66" i="63"/>
  <c r="T45" i="29"/>
  <c r="P41" i="50"/>
  <c r="X37" i="50"/>
  <c r="P94" i="60"/>
  <c r="R91" i="60"/>
  <c r="T123" i="15"/>
  <c r="Z119" i="15"/>
  <c r="V119" i="15"/>
  <c r="H50" i="27"/>
  <c r="N46" i="27"/>
  <c r="L46" i="27"/>
  <c r="T119" i="32"/>
  <c r="P56" i="56"/>
  <c r="X53" i="56"/>
  <c r="R53" i="56"/>
  <c r="F21" i="60"/>
  <c r="H112" i="16"/>
  <c r="N108" i="16"/>
  <c r="J108" i="16"/>
  <c r="X23" i="17"/>
  <c r="P95" i="17"/>
  <c r="N21" i="58"/>
  <c r="H82" i="58"/>
  <c r="D53" i="56"/>
  <c r="L49" i="56"/>
  <c r="N49" i="56" s="1"/>
  <c r="F49" i="56"/>
  <c r="P83" i="61"/>
  <c r="X21" i="61"/>
  <c r="R141" i="6"/>
  <c r="T119" i="10"/>
  <c r="Z59" i="10"/>
  <c r="X50" i="30"/>
  <c r="Z50" i="30" s="1"/>
  <c r="P99" i="30"/>
  <c r="P119" i="32"/>
  <c r="X59" i="32"/>
  <c r="Z59" i="32" s="1"/>
  <c r="R59" i="32"/>
  <c r="X20" i="45"/>
  <c r="Z20" i="45" s="1"/>
  <c r="D119" i="15"/>
  <c r="L33" i="15"/>
  <c r="N33" i="15" s="1"/>
  <c r="H95" i="17"/>
  <c r="N23" i="17"/>
  <c r="P60" i="25"/>
  <c r="X56" i="25"/>
  <c r="X20" i="44"/>
  <c r="T38" i="59"/>
  <c r="Z19" i="59"/>
  <c r="D28" i="62"/>
  <c r="L24" i="62"/>
  <c r="N24" i="62" s="1"/>
  <c r="D26" i="20"/>
  <c r="L22" i="20"/>
  <c r="X84" i="35"/>
  <c r="P149" i="35"/>
  <c r="L77" i="39"/>
  <c r="N77" i="39" s="1"/>
  <c r="D81" i="39"/>
  <c r="F77" i="39"/>
  <c r="L56" i="43"/>
  <c r="D118" i="43"/>
  <c r="J20" i="44"/>
  <c r="X49" i="56"/>
  <c r="Z49" i="56" s="1"/>
  <c r="X31" i="55"/>
  <c r="P35" i="55"/>
  <c r="T91" i="51"/>
  <c r="Z87" i="51"/>
  <c r="V87" i="51"/>
  <c r="J168" i="3"/>
  <c r="T88" i="12"/>
  <c r="Z32" i="12"/>
  <c r="L64" i="23"/>
  <c r="T106" i="28"/>
  <c r="Z102" i="28"/>
  <c r="D31" i="64"/>
  <c r="L27" i="64"/>
  <c r="H97" i="9"/>
  <c r="N30" i="9"/>
  <c r="X24" i="16"/>
  <c r="Z24" i="16" s="1"/>
  <c r="H36" i="54"/>
  <c r="L32" i="54"/>
  <c r="N32" i="54" s="1"/>
  <c r="T94" i="5"/>
  <c r="Z90" i="5"/>
  <c r="F33" i="15"/>
  <c r="T105" i="19"/>
  <c r="V53" i="19"/>
  <c r="P34" i="44"/>
  <c r="X30" i="44"/>
  <c r="R30" i="44"/>
  <c r="D29" i="41"/>
  <c r="L23" i="41"/>
  <c r="N23" i="41" s="1"/>
  <c r="H83" i="42"/>
  <c r="X59" i="10"/>
  <c r="P119" i="10"/>
  <c r="T29" i="41"/>
  <c r="X23" i="41"/>
  <c r="Z23" i="41" s="1"/>
  <c r="T68" i="23"/>
  <c r="P56" i="57"/>
  <c r="T89" i="36"/>
  <c r="Z85" i="36"/>
  <c r="V85" i="36"/>
  <c r="Z87" i="60"/>
  <c r="T91" i="60"/>
  <c r="X91" i="60" s="1"/>
  <c r="V87" i="60"/>
  <c r="R59" i="10"/>
  <c r="H233" i="7"/>
  <c r="N134" i="7"/>
  <c r="P122" i="14"/>
  <c r="X118" i="14"/>
  <c r="R118" i="14"/>
  <c r="R23" i="31"/>
  <c r="D41" i="50"/>
  <c r="T42" i="48"/>
  <c r="Z38" i="48"/>
  <c r="R32" i="12"/>
  <c r="T122" i="14"/>
  <c r="Z118" i="14"/>
  <c r="V118" i="14"/>
  <c r="H51" i="26"/>
  <c r="N47" i="26"/>
  <c r="L47" i="26"/>
  <c r="H106" i="28"/>
  <c r="N102" i="28"/>
  <c r="V23" i="39"/>
  <c r="F53" i="37"/>
  <c r="H53" i="56"/>
  <c r="D26" i="4"/>
  <c r="L22" i="4"/>
  <c r="H31" i="62"/>
  <c r="N27" i="64"/>
  <c r="H31" i="64"/>
  <c r="D103" i="30"/>
  <c r="V134" i="7"/>
  <c r="N156" i="8"/>
  <c r="H257" i="8"/>
  <c r="T54" i="26"/>
  <c r="Z51" i="26"/>
  <c r="T105" i="37"/>
  <c r="P74" i="52"/>
  <c r="X70" i="52"/>
  <c r="Z70" i="52" s="1"/>
  <c r="R23" i="17"/>
  <c r="D243" i="6"/>
  <c r="L141" i="6"/>
  <c r="N141" i="6" s="1"/>
  <c r="H119" i="10"/>
  <c r="V156" i="8"/>
  <c r="D71" i="23"/>
  <c r="L68" i="23"/>
  <c r="D83" i="42"/>
  <c r="L79" i="42"/>
  <c r="N79" i="42" s="1"/>
  <c r="F79" i="42"/>
  <c r="T83" i="42"/>
  <c r="D43" i="49"/>
  <c r="L39" i="49"/>
  <c r="H91" i="60"/>
  <c r="J87" i="60"/>
  <c r="N59" i="32"/>
  <c r="H119" i="32"/>
  <c r="P112" i="16"/>
  <c r="X108" i="16"/>
  <c r="R108" i="16"/>
  <c r="Z69" i="24"/>
  <c r="T73" i="24"/>
  <c r="N32" i="46"/>
  <c r="H36" i="46"/>
  <c r="L20" i="51"/>
  <c r="N20" i="51" s="1"/>
  <c r="D87" i="51"/>
  <c r="J95" i="13"/>
  <c r="N31" i="21"/>
  <c r="H35" i="21"/>
  <c r="N39" i="49"/>
  <c r="H43" i="49"/>
  <c r="F23" i="17"/>
  <c r="H64" i="31"/>
  <c r="T54" i="33"/>
  <c r="D60" i="25"/>
  <c r="L56" i="25"/>
  <c r="N56" i="25" s="1"/>
  <c r="D36" i="46"/>
  <c r="L32" i="46"/>
  <c r="D101" i="9"/>
  <c r="L97" i="9"/>
  <c r="F97" i="9"/>
  <c r="P88" i="45"/>
  <c r="R84" i="45"/>
  <c r="X97" i="9"/>
  <c r="P101" i="9"/>
  <c r="R97" i="9"/>
  <c r="P106" i="28"/>
  <c r="X102" i="28"/>
  <c r="R56" i="43"/>
  <c r="H48" i="40"/>
  <c r="N44" i="40"/>
  <c r="D257" i="8"/>
  <c r="L156" i="8"/>
  <c r="T95" i="17"/>
  <c r="Z23" i="17"/>
  <c r="T73" i="22"/>
  <c r="T122" i="43"/>
  <c r="V118" i="43"/>
  <c r="T149" i="35"/>
  <c r="Z84" i="35"/>
  <c r="D38" i="55"/>
  <c r="L38" i="55" s="1"/>
  <c r="L35" i="55"/>
  <c r="H66" i="63"/>
  <c r="L17" i="63"/>
  <c r="N17" i="63" s="1"/>
  <c r="J17" i="63"/>
  <c r="F86" i="11"/>
  <c r="R95" i="13"/>
  <c r="H118" i="43"/>
  <c r="N56" i="43"/>
  <c r="P48" i="40"/>
  <c r="X44" i="40"/>
  <c r="Z44" i="40" s="1"/>
  <c r="H37" i="50"/>
  <c r="L37" i="50" s="1"/>
  <c r="N18" i="50"/>
  <c r="D278" i="3"/>
  <c r="L168" i="3"/>
  <c r="N168" i="3" s="1"/>
  <c r="X22" i="20"/>
  <c r="T60" i="25"/>
  <c r="Z56" i="25"/>
  <c r="D97" i="5"/>
  <c r="L97" i="5" s="1"/>
  <c r="L94" i="5"/>
  <c r="N94" i="5" s="1"/>
  <c r="T243" i="6"/>
  <c r="Z141" i="6"/>
  <c r="H63" i="25"/>
  <c r="R50" i="30"/>
  <c r="L20" i="44"/>
  <c r="N20" i="44" s="1"/>
  <c r="P91" i="51"/>
  <c r="X87" i="51"/>
  <c r="R87" i="51"/>
  <c r="P36" i="54"/>
  <c r="X32" i="54"/>
  <c r="V30" i="9"/>
  <c r="P73" i="22"/>
  <c r="X69" i="22"/>
  <c r="Z69" i="22" s="1"/>
  <c r="P38" i="59"/>
  <c r="X19" i="59"/>
  <c r="L59" i="10"/>
  <c r="N59" i="10" s="1"/>
  <c r="D119" i="10"/>
  <c r="P68" i="23"/>
  <c r="X64" i="23"/>
  <c r="Z64" i="23" s="1"/>
  <c r="L134" i="7"/>
  <c r="D233" i="7"/>
  <c r="H88" i="12"/>
  <c r="N32" i="12"/>
  <c r="H76" i="22"/>
  <c r="F134" i="7"/>
  <c r="D177" i="13"/>
  <c r="L95" i="13"/>
  <c r="N95" i="13" s="1"/>
  <c r="F59" i="10"/>
  <c r="H88" i="45"/>
  <c r="Z49" i="57"/>
  <c r="T53" i="57"/>
  <c r="X53" i="57" s="1"/>
  <c r="P82" i="58"/>
  <c r="X21" i="58"/>
  <c r="Z21" i="58" s="1"/>
  <c r="R21" i="58"/>
  <c r="H247" i="6"/>
  <c r="J243" i="6"/>
  <c r="H99" i="30"/>
  <c r="L99" i="30" s="1"/>
  <c r="N50" i="30"/>
  <c r="L30" i="36"/>
  <c r="L20" i="45"/>
  <c r="D84" i="45"/>
  <c r="D66" i="18"/>
  <c r="L17" i="18"/>
  <c r="N17" i="18" s="1"/>
  <c r="F17" i="18"/>
  <c r="N22" i="4"/>
  <c r="H26" i="4"/>
  <c r="P42" i="29"/>
  <c r="X38" i="29"/>
  <c r="Z38" i="29" s="1"/>
  <c r="V20" i="44"/>
  <c r="T35" i="55"/>
  <c r="Z31" i="55"/>
  <c r="P31" i="20"/>
  <c r="X26" i="20"/>
  <c r="J27" i="14"/>
  <c r="X32" i="46"/>
  <c r="Z32" i="46" s="1"/>
  <c r="P36" i="46"/>
  <c r="T31" i="64"/>
  <c r="Z27" i="64"/>
  <c r="J59" i="32"/>
  <c r="V141" i="6"/>
  <c r="R156" i="8"/>
  <c r="D34" i="44"/>
  <c r="L30" i="44"/>
  <c r="T36" i="54"/>
  <c r="Z32" i="54"/>
  <c r="T28" i="62"/>
  <c r="Z24" i="62"/>
  <c r="X53" i="37"/>
  <c r="Z53" i="37" s="1"/>
  <c r="P105" i="37"/>
  <c r="P94" i="5"/>
  <c r="X90" i="5"/>
  <c r="T167" i="11"/>
  <c r="Z86" i="11"/>
  <c r="J23" i="17"/>
  <c r="L84" i="35"/>
  <c r="N84" i="35" s="1"/>
  <c r="V18" i="53"/>
  <c r="D105" i="19"/>
  <c r="L53" i="19"/>
  <c r="N53" i="19" s="1"/>
  <c r="T86" i="47"/>
  <c r="T77" i="52"/>
  <c r="P51" i="40" l="1"/>
  <c r="X48" i="40"/>
  <c r="T125" i="14"/>
  <c r="V122" i="14"/>
  <c r="T33" i="41"/>
  <c r="Z29" i="41"/>
  <c r="X29" i="41"/>
  <c r="V29" i="41"/>
  <c r="T97" i="5"/>
  <c r="D36" i="64"/>
  <c r="L31" i="64"/>
  <c r="H99" i="17"/>
  <c r="J95" i="17"/>
  <c r="L53" i="56"/>
  <c r="D56" i="56"/>
  <c r="F53" i="56"/>
  <c r="H53" i="27"/>
  <c r="N50" i="27"/>
  <c r="L50" i="27"/>
  <c r="P44" i="50"/>
  <c r="P81" i="39"/>
  <c r="X77" i="39"/>
  <c r="R77" i="39"/>
  <c r="P109" i="19"/>
  <c r="X105" i="19"/>
  <c r="R105" i="19"/>
  <c r="H89" i="36"/>
  <c r="J85" i="36"/>
  <c r="H56" i="57"/>
  <c r="P31" i="4"/>
  <c r="X26" i="4"/>
  <c r="D54" i="33"/>
  <c r="L50" i="33"/>
  <c r="N50" i="33" s="1"/>
  <c r="T34" i="44"/>
  <c r="Z30" i="44"/>
  <c r="V30" i="44"/>
  <c r="L87" i="60"/>
  <c r="N87" i="60" s="1"/>
  <c r="D91" i="60"/>
  <c r="F87" i="60"/>
  <c r="R36" i="41"/>
  <c r="P94" i="51"/>
  <c r="X91" i="51"/>
  <c r="R91" i="51"/>
  <c r="D39" i="46"/>
  <c r="L36" i="46"/>
  <c r="D247" i="6"/>
  <c r="L243" i="6"/>
  <c r="N243" i="6" s="1"/>
  <c r="F243" i="6"/>
  <c r="D122" i="43"/>
  <c r="L118" i="43"/>
  <c r="F118" i="43"/>
  <c r="H282" i="3"/>
  <c r="J278" i="3"/>
  <c r="H153" i="35"/>
  <c r="J149" i="35"/>
  <c r="D86" i="42"/>
  <c r="L83" i="42"/>
  <c r="F83" i="42"/>
  <c r="L28" i="62"/>
  <c r="N28" i="62" s="1"/>
  <c r="D31" i="62"/>
  <c r="L31" i="62" s="1"/>
  <c r="N31" i="62" s="1"/>
  <c r="H86" i="58"/>
  <c r="H73" i="18"/>
  <c r="J70" i="18"/>
  <c r="H122" i="14"/>
  <c r="J118" i="14"/>
  <c r="T32" i="53"/>
  <c r="Z28" i="53"/>
  <c r="V28" i="53"/>
  <c r="T64" i="31"/>
  <c r="T31" i="20"/>
  <c r="Z26" i="20"/>
  <c r="P86" i="42"/>
  <c r="X83" i="42"/>
  <c r="R83" i="42"/>
  <c r="L149" i="35"/>
  <c r="N149" i="35" s="1"/>
  <c r="H181" i="13"/>
  <c r="J177" i="13"/>
  <c r="P70" i="18"/>
  <c r="X66" i="18"/>
  <c r="Z66" i="18" s="1"/>
  <c r="R66" i="18"/>
  <c r="H54" i="33"/>
  <c r="P92" i="36"/>
  <c r="X89" i="36"/>
  <c r="R89" i="36"/>
  <c r="P35" i="53"/>
  <c r="X32" i="53"/>
  <c r="X54" i="26"/>
  <c r="H84" i="39"/>
  <c r="H46" i="49"/>
  <c r="N43" i="49"/>
  <c r="P103" i="30"/>
  <c r="X99" i="30"/>
  <c r="R99" i="30"/>
  <c r="H171" i="11"/>
  <c r="J167" i="11"/>
  <c r="H35" i="53"/>
  <c r="N32" i="53"/>
  <c r="J32" i="53"/>
  <c r="L32" i="53"/>
  <c r="T31" i="62"/>
  <c r="H91" i="45"/>
  <c r="T63" i="25"/>
  <c r="D63" i="25"/>
  <c r="L63" i="25" s="1"/>
  <c r="L60" i="25"/>
  <c r="N60" i="25" s="1"/>
  <c r="P125" i="14"/>
  <c r="X122" i="14"/>
  <c r="Z122" i="14" s="1"/>
  <c r="R122" i="14"/>
  <c r="H122" i="43"/>
  <c r="N118" i="43"/>
  <c r="J118" i="43"/>
  <c r="P91" i="45"/>
  <c r="R88" i="45"/>
  <c r="D31" i="4"/>
  <c r="L26" i="4"/>
  <c r="P123" i="10"/>
  <c r="X119" i="10"/>
  <c r="Z119" i="10" s="1"/>
  <c r="R119" i="10"/>
  <c r="Z91" i="51"/>
  <c r="T94" i="51"/>
  <c r="V91" i="51"/>
  <c r="D84" i="39"/>
  <c r="L81" i="39"/>
  <c r="N81" i="39" s="1"/>
  <c r="F81" i="39"/>
  <c r="D123" i="15"/>
  <c r="L119" i="15"/>
  <c r="F119" i="15"/>
  <c r="T123" i="10"/>
  <c r="V119" i="10"/>
  <c r="D76" i="22"/>
  <c r="L76" i="22" s="1"/>
  <c r="L73" i="22"/>
  <c r="N73" i="22" s="1"/>
  <c r="P64" i="31"/>
  <c r="X60" i="31"/>
  <c r="Z60" i="31" s="1"/>
  <c r="R60" i="31"/>
  <c r="X86" i="47"/>
  <c r="Z86" i="47" s="1"/>
  <c r="P89" i="47"/>
  <c r="H76" i="24"/>
  <c r="P126" i="15"/>
  <c r="X123" i="15"/>
  <c r="Z123" i="15" s="1"/>
  <c r="R123" i="15"/>
  <c r="H71" i="23"/>
  <c r="L71" i="23" s="1"/>
  <c r="N68" i="23"/>
  <c r="D77" i="52"/>
  <c r="L74" i="52"/>
  <c r="T41" i="50"/>
  <c r="Z37" i="50"/>
  <c r="V37" i="50"/>
  <c r="D122" i="14"/>
  <c r="L118" i="14"/>
  <c r="N118" i="14" s="1"/>
  <c r="F118" i="14"/>
  <c r="T103" i="30"/>
  <c r="Z99" i="30"/>
  <c r="V99" i="30"/>
  <c r="P122" i="43"/>
  <c r="X118" i="43"/>
  <c r="Z118" i="43" s="1"/>
  <c r="R118" i="43"/>
  <c r="L153" i="35"/>
  <c r="D156" i="35"/>
  <c r="F153" i="35"/>
  <c r="T112" i="16"/>
  <c r="Z108" i="16"/>
  <c r="V108" i="16"/>
  <c r="H94" i="51"/>
  <c r="J91" i="51"/>
  <c r="N45" i="29"/>
  <c r="L45" i="29"/>
  <c r="P237" i="7"/>
  <c r="X233" i="7"/>
  <c r="R233" i="7"/>
  <c r="D109" i="37"/>
  <c r="L105" i="37"/>
  <c r="F105" i="37"/>
  <c r="Z54" i="26"/>
  <c r="D33" i="41"/>
  <c r="L29" i="41"/>
  <c r="N29" i="41" s="1"/>
  <c r="F29" i="41"/>
  <c r="H109" i="19"/>
  <c r="N105" i="19"/>
  <c r="J105" i="19"/>
  <c r="T73" i="18"/>
  <c r="V70" i="18"/>
  <c r="H51" i="40"/>
  <c r="H250" i="6"/>
  <c r="J247" i="6"/>
  <c r="P77" i="52"/>
  <c r="X77" i="52" s="1"/>
  <c r="X74" i="52"/>
  <c r="Z74" i="52" s="1"/>
  <c r="H109" i="28"/>
  <c r="T92" i="36"/>
  <c r="Z89" i="36"/>
  <c r="V89" i="36"/>
  <c r="T171" i="11"/>
  <c r="V167" i="11"/>
  <c r="T39" i="54"/>
  <c r="Z36" i="54"/>
  <c r="X36" i="46"/>
  <c r="Z36" i="46" s="1"/>
  <c r="P39" i="46"/>
  <c r="X39" i="46" s="1"/>
  <c r="Z39" i="46" s="1"/>
  <c r="D88" i="45"/>
  <c r="L84" i="45"/>
  <c r="N84" i="45" s="1"/>
  <c r="F84" i="45"/>
  <c r="P42" i="59"/>
  <c r="X38" i="59"/>
  <c r="R38" i="59"/>
  <c r="N63" i="25"/>
  <c r="T76" i="22"/>
  <c r="Z73" i="22"/>
  <c r="T57" i="33"/>
  <c r="D46" i="49"/>
  <c r="L46" i="49" s="1"/>
  <c r="L43" i="49"/>
  <c r="T45" i="48"/>
  <c r="H237" i="7"/>
  <c r="J233" i="7"/>
  <c r="H39" i="54"/>
  <c r="N36" i="54"/>
  <c r="L36" i="54"/>
  <c r="T109" i="28"/>
  <c r="P38" i="55"/>
  <c r="X35" i="55"/>
  <c r="Z35" i="55" s="1"/>
  <c r="T42" i="59"/>
  <c r="Z38" i="59"/>
  <c r="P99" i="17"/>
  <c r="X95" i="17"/>
  <c r="R95" i="17"/>
  <c r="R56" i="56"/>
  <c r="T126" i="15"/>
  <c r="V123" i="15"/>
  <c r="L88" i="12"/>
  <c r="N88" i="12" s="1"/>
  <c r="D92" i="12"/>
  <c r="F88" i="12"/>
  <c r="T31" i="4"/>
  <c r="Z26" i="4"/>
  <c r="T51" i="40"/>
  <c r="Z48" i="40"/>
  <c r="L83" i="61"/>
  <c r="D87" i="61"/>
  <c r="P53" i="27"/>
  <c r="X53" i="27" s="1"/>
  <c r="Z53" i="27" s="1"/>
  <c r="X50" i="27"/>
  <c r="Z50" i="27" s="1"/>
  <c r="T261" i="8"/>
  <c r="V257" i="8"/>
  <c r="T87" i="61"/>
  <c r="Z77" i="39"/>
  <c r="T81" i="39"/>
  <c r="V77" i="39"/>
  <c r="D45" i="48"/>
  <c r="L45" i="48" s="1"/>
  <c r="N45" i="48" s="1"/>
  <c r="L42" i="48"/>
  <c r="N42" i="48" s="1"/>
  <c r="D89" i="47"/>
  <c r="L86" i="47"/>
  <c r="P70" i="63"/>
  <c r="X66" i="63"/>
  <c r="Z66" i="63" s="1"/>
  <c r="R66" i="63"/>
  <c r="P45" i="48"/>
  <c r="X45" i="48" s="1"/>
  <c r="X42" i="48"/>
  <c r="Z42" i="48" s="1"/>
  <c r="P92" i="12"/>
  <c r="X88" i="12"/>
  <c r="Z88" i="12" s="1"/>
  <c r="R88" i="12"/>
  <c r="H103" i="30"/>
  <c r="N99" i="30"/>
  <c r="D261" i="8"/>
  <c r="L257" i="8"/>
  <c r="F257" i="8"/>
  <c r="X31" i="64"/>
  <c r="P36" i="64"/>
  <c r="T237" i="7"/>
  <c r="Z233" i="7"/>
  <c r="V233" i="7"/>
  <c r="H261" i="8"/>
  <c r="N257" i="8"/>
  <c r="J257" i="8"/>
  <c r="T38" i="55"/>
  <c r="T36" i="64"/>
  <c r="Z36" i="64" s="1"/>
  <c r="Z31" i="64"/>
  <c r="D237" i="7"/>
  <c r="L233" i="7"/>
  <c r="N233" i="7" s="1"/>
  <c r="F233" i="7"/>
  <c r="H70" i="63"/>
  <c r="J66" i="63"/>
  <c r="L66" i="63"/>
  <c r="N66" i="63" s="1"/>
  <c r="P37" i="44"/>
  <c r="X34" i="44"/>
  <c r="R34" i="44"/>
  <c r="T89" i="47"/>
  <c r="P45" i="29"/>
  <c r="X45" i="29" s="1"/>
  <c r="Z45" i="29" s="1"/>
  <c r="X42" i="29"/>
  <c r="Z42" i="29" s="1"/>
  <c r="D181" i="13"/>
  <c r="L177" i="13"/>
  <c r="N177" i="13" s="1"/>
  <c r="F177" i="13"/>
  <c r="P39" i="54"/>
  <c r="X39" i="54" s="1"/>
  <c r="X36" i="54"/>
  <c r="D282" i="3"/>
  <c r="L278" i="3"/>
  <c r="N278" i="3" s="1"/>
  <c r="F278" i="3"/>
  <c r="P109" i="28"/>
  <c r="X109" i="28" s="1"/>
  <c r="X106" i="28"/>
  <c r="Z106" i="28" s="1"/>
  <c r="D91" i="51"/>
  <c r="L87" i="51"/>
  <c r="N87" i="51" s="1"/>
  <c r="F87" i="51"/>
  <c r="P115" i="16"/>
  <c r="X112" i="16"/>
  <c r="R112" i="16"/>
  <c r="T109" i="37"/>
  <c r="V105" i="37"/>
  <c r="D106" i="30"/>
  <c r="L103" i="30"/>
  <c r="X56" i="57"/>
  <c r="P153" i="35"/>
  <c r="X149" i="35"/>
  <c r="R149" i="35"/>
  <c r="T123" i="32"/>
  <c r="V119" i="32"/>
  <c r="X73" i="24"/>
  <c r="P76" i="24"/>
  <c r="X76" i="24" s="1"/>
  <c r="H87" i="61"/>
  <c r="N83" i="61"/>
  <c r="D38" i="21"/>
  <c r="L35" i="21"/>
  <c r="Z282" i="3"/>
  <c r="T287" i="3"/>
  <c r="V282" i="3"/>
  <c r="P38" i="21"/>
  <c r="X38" i="21" s="1"/>
  <c r="Z38" i="21" s="1"/>
  <c r="X35" i="21"/>
  <c r="Z35" i="21" s="1"/>
  <c r="P261" i="8"/>
  <c r="X257" i="8"/>
  <c r="Z257" i="8" s="1"/>
  <c r="R257" i="8"/>
  <c r="L85" i="36"/>
  <c r="N85" i="36" s="1"/>
  <c r="L53" i="57"/>
  <c r="N53" i="57" s="1"/>
  <c r="D56" i="57"/>
  <c r="D123" i="32"/>
  <c r="L119" i="32"/>
  <c r="F119" i="32"/>
  <c r="L106" i="28"/>
  <c r="N106" i="28" s="1"/>
  <c r="D31" i="20"/>
  <c r="L31" i="20" s="1"/>
  <c r="N31" i="20" s="1"/>
  <c r="L26" i="20"/>
  <c r="H115" i="16"/>
  <c r="N112" i="16"/>
  <c r="J112" i="16"/>
  <c r="D115" i="16"/>
  <c r="L112" i="16"/>
  <c r="F112" i="16"/>
  <c r="T88" i="45"/>
  <c r="Z84" i="45"/>
  <c r="X31" i="62"/>
  <c r="H92" i="12"/>
  <c r="J88" i="12"/>
  <c r="T125" i="43"/>
  <c r="V122" i="43"/>
  <c r="H94" i="60"/>
  <c r="J91" i="60"/>
  <c r="X94" i="5"/>
  <c r="Z94" i="5" s="1"/>
  <c r="P97" i="5"/>
  <c r="X97" i="5" s="1"/>
  <c r="D37" i="44"/>
  <c r="X82" i="58"/>
  <c r="Z82" i="58" s="1"/>
  <c r="P86" i="58"/>
  <c r="R82" i="58"/>
  <c r="T247" i="6"/>
  <c r="V243" i="6"/>
  <c r="T99" i="17"/>
  <c r="Z95" i="17"/>
  <c r="V95" i="17"/>
  <c r="D104" i="9"/>
  <c r="F101" i="9"/>
  <c r="H67" i="31"/>
  <c r="H123" i="32"/>
  <c r="N119" i="32"/>
  <c r="J119" i="32"/>
  <c r="T86" i="42"/>
  <c r="Z83" i="42"/>
  <c r="H123" i="10"/>
  <c r="N119" i="10"/>
  <c r="J119" i="10"/>
  <c r="H36" i="64"/>
  <c r="N36" i="64" s="1"/>
  <c r="N31" i="64"/>
  <c r="H54" i="26"/>
  <c r="N51" i="26"/>
  <c r="L51" i="26"/>
  <c r="D44" i="50"/>
  <c r="H86" i="42"/>
  <c r="N83" i="42"/>
  <c r="T109" i="19"/>
  <c r="Z105" i="19"/>
  <c r="V105" i="19"/>
  <c r="P87" i="61"/>
  <c r="X83" i="61"/>
  <c r="Z83" i="61" s="1"/>
  <c r="R83" i="61"/>
  <c r="T73" i="63"/>
  <c r="V70" i="63"/>
  <c r="H123" i="15"/>
  <c r="N119" i="15"/>
  <c r="J119" i="15"/>
  <c r="D99" i="17"/>
  <c r="L95" i="17"/>
  <c r="N95" i="17" s="1"/>
  <c r="F95" i="17"/>
  <c r="Z53" i="56"/>
  <c r="T56" i="56"/>
  <c r="X56" i="56" s="1"/>
  <c r="P181" i="13"/>
  <c r="X177" i="13"/>
  <c r="Z177" i="13" s="1"/>
  <c r="R177" i="13"/>
  <c r="T101" i="9"/>
  <c r="Z97" i="9"/>
  <c r="V97" i="9"/>
  <c r="P287" i="3"/>
  <c r="X282" i="3"/>
  <c r="R282" i="3"/>
  <c r="T46" i="49"/>
  <c r="D86" i="58"/>
  <c r="L82" i="58"/>
  <c r="N82" i="58" s="1"/>
  <c r="F82" i="58"/>
  <c r="D171" i="11"/>
  <c r="L167" i="11"/>
  <c r="N167" i="11" s="1"/>
  <c r="F167" i="11"/>
  <c r="X167" i="11"/>
  <c r="Z167" i="11" s="1"/>
  <c r="D76" i="24"/>
  <c r="L76" i="24" s="1"/>
  <c r="L73" i="24"/>
  <c r="N73" i="24" s="1"/>
  <c r="L48" i="40"/>
  <c r="N48" i="40" s="1"/>
  <c r="N105" i="37"/>
  <c r="H109" i="37"/>
  <c r="J105" i="37"/>
  <c r="N97" i="5"/>
  <c r="H34" i="44"/>
  <c r="L34" i="44" s="1"/>
  <c r="N30" i="44"/>
  <c r="J30" i="44"/>
  <c r="D92" i="36"/>
  <c r="F89" i="36"/>
  <c r="L109" i="28"/>
  <c r="X31" i="20"/>
  <c r="X68" i="23"/>
  <c r="P71" i="23"/>
  <c r="D45" i="59"/>
  <c r="D64" i="31"/>
  <c r="L60" i="31"/>
  <c r="N60" i="31" s="1"/>
  <c r="X50" i="33"/>
  <c r="Z50" i="33" s="1"/>
  <c r="P54" i="33"/>
  <c r="D123" i="10"/>
  <c r="L119" i="10"/>
  <c r="F119" i="10"/>
  <c r="T76" i="24"/>
  <c r="Z73" i="24"/>
  <c r="P76" i="22"/>
  <c r="X76" i="22" s="1"/>
  <c r="X73" i="22"/>
  <c r="N35" i="21"/>
  <c r="H38" i="21"/>
  <c r="Z77" i="52"/>
  <c r="D70" i="18"/>
  <c r="L66" i="18"/>
  <c r="N66" i="18" s="1"/>
  <c r="F66" i="18"/>
  <c r="D109" i="19"/>
  <c r="L105" i="19"/>
  <c r="F105" i="19"/>
  <c r="X105" i="37"/>
  <c r="Z105" i="37" s="1"/>
  <c r="P109" i="37"/>
  <c r="R105" i="37"/>
  <c r="N26" i="4"/>
  <c r="H31" i="4"/>
  <c r="Z53" i="57"/>
  <c r="T56" i="57"/>
  <c r="N76" i="22"/>
  <c r="H41" i="50"/>
  <c r="L41" i="50" s="1"/>
  <c r="N37" i="50"/>
  <c r="T153" i="35"/>
  <c r="Z149" i="35"/>
  <c r="V149" i="35"/>
  <c r="P104" i="9"/>
  <c r="X101" i="9"/>
  <c r="R101" i="9"/>
  <c r="N36" i="46"/>
  <c r="H39" i="46"/>
  <c r="N53" i="56"/>
  <c r="H56" i="56"/>
  <c r="Z91" i="60"/>
  <c r="T94" i="60"/>
  <c r="X94" i="60" s="1"/>
  <c r="V91" i="60"/>
  <c r="T71" i="23"/>
  <c r="Z68" i="23"/>
  <c r="H101" i="9"/>
  <c r="N97" i="9"/>
  <c r="J97" i="9"/>
  <c r="T92" i="12"/>
  <c r="V88" i="12"/>
  <c r="P63" i="25"/>
  <c r="X60" i="25"/>
  <c r="Z60" i="25" s="1"/>
  <c r="P123" i="32"/>
  <c r="X119" i="32"/>
  <c r="Z119" i="32" s="1"/>
  <c r="R119" i="32"/>
  <c r="R94" i="60"/>
  <c r="N38" i="55"/>
  <c r="N86" i="47"/>
  <c r="H89" i="47"/>
  <c r="F73" i="63"/>
  <c r="X43" i="49"/>
  <c r="Z43" i="49" s="1"/>
  <c r="P174" i="11"/>
  <c r="X171" i="11"/>
  <c r="R171" i="11"/>
  <c r="H77" i="52"/>
  <c r="N74" i="52"/>
  <c r="L51" i="40"/>
  <c r="T181" i="13"/>
  <c r="V177" i="13"/>
  <c r="P247" i="6"/>
  <c r="X243" i="6"/>
  <c r="Z243" i="6" s="1"/>
  <c r="R243" i="6"/>
  <c r="T89" i="58"/>
  <c r="V86" i="58"/>
  <c r="H42" i="59"/>
  <c r="N38" i="59"/>
  <c r="X28" i="62"/>
  <c r="Z28" i="62" s="1"/>
  <c r="H36" i="41"/>
  <c r="J33" i="41"/>
  <c r="X36" i="64" l="1"/>
  <c r="H45" i="59"/>
  <c r="N45" i="59" s="1"/>
  <c r="N42" i="59"/>
  <c r="R104" i="9"/>
  <c r="H112" i="37"/>
  <c r="N109" i="37"/>
  <c r="J109" i="37"/>
  <c r="T102" i="17"/>
  <c r="V99" i="17"/>
  <c r="T91" i="45"/>
  <c r="R115" i="16"/>
  <c r="Z51" i="40"/>
  <c r="D112" i="37"/>
  <c r="L109" i="37"/>
  <c r="F109" i="37"/>
  <c r="D126" i="15"/>
  <c r="L123" i="15"/>
  <c r="F123" i="15"/>
  <c r="P73" i="18"/>
  <c r="X70" i="18"/>
  <c r="Z70" i="18" s="1"/>
  <c r="R70" i="18"/>
  <c r="H92" i="36"/>
  <c r="J89" i="36"/>
  <c r="H102" i="17"/>
  <c r="J99" i="17"/>
  <c r="N31" i="4"/>
  <c r="D67" i="31"/>
  <c r="L67" i="31" s="1"/>
  <c r="N67" i="31" s="1"/>
  <c r="L64" i="31"/>
  <c r="N64" i="31" s="1"/>
  <c r="L89" i="36"/>
  <c r="N89" i="36" s="1"/>
  <c r="V73" i="63"/>
  <c r="D287" i="3"/>
  <c r="L282" i="3"/>
  <c r="N282" i="3" s="1"/>
  <c r="F282" i="3"/>
  <c r="H73" i="63"/>
  <c r="J70" i="63"/>
  <c r="L70" i="63"/>
  <c r="N70" i="63" s="1"/>
  <c r="P95" i="12"/>
  <c r="X92" i="12"/>
  <c r="Z92" i="12" s="1"/>
  <c r="R92" i="12"/>
  <c r="T264" i="8"/>
  <c r="V261" i="8"/>
  <c r="X38" i="55"/>
  <c r="Z76" i="22"/>
  <c r="J250" i="6"/>
  <c r="H112" i="19"/>
  <c r="J109" i="19"/>
  <c r="P125" i="43"/>
  <c r="X122" i="43"/>
  <c r="Z122" i="43" s="1"/>
  <c r="R122" i="43"/>
  <c r="X126" i="15"/>
  <c r="R126" i="15"/>
  <c r="X123" i="10"/>
  <c r="Z123" i="10" s="1"/>
  <c r="P126" i="10"/>
  <c r="R123" i="10"/>
  <c r="J35" i="53"/>
  <c r="L35" i="53"/>
  <c r="N35" i="53" s="1"/>
  <c r="N46" i="49"/>
  <c r="Z31" i="20"/>
  <c r="D94" i="60"/>
  <c r="L91" i="60"/>
  <c r="N91" i="60" s="1"/>
  <c r="F91" i="60"/>
  <c r="D57" i="33"/>
  <c r="L54" i="33"/>
  <c r="T36" i="41"/>
  <c r="V33" i="41"/>
  <c r="X33" i="41"/>
  <c r="Z33" i="41" s="1"/>
  <c r="Z126" i="15"/>
  <c r="V126" i="15"/>
  <c r="J94" i="51"/>
  <c r="X44" i="50"/>
  <c r="V89" i="58"/>
  <c r="N56" i="56"/>
  <c r="Z76" i="24"/>
  <c r="L42" i="59"/>
  <c r="L92" i="36"/>
  <c r="F92" i="36"/>
  <c r="V125" i="43"/>
  <c r="L38" i="21"/>
  <c r="N38" i="21" s="1"/>
  <c r="Z92" i="36"/>
  <c r="V92" i="36"/>
  <c r="T44" i="50"/>
  <c r="Z41" i="50"/>
  <c r="V41" i="50"/>
  <c r="N76" i="24"/>
  <c r="H125" i="43"/>
  <c r="J122" i="43"/>
  <c r="H125" i="14"/>
  <c r="J122" i="14"/>
  <c r="H287" i="3"/>
  <c r="J282" i="3"/>
  <c r="L39" i="46"/>
  <c r="T95" i="12"/>
  <c r="V92" i="12"/>
  <c r="D112" i="19"/>
  <c r="L109" i="19"/>
  <c r="N109" i="19" s="1"/>
  <c r="F109" i="19"/>
  <c r="X287" i="3"/>
  <c r="R287" i="3"/>
  <c r="H126" i="32"/>
  <c r="J123" i="32"/>
  <c r="H240" i="7"/>
  <c r="N237" i="7"/>
  <c r="J237" i="7"/>
  <c r="D250" i="6"/>
  <c r="L247" i="6"/>
  <c r="N247" i="6" s="1"/>
  <c r="F247" i="6"/>
  <c r="T156" i="35"/>
  <c r="V153" i="35"/>
  <c r="L86" i="58"/>
  <c r="D89" i="58"/>
  <c r="F86" i="58"/>
  <c r="Z101" i="9"/>
  <c r="T104" i="9"/>
  <c r="V101" i="9"/>
  <c r="L44" i="50"/>
  <c r="H126" i="10"/>
  <c r="J123" i="10"/>
  <c r="T250" i="6"/>
  <c r="V247" i="6"/>
  <c r="L115" i="16"/>
  <c r="F115" i="16"/>
  <c r="P264" i="8"/>
  <c r="X261" i="8"/>
  <c r="Z261" i="8" s="1"/>
  <c r="R261" i="8"/>
  <c r="D94" i="51"/>
  <c r="L91" i="51"/>
  <c r="N91" i="51" s="1"/>
  <c r="F91" i="51"/>
  <c r="Z109" i="28"/>
  <c r="Z45" i="48"/>
  <c r="N51" i="40"/>
  <c r="P240" i="7"/>
  <c r="X237" i="7"/>
  <c r="R237" i="7"/>
  <c r="Z112" i="16"/>
  <c r="T115" i="16"/>
  <c r="V112" i="16"/>
  <c r="L84" i="39"/>
  <c r="F84" i="39"/>
  <c r="L31" i="4"/>
  <c r="H174" i="11"/>
  <c r="J171" i="11"/>
  <c r="X92" i="36"/>
  <c r="R92" i="36"/>
  <c r="H184" i="13"/>
  <c r="J181" i="13"/>
  <c r="T67" i="31"/>
  <c r="X31" i="4"/>
  <c r="Z31" i="4" s="1"/>
  <c r="P112" i="19"/>
  <c r="X109" i="19"/>
  <c r="Z109" i="19" s="1"/>
  <c r="R109" i="19"/>
  <c r="L53" i="27"/>
  <c r="N53" i="27" s="1"/>
  <c r="L36" i="64"/>
  <c r="Z94" i="60"/>
  <c r="V94" i="60"/>
  <c r="D174" i="11"/>
  <c r="L171" i="11"/>
  <c r="N171" i="11" s="1"/>
  <c r="F171" i="11"/>
  <c r="Z38" i="55"/>
  <c r="L89" i="47"/>
  <c r="D91" i="45"/>
  <c r="L88" i="45"/>
  <c r="N88" i="45" s="1"/>
  <c r="F88" i="45"/>
  <c r="P67" i="31"/>
  <c r="X64" i="31"/>
  <c r="Z64" i="31" s="1"/>
  <c r="R64" i="31"/>
  <c r="D73" i="18"/>
  <c r="L70" i="18"/>
  <c r="N70" i="18" s="1"/>
  <c r="F70" i="18"/>
  <c r="L45" i="59"/>
  <c r="D102" i="17"/>
  <c r="L99" i="17"/>
  <c r="N99" i="17" s="1"/>
  <c r="F99" i="17"/>
  <c r="J36" i="41"/>
  <c r="P126" i="32"/>
  <c r="X123" i="32"/>
  <c r="Z123" i="32" s="1"/>
  <c r="R123" i="32"/>
  <c r="N101" i="9"/>
  <c r="H104" i="9"/>
  <c r="J101" i="9"/>
  <c r="N39" i="46"/>
  <c r="P112" i="37"/>
  <c r="X109" i="37"/>
  <c r="Z109" i="37" s="1"/>
  <c r="R109" i="37"/>
  <c r="X71" i="23"/>
  <c r="Z46" i="49"/>
  <c r="P90" i="61"/>
  <c r="X87" i="61"/>
  <c r="R87" i="61"/>
  <c r="L101" i="9"/>
  <c r="X46" i="49"/>
  <c r="H90" i="61"/>
  <c r="N87" i="61"/>
  <c r="T126" i="32"/>
  <c r="V123" i="32"/>
  <c r="H264" i="8"/>
  <c r="J261" i="8"/>
  <c r="D264" i="8"/>
  <c r="L261" i="8"/>
  <c r="N261" i="8" s="1"/>
  <c r="F261" i="8"/>
  <c r="T84" i="39"/>
  <c r="V81" i="39"/>
  <c r="D95" i="12"/>
  <c r="L92" i="12"/>
  <c r="F92" i="12"/>
  <c r="Z39" i="54"/>
  <c r="N109" i="28"/>
  <c r="D36" i="41"/>
  <c r="L33" i="41"/>
  <c r="N33" i="41" s="1"/>
  <c r="F33" i="41"/>
  <c r="T106" i="30"/>
  <c r="Z103" i="30"/>
  <c r="V103" i="30"/>
  <c r="L77" i="52"/>
  <c r="N77" i="52" s="1"/>
  <c r="X89" i="47"/>
  <c r="Z89" i="47" s="1"/>
  <c r="Z31" i="62"/>
  <c r="L86" i="42"/>
  <c r="N86" i="42" s="1"/>
  <c r="F86" i="42"/>
  <c r="Z125" i="14"/>
  <c r="V125" i="14"/>
  <c r="H44" i="50"/>
  <c r="N41" i="50"/>
  <c r="H37" i="44"/>
  <c r="L37" i="44" s="1"/>
  <c r="N34" i="44"/>
  <c r="J34" i="44"/>
  <c r="H95" i="12"/>
  <c r="N92" i="12"/>
  <c r="J92" i="12"/>
  <c r="T126" i="10"/>
  <c r="V123" i="10"/>
  <c r="V94" i="51"/>
  <c r="X125" i="14"/>
  <c r="R125" i="14"/>
  <c r="N84" i="39"/>
  <c r="N54" i="33"/>
  <c r="H57" i="33"/>
  <c r="J73" i="18"/>
  <c r="D125" i="43"/>
  <c r="L122" i="43"/>
  <c r="N122" i="43" s="1"/>
  <c r="F122" i="43"/>
  <c r="X94" i="51"/>
  <c r="Z94" i="51" s="1"/>
  <c r="R94" i="51"/>
  <c r="L56" i="56"/>
  <c r="F56" i="56"/>
  <c r="Z97" i="5"/>
  <c r="T184" i="13"/>
  <c r="Z181" i="13"/>
  <c r="V181" i="13"/>
  <c r="F104" i="9"/>
  <c r="P102" i="17"/>
  <c r="X99" i="17"/>
  <c r="Z99" i="17" s="1"/>
  <c r="R99" i="17"/>
  <c r="P45" i="59"/>
  <c r="X42" i="59"/>
  <c r="Z42" i="59" s="1"/>
  <c r="R42" i="59"/>
  <c r="F156" i="35"/>
  <c r="P250" i="6"/>
  <c r="X247" i="6"/>
  <c r="Z247" i="6" s="1"/>
  <c r="R247" i="6"/>
  <c r="X63" i="25"/>
  <c r="Z63" i="25" s="1"/>
  <c r="Z71" i="23"/>
  <c r="P57" i="33"/>
  <c r="X57" i="33" s="1"/>
  <c r="Z57" i="33" s="1"/>
  <c r="X54" i="33"/>
  <c r="Z54" i="33" s="1"/>
  <c r="P184" i="13"/>
  <c r="X181" i="13"/>
  <c r="R181" i="13"/>
  <c r="H126" i="15"/>
  <c r="N123" i="15"/>
  <c r="J123" i="15"/>
  <c r="N54" i="26"/>
  <c r="L54" i="26"/>
  <c r="L56" i="57"/>
  <c r="N56" i="57" s="1"/>
  <c r="D184" i="13"/>
  <c r="L181" i="13"/>
  <c r="N181" i="13" s="1"/>
  <c r="F181" i="13"/>
  <c r="R37" i="44"/>
  <c r="H106" i="30"/>
  <c r="N103" i="30"/>
  <c r="P73" i="63"/>
  <c r="X70" i="63"/>
  <c r="Z70" i="63" s="1"/>
  <c r="R70" i="63"/>
  <c r="L39" i="54"/>
  <c r="N39" i="54" s="1"/>
  <c r="V73" i="18"/>
  <c r="N71" i="23"/>
  <c r="X88" i="45"/>
  <c r="Z88" i="45" s="1"/>
  <c r="T35" i="53"/>
  <c r="Z32" i="53"/>
  <c r="V32" i="53"/>
  <c r="H89" i="58"/>
  <c r="N86" i="58"/>
  <c r="P84" i="39"/>
  <c r="X81" i="39"/>
  <c r="Z81" i="39" s="1"/>
  <c r="R81" i="39"/>
  <c r="N89" i="47"/>
  <c r="L123" i="10"/>
  <c r="N123" i="10" s="1"/>
  <c r="D126" i="10"/>
  <c r="F123" i="10"/>
  <c r="D126" i="32"/>
  <c r="L123" i="32"/>
  <c r="N123" i="32" s="1"/>
  <c r="F123" i="32"/>
  <c r="T112" i="37"/>
  <c r="V109" i="37"/>
  <c r="D240" i="7"/>
  <c r="L237" i="7"/>
  <c r="F237" i="7"/>
  <c r="L87" i="61"/>
  <c r="D90" i="61"/>
  <c r="R174" i="11"/>
  <c r="Z56" i="57"/>
  <c r="Z56" i="56"/>
  <c r="T112" i="19"/>
  <c r="V109" i="19"/>
  <c r="P89" i="58"/>
  <c r="X86" i="58"/>
  <c r="Z86" i="58" s="1"/>
  <c r="R86" i="58"/>
  <c r="J94" i="60"/>
  <c r="N115" i="16"/>
  <c r="J115" i="16"/>
  <c r="Z287" i="3"/>
  <c r="V287" i="3"/>
  <c r="P156" i="35"/>
  <c r="X153" i="35"/>
  <c r="Z153" i="35" s="1"/>
  <c r="R153" i="35"/>
  <c r="Z237" i="7"/>
  <c r="T240" i="7"/>
  <c r="V237" i="7"/>
  <c r="Z87" i="61"/>
  <c r="T90" i="61"/>
  <c r="T45" i="59"/>
  <c r="T174" i="11"/>
  <c r="X174" i="11" s="1"/>
  <c r="Z171" i="11"/>
  <c r="V171" i="11"/>
  <c r="D125" i="14"/>
  <c r="L122" i="14"/>
  <c r="N122" i="14" s="1"/>
  <c r="F122" i="14"/>
  <c r="X91" i="45"/>
  <c r="R91" i="45"/>
  <c r="P106" i="30"/>
  <c r="X103" i="30"/>
  <c r="R103" i="30"/>
  <c r="X86" i="42"/>
  <c r="Z86" i="42" s="1"/>
  <c r="R86" i="42"/>
  <c r="H156" i="35"/>
  <c r="N153" i="35"/>
  <c r="J153" i="35"/>
  <c r="T37" i="44"/>
  <c r="X37" i="44" s="1"/>
  <c r="Z34" i="44"/>
  <c r="V34" i="44"/>
  <c r="X41" i="50"/>
  <c r="X51" i="40"/>
  <c r="X90" i="61" l="1"/>
  <c r="R90" i="61"/>
  <c r="X264" i="8"/>
  <c r="Z264" i="8" s="1"/>
  <c r="R264" i="8"/>
  <c r="V264" i="8"/>
  <c r="N90" i="61"/>
  <c r="Z156" i="35"/>
  <c r="V156" i="35"/>
  <c r="L112" i="19"/>
  <c r="F112" i="19"/>
  <c r="Z112" i="37"/>
  <c r="V112" i="37"/>
  <c r="X45" i="59"/>
  <c r="R45" i="59"/>
  <c r="Z184" i="13"/>
  <c r="V184" i="13"/>
  <c r="J95" i="12"/>
  <c r="L102" i="17"/>
  <c r="N102" i="17" s="1"/>
  <c r="F102" i="17"/>
  <c r="X67" i="31"/>
  <c r="R67" i="31"/>
  <c r="L174" i="11"/>
  <c r="F174" i="11"/>
  <c r="X112" i="19"/>
  <c r="R112" i="19"/>
  <c r="Z44" i="50"/>
  <c r="V44" i="50"/>
  <c r="L287" i="3"/>
  <c r="F287" i="3"/>
  <c r="X73" i="18"/>
  <c r="Z73" i="18" s="1"/>
  <c r="R73" i="18"/>
  <c r="J104" i="9"/>
  <c r="J184" i="13"/>
  <c r="J126" i="10"/>
  <c r="L112" i="37"/>
  <c r="N112" i="37" s="1"/>
  <c r="F112" i="37"/>
  <c r="J240" i="7"/>
  <c r="N112" i="19"/>
  <c r="J112" i="19"/>
  <c r="J156" i="35"/>
  <c r="Z45" i="59"/>
  <c r="X156" i="35"/>
  <c r="R156" i="35"/>
  <c r="J126" i="15"/>
  <c r="L125" i="43"/>
  <c r="F125" i="43"/>
  <c r="Z106" i="30"/>
  <c r="V106" i="30"/>
  <c r="L95" i="12"/>
  <c r="N95" i="12" s="1"/>
  <c r="F95" i="12"/>
  <c r="N264" i="8"/>
  <c r="J264" i="8"/>
  <c r="Z115" i="16"/>
  <c r="V115" i="16"/>
  <c r="Z104" i="9"/>
  <c r="V104" i="9"/>
  <c r="J125" i="14"/>
  <c r="Z36" i="41"/>
  <c r="V36" i="41"/>
  <c r="X36" i="41"/>
  <c r="X95" i="12"/>
  <c r="R95" i="12"/>
  <c r="X115" i="16"/>
  <c r="J112" i="37"/>
  <c r="Z174" i="11"/>
  <c r="V174" i="11"/>
  <c r="L264" i="8"/>
  <c r="F264" i="8"/>
  <c r="L94" i="60"/>
  <c r="N94" i="60" s="1"/>
  <c r="F94" i="60"/>
  <c r="J126" i="32"/>
  <c r="Z95" i="12"/>
  <c r="V95" i="12"/>
  <c r="J102" i="17"/>
  <c r="Z37" i="44"/>
  <c r="V37" i="44"/>
  <c r="L90" i="61"/>
  <c r="V35" i="53"/>
  <c r="X250" i="6"/>
  <c r="R250" i="6"/>
  <c r="X102" i="17"/>
  <c r="Z102" i="17" s="1"/>
  <c r="R102" i="17"/>
  <c r="N37" i="44"/>
  <c r="J37" i="44"/>
  <c r="X112" i="37"/>
  <c r="R112" i="37"/>
  <c r="L91" i="45"/>
  <c r="N91" i="45" s="1"/>
  <c r="F91" i="45"/>
  <c r="Z67" i="31"/>
  <c r="N174" i="11"/>
  <c r="J174" i="11"/>
  <c r="L94" i="51"/>
  <c r="N94" i="51" s="1"/>
  <c r="F94" i="51"/>
  <c r="Z250" i="6"/>
  <c r="V250" i="6"/>
  <c r="L250" i="6"/>
  <c r="N250" i="6" s="1"/>
  <c r="F250" i="6"/>
  <c r="L126" i="15"/>
  <c r="N126" i="15" s="1"/>
  <c r="F126" i="15"/>
  <c r="Z91" i="45"/>
  <c r="X104" i="9"/>
  <c r="N287" i="3"/>
  <c r="J287" i="3"/>
  <c r="X126" i="10"/>
  <c r="Z126" i="10" s="1"/>
  <c r="R126" i="10"/>
  <c r="L126" i="10"/>
  <c r="N126" i="10" s="1"/>
  <c r="F126" i="10"/>
  <c r="L125" i="14"/>
  <c r="N125" i="14" s="1"/>
  <c r="F125" i="14"/>
  <c r="L126" i="32"/>
  <c r="N126" i="32" s="1"/>
  <c r="F126" i="32"/>
  <c r="X184" i="13"/>
  <c r="R184" i="13"/>
  <c r="N57" i="33"/>
  <c r="V126" i="10"/>
  <c r="L36" i="41"/>
  <c r="N36" i="41" s="1"/>
  <c r="F36" i="41"/>
  <c r="V84" i="39"/>
  <c r="Z126" i="32"/>
  <c r="V126" i="32"/>
  <c r="L73" i="18"/>
  <c r="N73" i="18" s="1"/>
  <c r="F73" i="18"/>
  <c r="L89" i="58"/>
  <c r="F89" i="58"/>
  <c r="N125" i="43"/>
  <c r="J125" i="43"/>
  <c r="L57" i="33"/>
  <c r="X125" i="43"/>
  <c r="Z125" i="43" s="1"/>
  <c r="R125" i="43"/>
  <c r="X106" i="30"/>
  <c r="R106" i="30"/>
  <c r="L240" i="7"/>
  <c r="N240" i="7" s="1"/>
  <c r="F240" i="7"/>
  <c r="V102" i="17"/>
  <c r="N89" i="58"/>
  <c r="Z90" i="61"/>
  <c r="X89" i="58"/>
  <c r="Z89" i="58" s="1"/>
  <c r="R89" i="58"/>
  <c r="L184" i="13"/>
  <c r="N184" i="13" s="1"/>
  <c r="F184" i="13"/>
  <c r="X126" i="32"/>
  <c r="R126" i="32"/>
  <c r="X73" i="63"/>
  <c r="Z73" i="63" s="1"/>
  <c r="R73" i="63"/>
  <c r="V240" i="7"/>
  <c r="Z112" i="19"/>
  <c r="V112" i="19"/>
  <c r="X84" i="39"/>
  <c r="Z84" i="39" s="1"/>
  <c r="R84" i="39"/>
  <c r="N106" i="30"/>
  <c r="L156" i="35"/>
  <c r="N156" i="35" s="1"/>
  <c r="L104" i="9"/>
  <c r="N104" i="9" s="1"/>
  <c r="N44" i="50"/>
  <c r="X35" i="53"/>
  <c r="Z35" i="53" s="1"/>
  <c r="X240" i="7"/>
  <c r="Z240" i="7" s="1"/>
  <c r="R240" i="7"/>
  <c r="L106" i="30"/>
  <c r="N73" i="63"/>
  <c r="J73" i="63"/>
  <c r="L73" i="63"/>
  <c r="N92" i="36"/>
  <c r="J92" i="3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<sst xmlns="http://schemas.openxmlformats.org/spreadsheetml/2006/main" count="1864" uniqueCount="314">
  <si>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</si>
  <si>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</si>
  <si>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</si>
  <si>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</si>
  <si>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</si>
  <si>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</si>
  <si>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</si>
  <si>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</si>
  <si>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</si>
  <si>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</si>
  <si>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</si>
  <si>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</si>
  <si>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</si>
  <si>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</si>
  <si>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</si>
  <si>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</si>
  <si>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</si>
  <si>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</si>
  <si>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</si>
  <si>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</si>
  <si>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</si>
  <si>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</si>
  <si>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</si>
  <si>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</si>
  <si>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</si>
  <si>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</si>
  <si>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</si>
  <si>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</si>
  <si>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</si>
  <si>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</si>
  <si>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</si>
  <si>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</si>
  <si>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</si>
  <si>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</si>
  <si>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</si>
  <si>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</si>
  <si>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</si>
  <si>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</si>
  <si>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</si>
  <si>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</si>
  <si>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</si>
  <si>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</si>
  <si>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</si>
  <si>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</si>
  <si>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</si>
  <si>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</si>
  <si>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</si>
  <si>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</si>
  <si>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</si>
  <si>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</si>
  <si>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</si>
  <si>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</si>
  <si>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</si>
  <si>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</si>
  <si>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</si>
  <si>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</si>
  <si>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</si>
  <si>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</si>
  <si>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</si>
  <si>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</si>
  <si>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</si>
  <si>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</si>
  <si>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</si>
  <si>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</si>
  <si>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</si>
  <si>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</si>
  <si>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</si>
  <si>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</si>
  <si>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</si>
  <si>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</si>
  <si>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</si>
  <si>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</si>
  <si>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</si>
  <si>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</si>
  <si>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</si>
  <si>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</si>
  <si>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</si>
  <si>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</si>
  <si>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</si>
  <si>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</si>
  <si>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</si>
  <si>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</si>
  <si>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</si>
  <si>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</si>
  <si>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</si>
  <si>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</si>
  <si>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</si>
  <si>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</si>
  <si>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</si>
  <si>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</si>
  <si>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</si>
  <si>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</si>
  <si>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</si>
  <si>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</si>
  <si>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</si>
  <si>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</si>
  <si>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</si>
  <si>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</si>
  <si>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</si>
  <si>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</si>
  <si>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</si>
  <si>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</si>
  <si>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</si>
  <si>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</si>
  <si>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</si>
  <si>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</si>
  <si>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</si>
  <si>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</si>
  <si>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</si>
  <si>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</si>
  <si>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</si>
  <si>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</si>
  <si>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</si>
  <si>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</si>
  <si>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</si>
  <si>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</si>
  <si>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</si>
  <si>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</si>
  <si>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</si>
  <si>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</si>
  <si>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</si>
  <si>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</si>
  <si>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</si>
  <si>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</si>
  <si>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</si>
  <si>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</si>
  <si>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</si>
  <si>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</si>
  <si>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</si>
  <si>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</si>
  <si>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</si>
  <si>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</si>
  <si>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</si>
  <si>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</si>
  <si>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</si>
  <si>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</si>
  <si>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</si>
  <si>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</si>
  <si>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</si>
  <si>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</si>
  <si>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</si>
  <si>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</si>
  <si>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</si>
  <si>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</si>
  <si>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</si>
  <si>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</si>
  <si>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</si>
  <si>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</si>
  <si>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</si>
  <si>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</si>
  <si>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</si>
  <si>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</si>
  <si>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</si>
  <si>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</si>
  <si>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</si>
  <si>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</si>
  <si>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</si>
  <si>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</si>
  <si>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</si>
  <si>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</si>
  <si>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</si>
  <si>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</si>
  <si>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</si>
  <si>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</si>
  <si>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</si>
  <si>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</si>
  <si>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</si>
  <si>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</si>
  <si>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</si>
  <si>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</si>
  <si>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</si>
  <si>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</si>
  <si>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</si>
  <si>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</si>
  <si>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</si>
  <si>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</si>
  <si>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</si>
  <si>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</si>
  <si>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</si>
  <si>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</si>
  <si>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</si>
  <si>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</si>
  <si>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</si>
  <si>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</si>
  <si>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</si>
  <si>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</si>
  <si>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</si>
  <si>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</si>
  <si>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</si>
  <si>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</si>
  <si>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</si>
  <si>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</si>
  <si>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</si>
  <si>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</si>
  <si>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</si>
  <si>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</si>
  <si>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</si>
  <si>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</si>
  <si>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</si>
  <si>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</si>
  <si>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</si>
  <si>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</si>
  <si>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</si>
  <si>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</si>
  <si>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</si>
  <si>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</si>
  <si>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</si>
  <si>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</si>
  <si>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</si>
  <si>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</si>
  <si>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</si>
  <si>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</si>
  <si>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</si>
  <si>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</si>
  <si>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</si>
  <si>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</si>
  <si>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</si>
  <si>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</si>
  <si>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</si>
  <si>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</si>
  <si>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</si>
  <si>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</si>
  <si>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</si>
  <si>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</si>
  <si>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</si>
  <si>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</si>
  <si>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</si>
  <si>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</si>
  <si>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</si>
  <si>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</si>
  <si>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</si>
  <si>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</si>
  <si>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</si>
  <si>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</si>
  <si>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</si>
  <si>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</si>
  <si>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</si>
  <si>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</si>
  <si>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</si>
  <si>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</si>
  <si>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</si>
  <si>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</si>
  <si>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</si>
  <si>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</si>
  <si>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</si>
  <si>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</si>
  <si>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</si>
  <si>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</si>
  <si>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</si>
  <si>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</si>
  <si>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</si>
  <si>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</si>
  <si>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</si>
  <si>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</si>
  <si>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</si>
  <si>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</si>
  <si>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</si>
  <si>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</si>
  <si>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</si>
  <si>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</si>
  <si>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</si>
  <si>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</si>
  <si>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</si>
  <si>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</si>
  <si>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</si>
  <si>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</si>
  <si>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</si>
  <si>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</si>
  <si>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</si>
  <si>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</si>
  <si>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</si>
  <si>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</si>
  <si>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</si>
  <si>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</si>
  <si>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</si>
  <si>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</si>
  <si>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</si>
  <si>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</si>
  <si>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</si>
  <si>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</si>
  <si>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</si>
  <si>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</si>
  <si>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</si>
  <si>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Prior Year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</si>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</sst>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1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5" fontId="0" fillId="0" borderId="0" xfId="3" applyNumberFormat="1" applyFont="1" applyAlignment="1"/>
    <xf numFmtId="164" fontId="3" fillId="0" borderId="0" xfId="1" applyNumberFormat="1" applyFont="1" applyAlignment="1"/>
    <xf numFmtId="165" fontId="3" fillId="0" borderId="0" xfId="3" applyNumberFormat="1" applyFont="1" applyAlignment="1"/>
    <xf numFmtId="164" fontId="2" fillId="0" borderId="0" xfId="1" applyNumberFormat="1" applyFont="1" applyAlignment="1"/>
    <xf numFmtId="0" fontId="3" fillId="0" borderId="0" xfId="0" applyNumberFormat="1" applyFont="1"/>
    <xf numFmtId="165" fontId="0" fillId="0" borderId="0" xfId="3" applyNumberFormat="1" applyFont="1" applyAlignment="1"/>
    <xf numFmtId="0" fontId="0" fillId="0" borderId="0" xfId="0" applyNumberFormat="1" applyFont="1"/>
    <xf numFmtId="0" fontId="0" fillId="0" borderId="0" xfId="0" applyNumberFormat="1" applyFont="1"/>
    <xf numFmtId="0" fontId="2" fillId="0" borderId="0" xfId="0" applyNumberFormat="1" applyFont="1"/>
    <xf numFmtId="165" fontId="2" fillId="0" borderId="0" xfId="3" applyNumberFormat="1" applyFont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2" fillId="2" borderId="0" xfId="1" applyNumberFormat="1" applyFont="1" applyFill="1" applyAlignment="1"/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165" fontId="2" fillId="2" borderId="2" xfId="3" applyNumberFormat="1" applyFont="1" applyFill="1" applyBorder="1" applyAlignment="1"/>
    <xf numFmtId="0" fontId="2" fillId="0" borderId="0" xfId="0" applyNumberFormat="1" applyFont="1"/>
    <xf numFmtId="165" fontId="3" fillId="0" borderId="0" xfId="3" applyNumberFormat="1" applyFont="1" applyAlignment="1"/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66" fontId="2" fillId="2" borderId="3" xfId="2" applyNumberFormat="1" applyFont="1" applyFill="1" applyBorder="1" applyAlignment="1"/>
    <xf numFmtId="166" fontId="2" fillId="2" borderId="4" xfId="2" applyNumberFormat="1" applyFont="1" applyFill="1" applyBorder="1" applyAlignment="1"/>
    <xf numFmtId="165" fontId="2" fillId="2" borderId="3" xfId="3" applyNumberFormat="1" applyFont="1" applyFill="1" applyBorder="1" applyAlignment="1"/>
    <xf numFmtId="165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165" fontId="2" fillId="0" borderId="0" xfId="3" applyNumberFormat="1" applyFont="1" applyAlignment="1"/>
    <xf numFmtId="165" fontId="2" fillId="2" borderId="4" xfId="3" applyNumberFormat="1" applyFont="1" applyFill="1" applyBorder="1" applyAlignment="1"/>
    <xf numFmtId="0" fontId="0" fillId="3" borderId="5" xfId="0" applyNumberFormat="1" applyFont="1" applyFill="1" applyBorder="1" applyAlignment="1">
      <alignment horizontal="center" vertical="center" wrapText="1"/>
    </xf>
    <xf numFmtId="0" fontId="0" fillId="0" borderId="0" xfId="0" applyNumberFormat="1" applyFont="1"/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left"/>
    </xf>
    <xf numFmtId="165" fontId="0" fillId="0" borderId="0" xfId="3" applyNumberFormat="1" applyFont="1" applyAlignment="1">
      <alignment horizontal="left"/>
    </xf>
    <xf numFmtId="165" fontId="0" fillId="0" borderId="0" xfId="0" applyNumberFormat="1" applyFont="1"/>
    <xf numFmtId="164" fontId="2" fillId="0" borderId="0" xfId="1" applyNumberFormat="1" applyFont="1" applyAlignment="1">
      <alignment horizontal="left"/>
    </xf>
    <xf numFmtId="49" fontId="3" fillId="0" borderId="0" xfId="0" applyNumberFormat="1" applyFont="1"/>
    <xf numFmtId="49" fontId="2" fillId="0" borderId="0" xfId="0" applyNumberFormat="1" applyFont="1"/>
    <xf numFmtId="0" fontId="2" fillId="0" borderId="0" xfId="0" applyNumberFormat="1" applyFont="1"/>
    <xf numFmtId="0" fontId="0" fillId="0" borderId="0" xfId="0" applyNumberFormat="1" applyFont="1" applyAlignment="1">
      <alignment horizontal="left"/>
    </xf>
    <xf numFmtId="0" fontId="4" fillId="0" borderId="0" xfId="0" applyNumberFormat="1" applyFont="1"/>
    <xf numFmtId="0" fontId="5" fillId="0" borderId="0" xfId="0" applyNumberFormat="1" applyFont="1"/>
    <xf numFmtId="0" fontId="6" fillId="0" borderId="0" xfId="0" applyNumberFormat="1" applyFont="1" applyAlignment="1">
      <alignment horizontal="left"/>
    </xf>
    <xf numFmtId="167" fontId="6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8" fontId="0" fillId="0" borderId="0" xfId="0" applyNumberFormat="1" applyFont="1"/>
    <xf numFmtId="0" fontId="2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eetMetadata" Target="metadata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52CF-F223-078C-4F52-30704CECBF9A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5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6" t="s">
        <v>0</v>
      </c>
      <c r="B3" s="36" t="s">
        <v>1</v>
      </c>
      <c r="C3" s="36" t="s">
        <v>2</v>
      </c>
      <c r="D3" s="36" t="s">
        <v>3</v>
      </c>
      <c r="E3" s="36" t="s">
        <v>4</v>
      </c>
      <c r="F3" s="36" t="s">
        <v>5</v>
      </c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  <c r="M3" s="36" t="s">
        <v>12</v>
      </c>
      <c r="N3" s="36" t="s">
        <v>13</v>
      </c>
      <c r="O3" s="36" t="s">
        <v>14</v>
      </c>
      <c r="P3" s="36" t="s">
        <v>15</v>
      </c>
      <c r="Q3" s="36" t="s">
        <v>16</v>
      </c>
      <c r="R3" s="36" t="s">
        <v>17</v>
      </c>
      <c r="S3" s="36" t="s">
        <v>18</v>
      </c>
      <c r="T3" s="36" t="s">
        <v>19</v>
      </c>
      <c r="U3" s="36" t="s">
        <v>20</v>
      </c>
      <c r="V3" s="36" t="s">
        <v>21</v>
      </c>
      <c r="W3" s="36" t="s">
        <v>22</v>
      </c>
      <c r="X3" s="36" t="s">
        <v>23</v>
      </c>
      <c r="Y3" s="36" t="s">
        <v>24</v>
      </c>
      <c r="Z3" s="36" t="s">
        <v>25</v>
      </c>
      <c r="AA3" s="36" t="s">
        <v>26</v>
      </c>
      <c r="AB3" s="36" t="s">
        <v>27</v>
      </c>
      <c r="AC3" s="36" t="s">
        <v>28</v>
      </c>
      <c r="AD3" s="36" t="s">
        <v>29</v>
      </c>
      <c r="AE3" s="36" t="s">
        <v>30</v>
      </c>
      <c r="AF3" s="36" t="s">
        <v>31</v>
      </c>
      <c r="AG3" s="36" t="s">
        <v>32</v>
      </c>
      <c r="AH3" s="36" t="s">
        <v>33</v>
      </c>
      <c r="AI3" s="36" t="s">
        <v>34</v>
      </c>
      <c r="AJ3" s="36" t="s">
        <v>35</v>
      </c>
      <c r="AK3" s="36" t="s">
        <v>36</v>
      </c>
      <c r="AL3" s="36" t="s">
        <v>37</v>
      </c>
      <c r="AM3" s="36" t="s">
        <v>38</v>
      </c>
      <c r="AN3" s="36" t="s">
        <v>39</v>
      </c>
      <c r="AO3" s="36" t="s">
        <v>40</v>
      </c>
      <c r="AP3" s="36" t="s">
        <v>41</v>
      </c>
      <c r="AQ3" s="36" t="s">
        <v>42</v>
      </c>
      <c r="AR3" s="36" t="s">
        <v>43</v>
      </c>
      <c r="AS3" s="36" t="s">
        <v>44</v>
      </c>
      <c r="AT3" s="36" t="s">
        <v>45</v>
      </c>
      <c r="AU3" s="36" t="s">
        <v>46</v>
      </c>
      <c r="AV3" s="36" t="s">
        <v>47</v>
      </c>
      <c r="AW3" s="36" t="s">
        <v>48</v>
      </c>
      <c r="AX3" s="36" t="s">
        <v>49</v>
      </c>
      <c r="AY3" s="36" t="s">
        <v>50</v>
      </c>
      <c r="AZ3" s="36" t="s">
        <v>51</v>
      </c>
      <c r="BA3" s="36" t="s">
        <v>52</v>
      </c>
      <c r="BB3" s="36" t="s">
        <v>53</v>
      </c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8C428-72DC-742A-3F73-8FAB49D33819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","203"," - ","Human Resources")</f>
        <v>Department 203 - Human Resources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53890.15</v>
      </c>
      <c r="E18" s="23"/>
      <c r="F18" s="34">
        <f t="shared" ref="F18:F65" si="0">IF(D$12=0,0,D18/D$12)</f>
        <v>0</v>
      </c>
      <c r="G18" s="23"/>
      <c r="H18" s="23" cm="1">
        <f t="array" ref="H18">SUM(OSRRefH22x_0)</f>
        <v>570303.8600000001</v>
      </c>
      <c r="I18" s="23"/>
      <c r="J18" s="34">
        <f t="shared" ref="J18:J65" si="1">IF(H$12=0,0,H18/H$12)</f>
        <v>0</v>
      </c>
      <c r="K18" s="8"/>
      <c r="L18" s="23">
        <f t="shared" ref="L18:L65" si="2">+D18-H18</f>
        <v>-516413.71000000008</v>
      </c>
      <c r="M18" s="8"/>
      <c r="N18" s="34">
        <f t="shared" ref="N18:N65" si="3">IF(H18=0,0,L18/H18)</f>
        <v>-0.90550625065031121</v>
      </c>
      <c r="O18" s="13"/>
      <c r="P18" s="23" cm="1">
        <f t="array" ref="P18">SUM(OSRRefP22x_0)</f>
        <v>681313.66</v>
      </c>
      <c r="Q18" s="23"/>
      <c r="R18" s="34">
        <f t="shared" ref="R18:R65" si="4">IF(P$12=0,0,P18/P$12)</f>
        <v>0</v>
      </c>
      <c r="S18" s="23"/>
      <c r="T18" s="23" cm="1">
        <f t="array" ref="T18">SUM(OSRRefT22x_0)</f>
        <v>1064935.8900000001</v>
      </c>
      <c r="U18" s="23"/>
      <c r="V18" s="34">
        <f t="shared" ref="V18:V65" si="5">IF(T$12=0,0,T18/T$12)</f>
        <v>0</v>
      </c>
      <c r="W18" s="8"/>
      <c r="X18" s="23">
        <f t="shared" ref="X18:X65" si="6">+P18-T18</f>
        <v>-383622.2300000001</v>
      </c>
      <c r="Y18" s="8"/>
      <c r="Z18" s="34">
        <f t="shared" ref="Z18:Z65" si="7">IF(T18=0,0,X18/T18)</f>
        <v>-0.36023035151909477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16449.239999999998</v>
      </c>
      <c r="E19" s="2"/>
      <c r="F19" s="5">
        <f t="shared" si="0"/>
        <v>0</v>
      </c>
      <c r="G19" s="2"/>
      <c r="H19" s="2">
        <f>SUM(OSRRefH22_0x_0)</f>
        <v>522547.65000000008</v>
      </c>
      <c r="I19" s="2"/>
      <c r="J19" s="5">
        <f t="shared" si="1"/>
        <v>0</v>
      </c>
      <c r="K19" s="2"/>
      <c r="L19" s="2">
        <f t="shared" si="2"/>
        <v>-506098.41000000009</v>
      </c>
      <c r="M19" s="2"/>
      <c r="N19" s="5">
        <f t="shared" si="3"/>
        <v>-0.96852107171470392</v>
      </c>
      <c r="O19" s="11"/>
      <c r="P19" s="2">
        <f>SUM(OSRRefP22_0x_0)</f>
        <v>189966.93</v>
      </c>
      <c r="Q19" s="2"/>
      <c r="R19" s="5">
        <f t="shared" si="4"/>
        <v>0</v>
      </c>
      <c r="S19" s="2"/>
      <c r="T19" s="2">
        <f>SUM(OSRRefT22_0x_0)</f>
        <v>663627.30000000016</v>
      </c>
      <c r="U19" s="2"/>
      <c r="V19" s="5">
        <f t="shared" si="5"/>
        <v>0</v>
      </c>
      <c r="W19" s="2"/>
      <c r="X19" s="2">
        <f t="shared" si="6"/>
        <v>-473660.37000000017</v>
      </c>
      <c r="Y19" s="2"/>
      <c r="Z19" s="5">
        <f t="shared" si="7"/>
        <v>-0.71374455210025278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2557.15</v>
      </c>
      <c r="E20" s="3"/>
      <c r="F20" s="7">
        <f t="shared" si="0"/>
        <v>0</v>
      </c>
      <c r="G20" s="3"/>
      <c r="H20" s="6">
        <v>2092.3200000000002</v>
      </c>
      <c r="I20" s="3"/>
      <c r="J20" s="7">
        <f t="shared" si="1"/>
        <v>0</v>
      </c>
      <c r="K20" s="3"/>
      <c r="L20" s="6">
        <f t="shared" si="2"/>
        <v>464.82999999999993</v>
      </c>
      <c r="M20" s="3"/>
      <c r="N20" s="7">
        <f t="shared" si="3"/>
        <v>0.22216009023476327</v>
      </c>
      <c r="O20" s="9"/>
      <c r="P20" s="6">
        <v>29213.01</v>
      </c>
      <c r="Q20" s="3"/>
      <c r="R20" s="7">
        <f t="shared" si="4"/>
        <v>0</v>
      </c>
      <c r="S20" s="3"/>
      <c r="T20" s="6">
        <v>25547.94</v>
      </c>
      <c r="U20" s="3"/>
      <c r="V20" s="7">
        <f t="shared" si="5"/>
        <v>0</v>
      </c>
      <c r="W20" s="3"/>
      <c r="X20" s="6">
        <f t="shared" si="6"/>
        <v>3665.0699999999997</v>
      </c>
      <c r="Y20" s="3"/>
      <c r="Z20" s="7">
        <f t="shared" si="7"/>
        <v>0.14345853325160463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-697.93</v>
      </c>
      <c r="E21" s="3"/>
      <c r="F21" s="7">
        <f t="shared" si="0"/>
        <v>0</v>
      </c>
      <c r="G21" s="3"/>
      <c r="H21" s="6">
        <v>90.13</v>
      </c>
      <c r="I21" s="3"/>
      <c r="J21" s="7">
        <f t="shared" si="1"/>
        <v>0</v>
      </c>
      <c r="K21" s="3"/>
      <c r="L21" s="6">
        <f t="shared" si="2"/>
        <v>-788.06</v>
      </c>
      <c r="M21" s="3"/>
      <c r="N21" s="7">
        <f t="shared" si="3"/>
        <v>-8.7435925884833026</v>
      </c>
      <c r="O21" s="9"/>
      <c r="P21" s="6">
        <v>3768.55</v>
      </c>
      <c r="Q21" s="3"/>
      <c r="R21" s="7">
        <f t="shared" si="4"/>
        <v>0</v>
      </c>
      <c r="S21" s="3"/>
      <c r="T21" s="6">
        <v>1108.8800000000001</v>
      </c>
      <c r="U21" s="3"/>
      <c r="V21" s="7">
        <f t="shared" si="5"/>
        <v>0</v>
      </c>
      <c r="W21" s="3"/>
      <c r="X21" s="6">
        <f t="shared" si="6"/>
        <v>2659.67</v>
      </c>
      <c r="Y21" s="3"/>
      <c r="Z21" s="7">
        <f t="shared" si="7"/>
        <v>2.3985192266070268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5574.36</v>
      </c>
      <c r="E22" s="3"/>
      <c r="F22" s="7">
        <f t="shared" si="0"/>
        <v>0</v>
      </c>
      <c r="G22" s="3"/>
      <c r="H22" s="6">
        <v>6060.19</v>
      </c>
      <c r="I22" s="3"/>
      <c r="J22" s="7">
        <f t="shared" si="1"/>
        <v>0</v>
      </c>
      <c r="K22" s="3"/>
      <c r="L22" s="6">
        <f t="shared" si="2"/>
        <v>-485.82999999999993</v>
      </c>
      <c r="M22" s="3"/>
      <c r="N22" s="7">
        <f t="shared" si="3"/>
        <v>-8.0167453495682467E-2</v>
      </c>
      <c r="O22" s="9"/>
      <c r="P22" s="6">
        <v>69773.55</v>
      </c>
      <c r="Q22" s="3"/>
      <c r="R22" s="7">
        <f t="shared" si="4"/>
        <v>0</v>
      </c>
      <c r="S22" s="3"/>
      <c r="T22" s="6">
        <v>72751.66</v>
      </c>
      <c r="U22" s="3"/>
      <c r="V22" s="7">
        <f t="shared" si="5"/>
        <v>0</v>
      </c>
      <c r="W22" s="3"/>
      <c r="X22" s="6">
        <f t="shared" si="6"/>
        <v>-2978.1100000000006</v>
      </c>
      <c r="Y22" s="3"/>
      <c r="Z22" s="7">
        <f t="shared" si="7"/>
        <v>-4.0935285875263884E-2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499931.01</v>
      </c>
      <c r="I23" s="3"/>
      <c r="J23" s="7">
        <f t="shared" si="1"/>
        <v>0</v>
      </c>
      <c r="K23" s="3"/>
      <c r="L23" s="6">
        <f t="shared" si="2"/>
        <v>-499931.01</v>
      </c>
      <c r="M23" s="3"/>
      <c r="N23" s="7">
        <f t="shared" si="3"/>
        <v>-1</v>
      </c>
      <c r="O23" s="9"/>
      <c r="P23" s="6">
        <v>900.22</v>
      </c>
      <c r="Q23" s="3"/>
      <c r="R23" s="7">
        <f t="shared" si="4"/>
        <v>0</v>
      </c>
      <c r="S23" s="3"/>
      <c r="T23" s="6">
        <v>500733.66</v>
      </c>
      <c r="U23" s="3"/>
      <c r="V23" s="7">
        <f t="shared" si="5"/>
        <v>0</v>
      </c>
      <c r="W23" s="3"/>
      <c r="X23" s="6">
        <f t="shared" si="6"/>
        <v>-499833.44</v>
      </c>
      <c r="Y23" s="3"/>
      <c r="Z23" s="7">
        <f t="shared" si="7"/>
        <v>-0.9982021979509027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1545.04</v>
      </c>
      <c r="E24" s="3"/>
      <c r="F24" s="7">
        <f t="shared" si="0"/>
        <v>0</v>
      </c>
      <c r="G24" s="3"/>
      <c r="H24" s="6">
        <v>1800.95</v>
      </c>
      <c r="I24" s="3"/>
      <c r="J24" s="7">
        <f t="shared" si="1"/>
        <v>0</v>
      </c>
      <c r="K24" s="3"/>
      <c r="L24" s="6">
        <f t="shared" si="2"/>
        <v>-255.91000000000008</v>
      </c>
      <c r="M24" s="3"/>
      <c r="N24" s="7">
        <f t="shared" si="3"/>
        <v>-0.14209722646381082</v>
      </c>
      <c r="O24" s="9"/>
      <c r="P24" s="6">
        <v>16708.310000000001</v>
      </c>
      <c r="Q24" s="3"/>
      <c r="R24" s="7">
        <f t="shared" si="4"/>
        <v>0</v>
      </c>
      <c r="S24" s="3"/>
      <c r="T24" s="6">
        <v>16175.75</v>
      </c>
      <c r="U24" s="3"/>
      <c r="V24" s="7">
        <f t="shared" si="5"/>
        <v>0</v>
      </c>
      <c r="W24" s="3"/>
      <c r="X24" s="6">
        <f t="shared" si="6"/>
        <v>532.56000000000131</v>
      </c>
      <c r="Y24" s="3"/>
      <c r="Z24" s="7">
        <f t="shared" si="7"/>
        <v>3.2923357495015765E-2</v>
      </c>
    </row>
    <row r="25" spans="1:26" s="69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2636</v>
      </c>
      <c r="I25" s="3"/>
      <c r="J25" s="7">
        <f t="shared" si="1"/>
        <v>0</v>
      </c>
      <c r="K25" s="3"/>
      <c r="L25" s="6">
        <f t="shared" si="2"/>
        <v>-2636</v>
      </c>
      <c r="M25" s="3"/>
      <c r="N25" s="7">
        <f t="shared" si="3"/>
        <v>-1</v>
      </c>
      <c r="O25" s="9"/>
      <c r="P25" s="6">
        <v>4855</v>
      </c>
      <c r="Q25" s="3"/>
      <c r="R25" s="7">
        <f t="shared" si="4"/>
        <v>0</v>
      </c>
      <c r="S25" s="3"/>
      <c r="T25" s="6">
        <v>7482</v>
      </c>
      <c r="U25" s="3"/>
      <c r="V25" s="7">
        <f t="shared" si="5"/>
        <v>0</v>
      </c>
      <c r="W25" s="3"/>
      <c r="X25" s="6">
        <f t="shared" si="6"/>
        <v>-2627</v>
      </c>
      <c r="Y25" s="3"/>
      <c r="Z25" s="7">
        <f t="shared" si="7"/>
        <v>-0.35110932905640202</v>
      </c>
    </row>
    <row r="26" spans="1:26" s="69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3837.38</v>
      </c>
      <c r="E26" s="3"/>
      <c r="F26" s="7">
        <f t="shared" si="0"/>
        <v>0</v>
      </c>
      <c r="G26" s="3"/>
      <c r="H26" s="6">
        <v>585.27</v>
      </c>
      <c r="I26" s="3"/>
      <c r="J26" s="7">
        <f t="shared" si="1"/>
        <v>0</v>
      </c>
      <c r="K26" s="3"/>
      <c r="L26" s="6">
        <f t="shared" si="2"/>
        <v>3252.11</v>
      </c>
      <c r="M26" s="3"/>
      <c r="N26" s="7">
        <f t="shared" si="3"/>
        <v>5.5565978095579824</v>
      </c>
      <c r="O26" s="9"/>
      <c r="P26" s="6">
        <v>21336.2</v>
      </c>
      <c r="Q26" s="3"/>
      <c r="R26" s="7">
        <f t="shared" si="4"/>
        <v>0</v>
      </c>
      <c r="S26" s="3"/>
      <c r="T26" s="6">
        <v>7251.28</v>
      </c>
      <c r="U26" s="3"/>
      <c r="V26" s="7">
        <f t="shared" si="5"/>
        <v>0</v>
      </c>
      <c r="W26" s="3"/>
      <c r="X26" s="6">
        <f t="shared" si="6"/>
        <v>14084.920000000002</v>
      </c>
      <c r="Y26" s="3"/>
      <c r="Z26" s="7">
        <f t="shared" si="7"/>
        <v>1.9424046513167335</v>
      </c>
    </row>
    <row r="27" spans="1:26" s="69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1886.84</v>
      </c>
      <c r="E27" s="3"/>
      <c r="F27" s="7">
        <f t="shared" si="0"/>
        <v>0</v>
      </c>
      <c r="G27" s="3"/>
      <c r="H27" s="6">
        <v>5745.09</v>
      </c>
      <c r="I27" s="3"/>
      <c r="J27" s="7">
        <f t="shared" si="1"/>
        <v>0</v>
      </c>
      <c r="K27" s="3"/>
      <c r="L27" s="6">
        <f t="shared" si="2"/>
        <v>-3858.25</v>
      </c>
      <c r="M27" s="3"/>
      <c r="N27" s="7">
        <f t="shared" si="3"/>
        <v>-0.67157346534170914</v>
      </c>
      <c r="O27" s="9"/>
      <c r="P27" s="6">
        <v>21946.48</v>
      </c>
      <c r="Q27" s="3"/>
      <c r="R27" s="7">
        <f t="shared" si="4"/>
        <v>0</v>
      </c>
      <c r="S27" s="3"/>
      <c r="T27" s="6">
        <v>17732.169999999998</v>
      </c>
      <c r="U27" s="3"/>
      <c r="V27" s="7">
        <f t="shared" si="5"/>
        <v>0</v>
      </c>
      <c r="W27" s="3"/>
      <c r="X27" s="6">
        <f t="shared" si="6"/>
        <v>4214.3100000000013</v>
      </c>
      <c r="Y27" s="3"/>
      <c r="Z27" s="7">
        <f t="shared" si="7"/>
        <v>0.23766465130889236</v>
      </c>
    </row>
    <row r="28" spans="1:26" s="69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1254.6199999999999</v>
      </c>
      <c r="E28" s="3"/>
      <c r="F28" s="7">
        <f t="shared" si="0"/>
        <v>0</v>
      </c>
      <c r="G28" s="3"/>
      <c r="H28" s="6">
        <v>3548.12</v>
      </c>
      <c r="I28" s="3"/>
      <c r="J28" s="7">
        <f t="shared" si="1"/>
        <v>0</v>
      </c>
      <c r="K28" s="3"/>
      <c r="L28" s="6">
        <f t="shared" si="2"/>
        <v>-2293.5</v>
      </c>
      <c r="M28" s="3"/>
      <c r="N28" s="7">
        <f t="shared" si="3"/>
        <v>-0.64639865618975689</v>
      </c>
      <c r="O28" s="9"/>
      <c r="P28" s="6">
        <v>17944.650000000001</v>
      </c>
      <c r="Q28" s="3"/>
      <c r="R28" s="7">
        <f t="shared" si="4"/>
        <v>0</v>
      </c>
      <c r="S28" s="3"/>
      <c r="T28" s="6">
        <v>14445.56</v>
      </c>
      <c r="U28" s="3"/>
      <c r="V28" s="7">
        <f t="shared" si="5"/>
        <v>0</v>
      </c>
      <c r="W28" s="3"/>
      <c r="X28" s="6">
        <f t="shared" si="6"/>
        <v>3499.090000000002</v>
      </c>
      <c r="Y28" s="3"/>
      <c r="Z28" s="7">
        <f t="shared" si="7"/>
        <v>0.24222598500854256</v>
      </c>
    </row>
    <row r="29" spans="1:26" s="69" customFormat="1" ht="15" hidden="1" customHeight="1" outlineLevel="2" x14ac:dyDescent="0.3">
      <c r="A29" s="21"/>
      <c r="B29" s="9" t="str">
        <f>CONCATENATE("          ","6156"," - ","EMPLOYEE MEALS")</f>
        <v xml:space="preserve">          6156 - EMPLOYEE MEALS</v>
      </c>
      <c r="C29" s="9"/>
      <c r="D29" s="6">
        <v>491.78</v>
      </c>
      <c r="E29" s="3"/>
      <c r="F29" s="7">
        <f t="shared" si="0"/>
        <v>0</v>
      </c>
      <c r="G29" s="3"/>
      <c r="H29" s="6">
        <v>58.57</v>
      </c>
      <c r="I29" s="3"/>
      <c r="J29" s="7">
        <f t="shared" si="1"/>
        <v>0</v>
      </c>
      <c r="K29" s="3"/>
      <c r="L29" s="6">
        <f t="shared" si="2"/>
        <v>433.21</v>
      </c>
      <c r="M29" s="3"/>
      <c r="N29" s="7">
        <f t="shared" si="3"/>
        <v>7.3964486938705818</v>
      </c>
      <c r="O29" s="9"/>
      <c r="P29" s="6">
        <v>3520.96</v>
      </c>
      <c r="Q29" s="3"/>
      <c r="R29" s="7">
        <f t="shared" si="4"/>
        <v>0</v>
      </c>
      <c r="S29" s="3"/>
      <c r="T29" s="6">
        <v>398.4</v>
      </c>
      <c r="U29" s="3"/>
      <c r="V29" s="7">
        <f t="shared" si="5"/>
        <v>0</v>
      </c>
      <c r="W29" s="3"/>
      <c r="X29" s="6">
        <f t="shared" si="6"/>
        <v>3122.56</v>
      </c>
      <c r="Y29" s="3"/>
      <c r="Z29" s="7">
        <f t="shared" si="7"/>
        <v>7.8377510040160647</v>
      </c>
    </row>
    <row r="30" spans="1:26" s="68" customFormat="1" ht="15" customHeight="1" outlineLevel="1" collapsed="1" x14ac:dyDescent="0.3">
      <c r="A30" s="20"/>
      <c r="B30" s="11" t="str">
        <f>CONCATENATE("     ","*Payroll                                          ")</f>
        <v xml:space="preserve">     *Payroll                                          </v>
      </c>
      <c r="C30" s="11"/>
      <c r="D30" s="2">
        <f>SUM(OSRRefD22_1x_0)</f>
        <v>22886.82</v>
      </c>
      <c r="E30" s="2"/>
      <c r="F30" s="5">
        <f t="shared" si="0"/>
        <v>0</v>
      </c>
      <c r="G30" s="2"/>
      <c r="H30" s="2">
        <f>SUM(OSRRefH22_1x_0)</f>
        <v>25253.25</v>
      </c>
      <c r="I30" s="2"/>
      <c r="J30" s="5">
        <f t="shared" si="1"/>
        <v>0</v>
      </c>
      <c r="K30" s="2"/>
      <c r="L30" s="2">
        <f t="shared" si="2"/>
        <v>-2366.4300000000003</v>
      </c>
      <c r="M30" s="2"/>
      <c r="N30" s="5">
        <f t="shared" si="3"/>
        <v>-9.3707938582162698E-2</v>
      </c>
      <c r="O30" s="11"/>
      <c r="P30" s="2">
        <f>SUM(OSRRefP22_1x_0)</f>
        <v>348452.84</v>
      </c>
      <c r="Q30" s="2"/>
      <c r="R30" s="5">
        <f t="shared" si="4"/>
        <v>0</v>
      </c>
      <c r="S30" s="2"/>
      <c r="T30" s="2">
        <f>SUM(OSRRefT22_1x_0)</f>
        <v>307972.71999999997</v>
      </c>
      <c r="U30" s="2"/>
      <c r="V30" s="5">
        <f t="shared" si="5"/>
        <v>0</v>
      </c>
      <c r="W30" s="2"/>
      <c r="X30" s="2">
        <f t="shared" si="6"/>
        <v>40480.120000000054</v>
      </c>
      <c r="Y30" s="2"/>
      <c r="Z30" s="5">
        <f t="shared" si="7"/>
        <v>0.13144060292093424</v>
      </c>
    </row>
    <row r="31" spans="1:26" s="69" customFormat="1" ht="15" hidden="1" customHeight="1" outlineLevel="2" x14ac:dyDescent="0.3">
      <c r="A31" s="21"/>
      <c r="B31" s="9" t="str">
        <f>CONCATENATE("          ","6001"," - ","ADMINISTRATIVE SALARIES")</f>
        <v xml:space="preserve">          6001 - ADMINISTRATIVE SALARIES</v>
      </c>
      <c r="C31" s="9"/>
      <c r="D31" s="6">
        <v>4733.51</v>
      </c>
      <c r="E31" s="3"/>
      <c r="F31" s="7">
        <f t="shared" si="0"/>
        <v>0</v>
      </c>
      <c r="G31" s="3"/>
      <c r="H31" s="6">
        <v>9672.0499999999993</v>
      </c>
      <c r="I31" s="3"/>
      <c r="J31" s="7">
        <f t="shared" si="1"/>
        <v>0</v>
      </c>
      <c r="K31" s="3"/>
      <c r="L31" s="6">
        <f t="shared" si="2"/>
        <v>-4938.5399999999991</v>
      </c>
      <c r="M31" s="3"/>
      <c r="N31" s="7">
        <f t="shared" si="3"/>
        <v>-0.51059909739920695</v>
      </c>
      <c r="O31" s="9"/>
      <c r="P31" s="6">
        <v>134179.69</v>
      </c>
      <c r="Q31" s="3"/>
      <c r="R31" s="7">
        <f t="shared" si="4"/>
        <v>0</v>
      </c>
      <c r="S31" s="3"/>
      <c r="T31" s="6">
        <v>118243.81</v>
      </c>
      <c r="U31" s="3"/>
      <c r="V31" s="7">
        <f t="shared" si="5"/>
        <v>0</v>
      </c>
      <c r="W31" s="3"/>
      <c r="X31" s="6">
        <f t="shared" si="6"/>
        <v>15935.880000000005</v>
      </c>
      <c r="Y31" s="3"/>
      <c r="Z31" s="7">
        <f t="shared" si="7"/>
        <v>0.13477136773586715</v>
      </c>
    </row>
    <row r="32" spans="1:26" s="69" customFormat="1" ht="15" hidden="1" customHeight="1" outlineLevel="2" x14ac:dyDescent="0.3">
      <c r="A32" s="21"/>
      <c r="B32" s="9" t="str">
        <f>CONCATENATE("          ","6002"," - ","STAFF SALARIES")</f>
        <v xml:space="preserve">          6002 - STAFF SALARIES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18.5</v>
      </c>
      <c r="Q32" s="3"/>
      <c r="R32" s="7">
        <f t="shared" si="4"/>
        <v>0</v>
      </c>
      <c r="S32" s="3"/>
      <c r="T32" s="6"/>
      <c r="U32" s="3"/>
      <c r="V32" s="7">
        <f t="shared" si="5"/>
        <v>0</v>
      </c>
      <c r="W32" s="3"/>
      <c r="X32" s="6">
        <f t="shared" si="6"/>
        <v>18.5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>
        <v>15085.9</v>
      </c>
      <c r="E33" s="3"/>
      <c r="F33" s="7">
        <f t="shared" si="0"/>
        <v>0</v>
      </c>
      <c r="G33" s="3"/>
      <c r="H33" s="6">
        <v>13596.7</v>
      </c>
      <c r="I33" s="3"/>
      <c r="J33" s="7">
        <f t="shared" si="1"/>
        <v>0</v>
      </c>
      <c r="K33" s="3"/>
      <c r="L33" s="6">
        <f t="shared" si="2"/>
        <v>1489.1999999999989</v>
      </c>
      <c r="M33" s="3"/>
      <c r="N33" s="7">
        <f t="shared" si="3"/>
        <v>0.10952657630160251</v>
      </c>
      <c r="O33" s="9"/>
      <c r="P33" s="6">
        <v>187745.56</v>
      </c>
      <c r="Q33" s="3"/>
      <c r="R33" s="7">
        <f t="shared" si="4"/>
        <v>0</v>
      </c>
      <c r="S33" s="3"/>
      <c r="T33" s="6">
        <v>129805.88</v>
      </c>
      <c r="U33" s="3"/>
      <c r="V33" s="7">
        <f t="shared" si="5"/>
        <v>0</v>
      </c>
      <c r="W33" s="3"/>
      <c r="X33" s="6">
        <f t="shared" si="6"/>
        <v>57939.679999999993</v>
      </c>
      <c r="Y33" s="3"/>
      <c r="Z33" s="7">
        <f t="shared" si="7"/>
        <v>0.44635635920345051</v>
      </c>
    </row>
    <row r="34" spans="1:26" s="69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>
        <v>3067.41</v>
      </c>
      <c r="E34" s="3"/>
      <c r="F34" s="7">
        <f t="shared" si="0"/>
        <v>0</v>
      </c>
      <c r="G34" s="3"/>
      <c r="H34" s="6">
        <v>1984.5</v>
      </c>
      <c r="I34" s="3"/>
      <c r="J34" s="7">
        <f t="shared" si="1"/>
        <v>0</v>
      </c>
      <c r="K34" s="3"/>
      <c r="L34" s="6">
        <f t="shared" si="2"/>
        <v>1082.9099999999999</v>
      </c>
      <c r="M34" s="3"/>
      <c r="N34" s="7">
        <f t="shared" si="3"/>
        <v>0.54568405139833709</v>
      </c>
      <c r="O34" s="9"/>
      <c r="P34" s="6">
        <v>26509.09</v>
      </c>
      <c r="Q34" s="3"/>
      <c r="R34" s="7">
        <f t="shared" si="4"/>
        <v>0</v>
      </c>
      <c r="S34" s="3"/>
      <c r="T34" s="6">
        <v>59923.03</v>
      </c>
      <c r="U34" s="3"/>
      <c r="V34" s="7">
        <f t="shared" si="5"/>
        <v>0</v>
      </c>
      <c r="W34" s="3"/>
      <c r="X34" s="6">
        <f t="shared" si="6"/>
        <v>-33413.94</v>
      </c>
      <c r="Y34" s="3"/>
      <c r="Z34" s="7">
        <f t="shared" si="7"/>
        <v>-0.55761432624485119</v>
      </c>
    </row>
    <row r="35" spans="1:26" s="69" customFormat="1" ht="15" hidden="1" customHeight="1" outlineLevel="2" x14ac:dyDescent="0.3">
      <c r="A35" s="21"/>
      <c r="B35" s="9" t="str">
        <f>CONCATENATE("          ","6007"," - ","STUDENT HOURLY")</f>
        <v xml:space="preserve">          6007 - STUDENT HOURLY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0</v>
      </c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0"/>
      <c r="B36" s="11" t="str">
        <f>CONCATENATE("     ","Advertising/Promo                                 ")</f>
        <v xml:space="preserve">     Advertising/Promo                                 </v>
      </c>
      <c r="C36" s="11"/>
      <c r="D36" s="2">
        <f>SUM(OSRRefD22_2x_0)</f>
        <v>94.32</v>
      </c>
      <c r="E36" s="2"/>
      <c r="F36" s="5">
        <f t="shared" si="0"/>
        <v>0</v>
      </c>
      <c r="G36" s="2"/>
      <c r="H36" s="2">
        <f>SUM(OSRRefH22_2x_0)</f>
        <v>0</v>
      </c>
      <c r="I36" s="2"/>
      <c r="J36" s="5">
        <f t="shared" si="1"/>
        <v>0</v>
      </c>
      <c r="K36" s="2"/>
      <c r="L36" s="2">
        <f t="shared" si="2"/>
        <v>94.32</v>
      </c>
      <c r="M36" s="2"/>
      <c r="N36" s="5">
        <f t="shared" si="3"/>
        <v>0</v>
      </c>
      <c r="O36" s="11"/>
      <c r="P36" s="2">
        <f>SUM(OSRRefP22_2x_0)</f>
        <v>740.78</v>
      </c>
      <c r="Q36" s="2"/>
      <c r="R36" s="5">
        <f t="shared" si="4"/>
        <v>0</v>
      </c>
      <c r="S36" s="2"/>
      <c r="T36" s="2">
        <f>SUM(OSRRefT22_2x_0)</f>
        <v>0</v>
      </c>
      <c r="U36" s="2"/>
      <c r="V36" s="5">
        <f t="shared" si="5"/>
        <v>0</v>
      </c>
      <c r="W36" s="2"/>
      <c r="X36" s="2">
        <f t="shared" si="6"/>
        <v>740.78</v>
      </c>
      <c r="Y36" s="2"/>
      <c r="Z36" s="5">
        <f t="shared" si="7"/>
        <v>0</v>
      </c>
    </row>
    <row r="37" spans="1:26" s="69" customFormat="1" ht="15" hidden="1" customHeight="1" outlineLevel="2" x14ac:dyDescent="0.3">
      <c r="A37" s="21"/>
      <c r="B37" s="9" t="str">
        <f>CONCATENATE("          ","6362"," - ","ADVERTISING EXPENSE")</f>
        <v xml:space="preserve">          6362 - ADVERTISING EXPENSE</v>
      </c>
      <c r="C37" s="9"/>
      <c r="D37" s="6">
        <v>94.32</v>
      </c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94.32</v>
      </c>
      <c r="M37" s="3"/>
      <c r="N37" s="7">
        <f t="shared" si="3"/>
        <v>0</v>
      </c>
      <c r="O37" s="9"/>
      <c r="P37" s="6">
        <v>740.78</v>
      </c>
      <c r="Q37" s="3"/>
      <c r="R37" s="7">
        <f t="shared" si="4"/>
        <v>0</v>
      </c>
      <c r="S37" s="3"/>
      <c r="T37" s="6"/>
      <c r="U37" s="3"/>
      <c r="V37" s="7">
        <f t="shared" si="5"/>
        <v>0</v>
      </c>
      <c r="W37" s="3"/>
      <c r="X37" s="6">
        <f t="shared" si="6"/>
        <v>740.78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0"/>
      <c r="B38" s="11" t="str">
        <f>CONCATENATE("     ","Employees' Appreciation                           ")</f>
        <v xml:space="preserve">     Employees' Appreciation                           </v>
      </c>
      <c r="C38" s="11"/>
      <c r="D38" s="2">
        <f>SUM(OSRRefD22_3x_0)</f>
        <v>0</v>
      </c>
      <c r="E38" s="2"/>
      <c r="F38" s="5">
        <f t="shared" si="0"/>
        <v>0</v>
      </c>
      <c r="G38" s="2"/>
      <c r="H38" s="2">
        <f>SUM(OSRRefH22_3x_0)</f>
        <v>0</v>
      </c>
      <c r="I38" s="2"/>
      <c r="J38" s="5">
        <f t="shared" si="1"/>
        <v>0</v>
      </c>
      <c r="K38" s="2"/>
      <c r="L38" s="2">
        <f t="shared" si="2"/>
        <v>0</v>
      </c>
      <c r="M38" s="2"/>
      <c r="N38" s="5">
        <f t="shared" si="3"/>
        <v>0</v>
      </c>
      <c r="O38" s="11"/>
      <c r="P38" s="2">
        <f>SUM(OSRRefP22_3x_0)</f>
        <v>114.87</v>
      </c>
      <c r="Q38" s="2"/>
      <c r="R38" s="5">
        <f t="shared" si="4"/>
        <v>0</v>
      </c>
      <c r="S38" s="2"/>
      <c r="T38" s="2">
        <f>SUM(OSRRefT22_3x_0)</f>
        <v>81.56</v>
      </c>
      <c r="U38" s="2"/>
      <c r="V38" s="5">
        <f t="shared" si="5"/>
        <v>0</v>
      </c>
      <c r="W38" s="2"/>
      <c r="X38" s="2">
        <f t="shared" si="6"/>
        <v>33.31</v>
      </c>
      <c r="Y38" s="2"/>
      <c r="Z38" s="5">
        <f t="shared" si="7"/>
        <v>0.40841098577734186</v>
      </c>
    </row>
    <row r="39" spans="1:26" s="69" customFormat="1" ht="15" hidden="1" customHeight="1" outlineLevel="2" x14ac:dyDescent="0.3">
      <c r="A39" s="21"/>
      <c r="B39" s="9" t="str">
        <f>CONCATENATE("          ","6277"," - ","EMPLOYEE APPRECIATION")</f>
        <v xml:space="preserve">          6277 - EMPLOYEE APPRECIATION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114.87</v>
      </c>
      <c r="Q39" s="3"/>
      <c r="R39" s="7">
        <f t="shared" si="4"/>
        <v>0</v>
      </c>
      <c r="S39" s="3"/>
      <c r="T39" s="6">
        <v>81.56</v>
      </c>
      <c r="U39" s="3"/>
      <c r="V39" s="7">
        <f t="shared" si="5"/>
        <v>0</v>
      </c>
      <c r="W39" s="3"/>
      <c r="X39" s="6">
        <f t="shared" si="6"/>
        <v>33.31</v>
      </c>
      <c r="Y39" s="3"/>
      <c r="Z39" s="7">
        <f t="shared" si="7"/>
        <v>0.40841098577734186</v>
      </c>
    </row>
    <row r="40" spans="1:26" s="68" customFormat="1" ht="15" customHeight="1" outlineLevel="1" collapsed="1" x14ac:dyDescent="0.3">
      <c r="A40" s="20"/>
      <c r="B40" s="11" t="str">
        <f>CONCATENATE("     ","Freight out/Postage                               ")</f>
        <v xml:space="preserve">     Freight out/Postage                               </v>
      </c>
      <c r="C40" s="11"/>
      <c r="D40" s="2">
        <f>SUM(OSRRefD22_4x_0)</f>
        <v>2.12</v>
      </c>
      <c r="E40" s="2"/>
      <c r="F40" s="5">
        <f t="shared" si="0"/>
        <v>0</v>
      </c>
      <c r="G40" s="2"/>
      <c r="H40" s="2">
        <f>SUM(OSRRefH22_4x_0)</f>
        <v>3.06</v>
      </c>
      <c r="I40" s="2"/>
      <c r="J40" s="5">
        <f t="shared" si="1"/>
        <v>0</v>
      </c>
      <c r="K40" s="2"/>
      <c r="L40" s="2">
        <f t="shared" si="2"/>
        <v>-0.94</v>
      </c>
      <c r="M40" s="2"/>
      <c r="N40" s="5">
        <f t="shared" si="3"/>
        <v>-0.30718954248366009</v>
      </c>
      <c r="O40" s="11"/>
      <c r="P40" s="2">
        <f>SUM(OSRRefP22_4x_0)</f>
        <v>217.1</v>
      </c>
      <c r="Q40" s="2"/>
      <c r="R40" s="5">
        <f t="shared" si="4"/>
        <v>0</v>
      </c>
      <c r="S40" s="2"/>
      <c r="T40" s="2">
        <f>SUM(OSRRefT22_4x_0)</f>
        <v>122.07</v>
      </c>
      <c r="U40" s="2"/>
      <c r="V40" s="5">
        <f t="shared" si="5"/>
        <v>0</v>
      </c>
      <c r="W40" s="2"/>
      <c r="X40" s="2">
        <f t="shared" si="6"/>
        <v>95.03</v>
      </c>
      <c r="Y40" s="2"/>
      <c r="Z40" s="5">
        <f t="shared" si="7"/>
        <v>0.77848775292864758</v>
      </c>
    </row>
    <row r="41" spans="1:26" s="69" customFormat="1" ht="15" hidden="1" customHeight="1" outlineLevel="2" x14ac:dyDescent="0.3">
      <c r="A41" s="21"/>
      <c r="B41" s="9" t="str">
        <f>CONCATENATE("          ","6307"," - ","POSTAGE")</f>
        <v xml:space="preserve">          6307 - POSTAGE</v>
      </c>
      <c r="C41" s="9"/>
      <c r="D41" s="6">
        <v>2.12</v>
      </c>
      <c r="E41" s="3"/>
      <c r="F41" s="7">
        <f t="shared" si="0"/>
        <v>0</v>
      </c>
      <c r="G41" s="3"/>
      <c r="H41" s="6">
        <v>3.06</v>
      </c>
      <c r="I41" s="3"/>
      <c r="J41" s="7">
        <f t="shared" si="1"/>
        <v>0</v>
      </c>
      <c r="K41" s="3"/>
      <c r="L41" s="6">
        <f t="shared" si="2"/>
        <v>-0.94</v>
      </c>
      <c r="M41" s="3"/>
      <c r="N41" s="7">
        <f t="shared" si="3"/>
        <v>-0.30718954248366009</v>
      </c>
      <c r="O41" s="9"/>
      <c r="P41" s="6">
        <v>217.1</v>
      </c>
      <c r="Q41" s="3"/>
      <c r="R41" s="7">
        <f t="shared" si="4"/>
        <v>0</v>
      </c>
      <c r="S41" s="3"/>
      <c r="T41" s="6">
        <v>122.07</v>
      </c>
      <c r="U41" s="3"/>
      <c r="V41" s="7">
        <f t="shared" si="5"/>
        <v>0</v>
      </c>
      <c r="W41" s="3"/>
      <c r="X41" s="6">
        <f t="shared" si="6"/>
        <v>95.03</v>
      </c>
      <c r="Y41" s="3"/>
      <c r="Z41" s="7">
        <f t="shared" si="7"/>
        <v>0.77848775292864758</v>
      </c>
    </row>
    <row r="42" spans="1:26" s="68" customFormat="1" ht="15" customHeight="1" outlineLevel="1" collapsed="1" x14ac:dyDescent="0.3">
      <c r="A42" s="20"/>
      <c r="B42" s="11" t="str">
        <f>CONCATENATE("     ","General                                           ")</f>
        <v xml:space="preserve">     General                                           </v>
      </c>
      <c r="C42" s="11"/>
      <c r="D42" s="2">
        <f>SUM(OSRRefD22_5x_0)</f>
        <v>54</v>
      </c>
      <c r="E42" s="2"/>
      <c r="F42" s="5">
        <f t="shared" si="0"/>
        <v>0</v>
      </c>
      <c r="G42" s="2"/>
      <c r="H42" s="2">
        <f>SUM(OSRRefH22_5x_0)</f>
        <v>197.75</v>
      </c>
      <c r="I42" s="2"/>
      <c r="J42" s="5">
        <f t="shared" si="1"/>
        <v>0</v>
      </c>
      <c r="K42" s="2"/>
      <c r="L42" s="2">
        <f t="shared" si="2"/>
        <v>-143.75</v>
      </c>
      <c r="M42" s="2"/>
      <c r="N42" s="5">
        <f t="shared" si="3"/>
        <v>-0.7269279393173198</v>
      </c>
      <c r="O42" s="11"/>
      <c r="P42" s="2">
        <f>SUM(OSRRefP22_5x_0)</f>
        <v>3000.61</v>
      </c>
      <c r="Q42" s="2"/>
      <c r="R42" s="5">
        <f t="shared" si="4"/>
        <v>0</v>
      </c>
      <c r="S42" s="2"/>
      <c r="T42" s="2">
        <f>SUM(OSRRefT22_5x_0)</f>
        <v>815.89</v>
      </c>
      <c r="U42" s="2"/>
      <c r="V42" s="5">
        <f t="shared" si="5"/>
        <v>0</v>
      </c>
      <c r="W42" s="2"/>
      <c r="X42" s="2">
        <f t="shared" si="6"/>
        <v>2184.7200000000003</v>
      </c>
      <c r="Y42" s="2"/>
      <c r="Z42" s="5">
        <f t="shared" si="7"/>
        <v>2.6777139075120426</v>
      </c>
    </row>
    <row r="43" spans="1:26" s="69" customFormat="1" ht="15" hidden="1" customHeight="1" outlineLevel="2" x14ac:dyDescent="0.3">
      <c r="A43" s="21"/>
      <c r="B43" s="9" t="str">
        <f>CONCATENATE("          ","6279"," - ","GENERAL EXPENSE")</f>
        <v xml:space="preserve">          6279 - GENERAL EXPENSE</v>
      </c>
      <c r="C43" s="9"/>
      <c r="D43" s="6">
        <v>54</v>
      </c>
      <c r="E43" s="3"/>
      <c r="F43" s="7">
        <f t="shared" si="0"/>
        <v>0</v>
      </c>
      <c r="G43" s="3"/>
      <c r="H43" s="6">
        <v>197.75</v>
      </c>
      <c r="I43" s="3"/>
      <c r="J43" s="7">
        <f t="shared" si="1"/>
        <v>0</v>
      </c>
      <c r="K43" s="3"/>
      <c r="L43" s="6">
        <f t="shared" si="2"/>
        <v>-143.75</v>
      </c>
      <c r="M43" s="3"/>
      <c r="N43" s="7">
        <f t="shared" si="3"/>
        <v>-0.7269279393173198</v>
      </c>
      <c r="O43" s="9"/>
      <c r="P43" s="6">
        <v>3000.61</v>
      </c>
      <c r="Q43" s="3"/>
      <c r="R43" s="7">
        <f t="shared" si="4"/>
        <v>0</v>
      </c>
      <c r="S43" s="3"/>
      <c r="T43" s="6">
        <v>815.89</v>
      </c>
      <c r="U43" s="3"/>
      <c r="V43" s="7">
        <f t="shared" si="5"/>
        <v>0</v>
      </c>
      <c r="W43" s="3"/>
      <c r="X43" s="6">
        <f t="shared" si="6"/>
        <v>2184.7200000000003</v>
      </c>
      <c r="Y43" s="3"/>
      <c r="Z43" s="7">
        <f t="shared" si="7"/>
        <v>2.6777139075120426</v>
      </c>
    </row>
    <row r="44" spans="1:26" s="68" customFormat="1" ht="15" customHeight="1" outlineLevel="1" collapsed="1" x14ac:dyDescent="0.3">
      <c r="A44" s="20"/>
      <c r="B44" s="11" t="str">
        <f>CONCATENATE("     ","Insurance                                         ")</f>
        <v xml:space="preserve">     Insurance                                         </v>
      </c>
      <c r="C44" s="11"/>
      <c r="D44" s="2">
        <f>SUM(OSRRefD22_6x_0)</f>
        <v>-27.63</v>
      </c>
      <c r="E44" s="2"/>
      <c r="F44" s="5">
        <f t="shared" si="0"/>
        <v>0</v>
      </c>
      <c r="G44" s="2"/>
      <c r="H44" s="2">
        <f>SUM(OSRRefH22_6x_0)</f>
        <v>140.56</v>
      </c>
      <c r="I44" s="2"/>
      <c r="J44" s="5">
        <f t="shared" si="1"/>
        <v>0</v>
      </c>
      <c r="K44" s="2"/>
      <c r="L44" s="2">
        <f t="shared" si="2"/>
        <v>-168.19</v>
      </c>
      <c r="M44" s="2"/>
      <c r="N44" s="5">
        <f t="shared" si="3"/>
        <v>-1.1965708594194651</v>
      </c>
      <c r="O44" s="11"/>
      <c r="P44" s="2">
        <f>SUM(OSRRefP22_6x_0)</f>
        <v>951.26</v>
      </c>
      <c r="Q44" s="2"/>
      <c r="R44" s="5">
        <f t="shared" si="4"/>
        <v>0</v>
      </c>
      <c r="S44" s="2"/>
      <c r="T44" s="2">
        <f>SUM(OSRRefT22_6x_0)</f>
        <v>860.73</v>
      </c>
      <c r="U44" s="2"/>
      <c r="V44" s="5">
        <f t="shared" si="5"/>
        <v>0</v>
      </c>
      <c r="W44" s="2"/>
      <c r="X44" s="2">
        <f t="shared" si="6"/>
        <v>90.529999999999973</v>
      </c>
      <c r="Y44" s="2"/>
      <c r="Z44" s="5">
        <f t="shared" si="7"/>
        <v>0.1051781627223403</v>
      </c>
    </row>
    <row r="45" spans="1:26" s="69" customFormat="1" ht="15" hidden="1" customHeight="1" outlineLevel="2" x14ac:dyDescent="0.3">
      <c r="A45" s="21"/>
      <c r="B45" s="9" t="str">
        <f>CONCATENATE("          ","6314"," - ","LIABILITY INSURANCE")</f>
        <v xml:space="preserve">          6314 - LIABILITY INSURANCE</v>
      </c>
      <c r="C45" s="9"/>
      <c r="D45" s="6">
        <v>-27.63</v>
      </c>
      <c r="E45" s="3"/>
      <c r="F45" s="7">
        <f t="shared" si="0"/>
        <v>0</v>
      </c>
      <c r="G45" s="3"/>
      <c r="H45" s="6">
        <v>140.56</v>
      </c>
      <c r="I45" s="3"/>
      <c r="J45" s="7">
        <f t="shared" si="1"/>
        <v>0</v>
      </c>
      <c r="K45" s="3"/>
      <c r="L45" s="6">
        <f t="shared" si="2"/>
        <v>-168.19</v>
      </c>
      <c r="M45" s="3"/>
      <c r="N45" s="7">
        <f t="shared" si="3"/>
        <v>-1.1965708594194651</v>
      </c>
      <c r="O45" s="9"/>
      <c r="P45" s="6">
        <v>951.26</v>
      </c>
      <c r="Q45" s="3"/>
      <c r="R45" s="7">
        <f t="shared" si="4"/>
        <v>0</v>
      </c>
      <c r="S45" s="3"/>
      <c r="T45" s="6">
        <v>860.73</v>
      </c>
      <c r="U45" s="3"/>
      <c r="V45" s="7">
        <f t="shared" si="5"/>
        <v>0</v>
      </c>
      <c r="W45" s="3"/>
      <c r="X45" s="6">
        <f t="shared" si="6"/>
        <v>90.529999999999973</v>
      </c>
      <c r="Y45" s="3"/>
      <c r="Z45" s="7">
        <f t="shared" si="7"/>
        <v>0.1051781627223403</v>
      </c>
    </row>
    <row r="46" spans="1:26" s="68" customFormat="1" ht="15" customHeight="1" outlineLevel="1" collapsed="1" x14ac:dyDescent="0.3">
      <c r="A46" s="20"/>
      <c r="B46" s="11" t="str">
        <f>CONCATENATE("     ","Professional Services                             ")</f>
        <v xml:space="preserve">     Professional Services                             </v>
      </c>
      <c r="C46" s="11"/>
      <c r="D46" s="2">
        <f>SUM(OSRRefD22_7x_0)</f>
        <v>1245</v>
      </c>
      <c r="E46" s="2"/>
      <c r="F46" s="5">
        <f t="shared" si="0"/>
        <v>0</v>
      </c>
      <c r="G46" s="2"/>
      <c r="H46" s="2">
        <f>SUM(OSRRefH22_7x_0)</f>
        <v>643.47</v>
      </c>
      <c r="I46" s="2"/>
      <c r="J46" s="5">
        <f t="shared" si="1"/>
        <v>0</v>
      </c>
      <c r="K46" s="2"/>
      <c r="L46" s="2">
        <f t="shared" si="2"/>
        <v>601.53</v>
      </c>
      <c r="M46" s="2"/>
      <c r="N46" s="5">
        <f t="shared" si="3"/>
        <v>0.93482213623012722</v>
      </c>
      <c r="O46" s="11"/>
      <c r="P46" s="2">
        <f>SUM(OSRRefP22_7x_0)</f>
        <v>21214.639999999999</v>
      </c>
      <c r="Q46" s="2"/>
      <c r="R46" s="5">
        <f t="shared" si="4"/>
        <v>0</v>
      </c>
      <c r="S46" s="2"/>
      <c r="T46" s="2">
        <f>SUM(OSRRefT22_7x_0)</f>
        <v>11118.35</v>
      </c>
      <c r="U46" s="2"/>
      <c r="V46" s="5">
        <f t="shared" si="5"/>
        <v>0</v>
      </c>
      <c r="W46" s="2"/>
      <c r="X46" s="2">
        <f t="shared" si="6"/>
        <v>10096.289999999999</v>
      </c>
      <c r="Y46" s="2"/>
      <c r="Z46" s="5">
        <f t="shared" si="7"/>
        <v>0.90807448947011016</v>
      </c>
    </row>
    <row r="47" spans="1:26" s="69" customFormat="1" ht="15" hidden="1" customHeight="1" outlineLevel="2" x14ac:dyDescent="0.3">
      <c r="A47" s="21"/>
      <c r="B47" s="9" t="str">
        <f>CONCATENATE("          ","6334"," - ","LEGAL COUNCIL EXPENSE")</f>
        <v xml:space="preserve">          6334 - LEGAL COUNCIL EXPENSE</v>
      </c>
      <c r="C47" s="9"/>
      <c r="D47" s="6"/>
      <c r="E47" s="3"/>
      <c r="F47" s="7">
        <f t="shared" si="0"/>
        <v>0</v>
      </c>
      <c r="G47" s="3"/>
      <c r="H47" s="6"/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>
        <v>3255</v>
      </c>
      <c r="Q47" s="3"/>
      <c r="R47" s="7">
        <f t="shared" si="4"/>
        <v>0</v>
      </c>
      <c r="S47" s="3"/>
      <c r="T47" s="6">
        <v>2450</v>
      </c>
      <c r="U47" s="3"/>
      <c r="V47" s="7">
        <f t="shared" si="5"/>
        <v>0</v>
      </c>
      <c r="W47" s="3"/>
      <c r="X47" s="6">
        <f t="shared" si="6"/>
        <v>805</v>
      </c>
      <c r="Y47" s="3"/>
      <c r="Z47" s="7">
        <f t="shared" si="7"/>
        <v>0.32857142857142857</v>
      </c>
    </row>
    <row r="48" spans="1:26" s="69" customFormat="1" ht="15" hidden="1" customHeight="1" outlineLevel="2" x14ac:dyDescent="0.3">
      <c r="A48" s="21"/>
      <c r="B48" s="9" t="str">
        <f>CONCATENATE("          ","6336"," - ","PROFESSIONAL SERVICES")</f>
        <v xml:space="preserve">          6336 - PROFESSIONAL SERVICES</v>
      </c>
      <c r="C48" s="9"/>
      <c r="D48" s="6">
        <v>1245</v>
      </c>
      <c r="E48" s="3"/>
      <c r="F48" s="7">
        <f t="shared" si="0"/>
        <v>0</v>
      </c>
      <c r="G48" s="3"/>
      <c r="H48" s="6">
        <v>643.47</v>
      </c>
      <c r="I48" s="3"/>
      <c r="J48" s="7">
        <f t="shared" si="1"/>
        <v>0</v>
      </c>
      <c r="K48" s="3"/>
      <c r="L48" s="6">
        <f t="shared" si="2"/>
        <v>601.53</v>
      </c>
      <c r="M48" s="3"/>
      <c r="N48" s="7">
        <f t="shared" si="3"/>
        <v>0.93482213623012722</v>
      </c>
      <c r="O48" s="9"/>
      <c r="P48" s="6">
        <v>17959.64</v>
      </c>
      <c r="Q48" s="3"/>
      <c r="R48" s="7">
        <f t="shared" si="4"/>
        <v>0</v>
      </c>
      <c r="S48" s="3"/>
      <c r="T48" s="6">
        <v>8668.35</v>
      </c>
      <c r="U48" s="3"/>
      <c r="V48" s="7">
        <f t="shared" si="5"/>
        <v>0</v>
      </c>
      <c r="W48" s="3"/>
      <c r="X48" s="6">
        <f t="shared" si="6"/>
        <v>9291.2899999999991</v>
      </c>
      <c r="Y48" s="3"/>
      <c r="Z48" s="7">
        <f t="shared" si="7"/>
        <v>1.0718637341593267</v>
      </c>
    </row>
    <row r="49" spans="1:26" s="68" customFormat="1" ht="15" customHeight="1" outlineLevel="1" collapsed="1" x14ac:dyDescent="0.3">
      <c r="A49" s="20"/>
      <c r="B49" s="11" t="str">
        <f>CONCATENATE("     ","Repair and Maintenance                            ")</f>
        <v xml:space="preserve">     Repair and Maintenance                            </v>
      </c>
      <c r="C49" s="11"/>
      <c r="D49" s="2">
        <f>SUM(OSRRefD22_8x_0)</f>
        <v>8986.7999999999993</v>
      </c>
      <c r="E49" s="2"/>
      <c r="F49" s="5">
        <f t="shared" si="0"/>
        <v>0</v>
      </c>
      <c r="G49" s="2"/>
      <c r="H49" s="2">
        <f>SUM(OSRRefH22_8x_0)</f>
        <v>4294.53</v>
      </c>
      <c r="I49" s="2"/>
      <c r="J49" s="5">
        <f t="shared" si="1"/>
        <v>0</v>
      </c>
      <c r="K49" s="2"/>
      <c r="L49" s="2">
        <f t="shared" si="2"/>
        <v>4692.2699999999995</v>
      </c>
      <c r="M49" s="2"/>
      <c r="N49" s="5">
        <f t="shared" si="3"/>
        <v>1.0926154899371991</v>
      </c>
      <c r="O49" s="11"/>
      <c r="P49" s="2">
        <f>SUM(OSRRefP22_8x_0)</f>
        <v>84842.71</v>
      </c>
      <c r="Q49" s="2"/>
      <c r="R49" s="5">
        <f t="shared" si="4"/>
        <v>0</v>
      </c>
      <c r="S49" s="2"/>
      <c r="T49" s="2">
        <f>SUM(OSRRefT22_8x_0)</f>
        <v>55205.07</v>
      </c>
      <c r="U49" s="2"/>
      <c r="V49" s="5">
        <f t="shared" si="5"/>
        <v>0</v>
      </c>
      <c r="W49" s="2"/>
      <c r="X49" s="2">
        <f t="shared" si="6"/>
        <v>29637.640000000007</v>
      </c>
      <c r="Y49" s="2"/>
      <c r="Z49" s="5">
        <f t="shared" si="7"/>
        <v>0.53686445828254559</v>
      </c>
    </row>
    <row r="50" spans="1:26" s="69" customFormat="1" ht="15" hidden="1" customHeight="1" outlineLevel="2" x14ac:dyDescent="0.3">
      <c r="A50" s="21"/>
      <c r="B50" s="9" t="str">
        <f>CONCATENATE("          ","6371"," - ","COMPUTER SOFTWARE MAINTENANCE")</f>
        <v xml:space="preserve">          6371 - COMPUTER SOFTWARE MAINTENANCE</v>
      </c>
      <c r="C50" s="9"/>
      <c r="D50" s="6">
        <v>8986.7999999999993</v>
      </c>
      <c r="E50" s="3"/>
      <c r="F50" s="7">
        <f t="shared" si="0"/>
        <v>0</v>
      </c>
      <c r="G50" s="3"/>
      <c r="H50" s="6">
        <v>4294.53</v>
      </c>
      <c r="I50" s="3"/>
      <c r="J50" s="7">
        <f t="shared" si="1"/>
        <v>0</v>
      </c>
      <c r="K50" s="3"/>
      <c r="L50" s="6">
        <f t="shared" si="2"/>
        <v>4692.2699999999995</v>
      </c>
      <c r="M50" s="3"/>
      <c r="N50" s="7">
        <f t="shared" si="3"/>
        <v>1.0926154899371991</v>
      </c>
      <c r="O50" s="9"/>
      <c r="P50" s="6">
        <v>84303.39</v>
      </c>
      <c r="Q50" s="3"/>
      <c r="R50" s="7">
        <f t="shared" si="4"/>
        <v>0</v>
      </c>
      <c r="S50" s="3"/>
      <c r="T50" s="6">
        <v>55065.919999999998</v>
      </c>
      <c r="U50" s="3"/>
      <c r="V50" s="7">
        <f t="shared" si="5"/>
        <v>0</v>
      </c>
      <c r="W50" s="3"/>
      <c r="X50" s="6">
        <f t="shared" si="6"/>
        <v>29237.47</v>
      </c>
      <c r="Y50" s="3"/>
      <c r="Z50" s="7">
        <f t="shared" si="7"/>
        <v>0.53095399114370567</v>
      </c>
    </row>
    <row r="51" spans="1:26" s="69" customFormat="1" ht="15" hidden="1" customHeight="1" outlineLevel="2" x14ac:dyDescent="0.3">
      <c r="A51" s="21"/>
      <c r="B51" s="9" t="str">
        <f>CONCATENATE("          ","6373"," - ","MAINTENANCE CONTRACTS")</f>
        <v xml:space="preserve">          6373 - MAINTENANCE CONTRACTS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539.32000000000005</v>
      </c>
      <c r="Q51" s="3"/>
      <c r="R51" s="7">
        <f t="shared" si="4"/>
        <v>0</v>
      </c>
      <c r="S51" s="3"/>
      <c r="T51" s="6">
        <v>139.15</v>
      </c>
      <c r="U51" s="3"/>
      <c r="V51" s="7">
        <f t="shared" si="5"/>
        <v>0</v>
      </c>
      <c r="W51" s="3"/>
      <c r="X51" s="6">
        <f t="shared" si="6"/>
        <v>400.17000000000007</v>
      </c>
      <c r="Y51" s="3"/>
      <c r="Z51" s="7">
        <f t="shared" si="7"/>
        <v>2.8758174631692421</v>
      </c>
    </row>
    <row r="52" spans="1:26" s="68" customFormat="1" ht="15" customHeight="1" outlineLevel="1" collapsed="1" x14ac:dyDescent="0.3">
      <c r="A52" s="20"/>
      <c r="B52" s="11" t="str">
        <f>CONCATENATE("     ","Subscriptions &amp; Dues                              ")</f>
        <v xml:space="preserve">     Subscriptions &amp; Dues                              </v>
      </c>
      <c r="C52" s="11"/>
      <c r="D52" s="2">
        <f>SUM(OSRRefD22_9x_0)</f>
        <v>0</v>
      </c>
      <c r="E52" s="2"/>
      <c r="F52" s="5">
        <f t="shared" si="0"/>
        <v>0</v>
      </c>
      <c r="G52" s="2"/>
      <c r="H52" s="2">
        <f>SUM(OSRRefH22_9x_0)</f>
        <v>0</v>
      </c>
      <c r="I52" s="2"/>
      <c r="J52" s="5">
        <f t="shared" si="1"/>
        <v>0</v>
      </c>
      <c r="K52" s="2"/>
      <c r="L52" s="2">
        <f t="shared" si="2"/>
        <v>0</v>
      </c>
      <c r="M52" s="2"/>
      <c r="N52" s="5">
        <f t="shared" si="3"/>
        <v>0</v>
      </c>
      <c r="O52" s="11"/>
      <c r="P52" s="2">
        <f>SUM(OSRRefP22_9x_0)</f>
        <v>2730.9</v>
      </c>
      <c r="Q52" s="2"/>
      <c r="R52" s="5">
        <f t="shared" si="4"/>
        <v>0</v>
      </c>
      <c r="S52" s="2"/>
      <c r="T52" s="2">
        <f>SUM(OSRRefT22_9x_0)</f>
        <v>1329.99</v>
      </c>
      <c r="U52" s="2"/>
      <c r="V52" s="5">
        <f t="shared" si="5"/>
        <v>0</v>
      </c>
      <c r="W52" s="2"/>
      <c r="X52" s="2">
        <f t="shared" si="6"/>
        <v>1400.91</v>
      </c>
      <c r="Y52" s="2"/>
      <c r="Z52" s="5">
        <f t="shared" si="7"/>
        <v>1.0533237092008212</v>
      </c>
    </row>
    <row r="53" spans="1:26" s="69" customFormat="1" ht="15" hidden="1" customHeight="1" outlineLevel="2" x14ac:dyDescent="0.3">
      <c r="A53" s="21"/>
      <c r="B53" s="9" t="str">
        <f>CONCATENATE("          ","6258"," - ","MEMBERSHIP DUES")</f>
        <v xml:space="preserve">          6258 - MEMBERSHIP DUES</v>
      </c>
      <c r="C53" s="9"/>
      <c r="D53" s="6"/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0</v>
      </c>
      <c r="M53" s="3"/>
      <c r="N53" s="7">
        <f t="shared" si="3"/>
        <v>0</v>
      </c>
      <c r="O53" s="9"/>
      <c r="P53" s="6">
        <v>1452</v>
      </c>
      <c r="Q53" s="3"/>
      <c r="R53" s="7">
        <f t="shared" si="4"/>
        <v>0</v>
      </c>
      <c r="S53" s="3"/>
      <c r="T53" s="6">
        <v>1329.99</v>
      </c>
      <c r="U53" s="3"/>
      <c r="V53" s="7">
        <f t="shared" si="5"/>
        <v>0</v>
      </c>
      <c r="W53" s="3"/>
      <c r="X53" s="6">
        <f t="shared" si="6"/>
        <v>122.00999999999999</v>
      </c>
      <c r="Y53" s="3"/>
      <c r="Z53" s="7">
        <f t="shared" si="7"/>
        <v>9.1737531861141808E-2</v>
      </c>
    </row>
    <row r="54" spans="1:26" s="69" customFormat="1" ht="15" hidden="1" customHeight="1" outlineLevel="2" x14ac:dyDescent="0.3">
      <c r="A54" s="21"/>
      <c r="B54" s="9" t="str">
        <f>CONCATENATE("          ","6275"," - ","SUBSCRIPTIONS")</f>
        <v xml:space="preserve">          6275 - SUBSCRIPTIONS</v>
      </c>
      <c r="C54" s="9"/>
      <c r="D54" s="6"/>
      <c r="E54" s="3"/>
      <c r="F54" s="7">
        <f t="shared" si="0"/>
        <v>0</v>
      </c>
      <c r="G54" s="3"/>
      <c r="H54" s="6"/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>
        <v>1278.9000000000001</v>
      </c>
      <c r="Q54" s="3"/>
      <c r="R54" s="7">
        <f t="shared" si="4"/>
        <v>0</v>
      </c>
      <c r="S54" s="3"/>
      <c r="T54" s="6"/>
      <c r="U54" s="3"/>
      <c r="V54" s="7">
        <f t="shared" si="5"/>
        <v>0</v>
      </c>
      <c r="W54" s="3"/>
      <c r="X54" s="6">
        <f t="shared" si="6"/>
        <v>1278.9000000000001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0"/>
      <c r="B55" s="11" t="str">
        <f>CONCATENATE("     ","Supplies                                          ")</f>
        <v xml:space="preserve">     Supplies                                          </v>
      </c>
      <c r="C55" s="11"/>
      <c r="D55" s="2">
        <f>SUM(OSRRefD22_10x_0)</f>
        <v>1865.73</v>
      </c>
      <c r="E55" s="2"/>
      <c r="F55" s="5">
        <f t="shared" si="0"/>
        <v>0</v>
      </c>
      <c r="G55" s="2"/>
      <c r="H55" s="2">
        <f>SUM(OSRRefH22_10x_0)</f>
        <v>16799.439999999999</v>
      </c>
      <c r="I55" s="2"/>
      <c r="J55" s="5">
        <f t="shared" si="1"/>
        <v>0</v>
      </c>
      <c r="K55" s="2"/>
      <c r="L55" s="2">
        <f t="shared" si="2"/>
        <v>-14933.71</v>
      </c>
      <c r="M55" s="2"/>
      <c r="N55" s="5">
        <f t="shared" si="3"/>
        <v>-0.88894094088850584</v>
      </c>
      <c r="O55" s="11"/>
      <c r="P55" s="2">
        <f>SUM(OSRRefP22_10x_0)</f>
        <v>20260.52</v>
      </c>
      <c r="Q55" s="2"/>
      <c r="R55" s="5">
        <f t="shared" si="4"/>
        <v>0</v>
      </c>
      <c r="S55" s="2"/>
      <c r="T55" s="2">
        <f>SUM(OSRRefT22_10x_0)</f>
        <v>19336.810000000001</v>
      </c>
      <c r="U55" s="2"/>
      <c r="V55" s="5">
        <f t="shared" si="5"/>
        <v>0</v>
      </c>
      <c r="W55" s="2"/>
      <c r="X55" s="2">
        <f t="shared" si="6"/>
        <v>923.70999999999913</v>
      </c>
      <c r="Y55" s="2"/>
      <c r="Z55" s="5">
        <f t="shared" si="7"/>
        <v>4.7769513172027808E-2</v>
      </c>
    </row>
    <row r="56" spans="1:26" s="69" customFormat="1" ht="15" hidden="1" customHeight="1" outlineLevel="2" x14ac:dyDescent="0.3">
      <c r="A56" s="21"/>
      <c r="B56" s="9" t="str">
        <f>CONCATENATE("          ","6235"," - ","COVID-19 EXPENSES")</f>
        <v xml:space="preserve">          6235 - COVID-19 EXPENSES</v>
      </c>
      <c r="C56" s="9"/>
      <c r="D56" s="6"/>
      <c r="E56" s="3"/>
      <c r="F56" s="7">
        <f t="shared" si="0"/>
        <v>0</v>
      </c>
      <c r="G56" s="3"/>
      <c r="H56" s="6"/>
      <c r="I56" s="3"/>
      <c r="J56" s="7">
        <f t="shared" si="1"/>
        <v>0</v>
      </c>
      <c r="K56" s="3"/>
      <c r="L56" s="6">
        <f t="shared" si="2"/>
        <v>0</v>
      </c>
      <c r="M56" s="3"/>
      <c r="N56" s="7">
        <f t="shared" si="3"/>
        <v>0</v>
      </c>
      <c r="O56" s="9"/>
      <c r="P56" s="6">
        <v>2636.13</v>
      </c>
      <c r="Q56" s="3"/>
      <c r="R56" s="7">
        <f t="shared" si="4"/>
        <v>0</v>
      </c>
      <c r="S56" s="3"/>
      <c r="T56" s="6">
        <v>210.58</v>
      </c>
      <c r="U56" s="3"/>
      <c r="V56" s="7">
        <f t="shared" si="5"/>
        <v>0</v>
      </c>
      <c r="W56" s="3"/>
      <c r="X56" s="6">
        <f t="shared" si="6"/>
        <v>2425.5500000000002</v>
      </c>
      <c r="Y56" s="3"/>
      <c r="Z56" s="7">
        <f t="shared" si="7"/>
        <v>11.518425301548106</v>
      </c>
    </row>
    <row r="57" spans="1:26" s="69" customFormat="1" ht="15" hidden="1" customHeight="1" outlineLevel="2" x14ac:dyDescent="0.3">
      <c r="A57" s="21"/>
      <c r="B57" s="9" t="str">
        <f>CONCATENATE("          ","6241"," - ","OFFICE EXPENSE")</f>
        <v xml:space="preserve">          6241 - OFFICE EXPENSE</v>
      </c>
      <c r="C57" s="9"/>
      <c r="D57" s="6">
        <v>1840.73</v>
      </c>
      <c r="E57" s="3"/>
      <c r="F57" s="7">
        <f t="shared" si="0"/>
        <v>0</v>
      </c>
      <c r="G57" s="3"/>
      <c r="H57" s="6">
        <v>257.44</v>
      </c>
      <c r="I57" s="3"/>
      <c r="J57" s="7">
        <f t="shared" si="1"/>
        <v>0</v>
      </c>
      <c r="K57" s="3"/>
      <c r="L57" s="6">
        <f t="shared" si="2"/>
        <v>1583.29</v>
      </c>
      <c r="M57" s="3"/>
      <c r="N57" s="7">
        <f t="shared" si="3"/>
        <v>6.1501320696084525</v>
      </c>
      <c r="O57" s="9"/>
      <c r="P57" s="6">
        <v>4499.6000000000004</v>
      </c>
      <c r="Q57" s="3"/>
      <c r="R57" s="7">
        <f t="shared" si="4"/>
        <v>0</v>
      </c>
      <c r="S57" s="3"/>
      <c r="T57" s="6">
        <v>2361.52</v>
      </c>
      <c r="U57" s="3"/>
      <c r="V57" s="7">
        <f t="shared" si="5"/>
        <v>0</v>
      </c>
      <c r="W57" s="3"/>
      <c r="X57" s="6">
        <f t="shared" si="6"/>
        <v>2138.0800000000004</v>
      </c>
      <c r="Y57" s="3"/>
      <c r="Z57" s="7">
        <f t="shared" si="7"/>
        <v>0.90538297367797027</v>
      </c>
    </row>
    <row r="58" spans="1:26" s="69" customFormat="1" ht="15" hidden="1" customHeight="1" outlineLevel="2" x14ac:dyDescent="0.3">
      <c r="A58" s="21"/>
      <c r="B58" s="9" t="str">
        <f>CONCATENATE("          ","6244"," - ","SAFETY SUPPLY EXPENSE")</f>
        <v xml:space="preserve">          6244 - SAFETY SUPPLY EXPENSE</v>
      </c>
      <c r="C58" s="9"/>
      <c r="D58" s="6">
        <v>25</v>
      </c>
      <c r="E58" s="3"/>
      <c r="F58" s="7">
        <f t="shared" si="0"/>
        <v>0</v>
      </c>
      <c r="G58" s="3"/>
      <c r="H58" s="6">
        <v>125</v>
      </c>
      <c r="I58" s="3"/>
      <c r="J58" s="7">
        <f t="shared" si="1"/>
        <v>0</v>
      </c>
      <c r="K58" s="3"/>
      <c r="L58" s="6">
        <f t="shared" si="2"/>
        <v>-100</v>
      </c>
      <c r="M58" s="3"/>
      <c r="N58" s="7">
        <f t="shared" si="3"/>
        <v>-0.8</v>
      </c>
      <c r="O58" s="9"/>
      <c r="P58" s="6">
        <v>1278.6300000000001</v>
      </c>
      <c r="Q58" s="3"/>
      <c r="R58" s="7">
        <f t="shared" si="4"/>
        <v>0</v>
      </c>
      <c r="S58" s="3"/>
      <c r="T58" s="6">
        <v>347.71</v>
      </c>
      <c r="U58" s="3"/>
      <c r="V58" s="7">
        <f t="shared" si="5"/>
        <v>0</v>
      </c>
      <c r="W58" s="3"/>
      <c r="X58" s="6">
        <f t="shared" si="6"/>
        <v>930.92000000000007</v>
      </c>
      <c r="Y58" s="3"/>
      <c r="Z58" s="7">
        <f t="shared" si="7"/>
        <v>2.6772885450519115</v>
      </c>
    </row>
    <row r="59" spans="1:26" s="69" customFormat="1" ht="15" hidden="1" customHeight="1" outlineLevel="2" x14ac:dyDescent="0.3">
      <c r="A59" s="21"/>
      <c r="B59" s="9" t="str">
        <f>CONCATENATE("          ","6248"," - ","UNIFORMS")</f>
        <v xml:space="preserve">          6248 - UNIFORMS</v>
      </c>
      <c r="C59" s="9"/>
      <c r="D59" s="6"/>
      <c r="E59" s="3"/>
      <c r="F59" s="7">
        <f t="shared" si="0"/>
        <v>0</v>
      </c>
      <c r="G59" s="3"/>
      <c r="H59" s="6">
        <v>16417</v>
      </c>
      <c r="I59" s="3"/>
      <c r="J59" s="7">
        <f t="shared" si="1"/>
        <v>0</v>
      </c>
      <c r="K59" s="3"/>
      <c r="L59" s="6">
        <f t="shared" si="2"/>
        <v>-16417</v>
      </c>
      <c r="M59" s="3"/>
      <c r="N59" s="7">
        <f t="shared" si="3"/>
        <v>-1</v>
      </c>
      <c r="O59" s="9"/>
      <c r="P59" s="6">
        <v>11846.16</v>
      </c>
      <c r="Q59" s="3"/>
      <c r="R59" s="7">
        <f t="shared" si="4"/>
        <v>0</v>
      </c>
      <c r="S59" s="3"/>
      <c r="T59" s="6">
        <v>16417</v>
      </c>
      <c r="U59" s="3"/>
      <c r="V59" s="7">
        <f t="shared" si="5"/>
        <v>0</v>
      </c>
      <c r="W59" s="3"/>
      <c r="X59" s="6">
        <f t="shared" si="6"/>
        <v>-4570.84</v>
      </c>
      <c r="Y59" s="3"/>
      <c r="Z59" s="7">
        <f t="shared" si="7"/>
        <v>-0.27842114880916125</v>
      </c>
    </row>
    <row r="60" spans="1:26" s="68" customFormat="1" ht="15" customHeight="1" outlineLevel="1" collapsed="1" x14ac:dyDescent="0.3">
      <c r="A60" s="20"/>
      <c r="B60" s="11" t="str">
        <f>CONCATENATE("     ","Telephone/Data Lines                              ")</f>
        <v xml:space="preserve">     Telephone/Data Lines                              </v>
      </c>
      <c r="C60" s="11"/>
      <c r="D60" s="2">
        <f>SUM(OSRRefD22_11x_0)</f>
        <v>279.75</v>
      </c>
      <c r="E60" s="2"/>
      <c r="F60" s="5">
        <f t="shared" si="0"/>
        <v>0</v>
      </c>
      <c r="G60" s="2"/>
      <c r="H60" s="2">
        <f>SUM(OSRRefH22_11x_0)</f>
        <v>424.15</v>
      </c>
      <c r="I60" s="2"/>
      <c r="J60" s="5">
        <f t="shared" si="1"/>
        <v>0</v>
      </c>
      <c r="K60" s="2"/>
      <c r="L60" s="2">
        <f t="shared" si="2"/>
        <v>-144.39999999999998</v>
      </c>
      <c r="M60" s="2"/>
      <c r="N60" s="5">
        <f t="shared" si="3"/>
        <v>-0.3404455970765059</v>
      </c>
      <c r="O60" s="11"/>
      <c r="P60" s="2">
        <f>SUM(OSRRefP22_11x_0)</f>
        <v>6291.5</v>
      </c>
      <c r="Q60" s="2"/>
      <c r="R60" s="5">
        <f t="shared" si="4"/>
        <v>0</v>
      </c>
      <c r="S60" s="2"/>
      <c r="T60" s="2">
        <f>SUM(OSRRefT22_11x_0)</f>
        <v>3842.4</v>
      </c>
      <c r="U60" s="2"/>
      <c r="V60" s="5">
        <f t="shared" si="5"/>
        <v>0</v>
      </c>
      <c r="W60" s="2"/>
      <c r="X60" s="2">
        <f t="shared" si="6"/>
        <v>2449.1</v>
      </c>
      <c r="Y60" s="2"/>
      <c r="Z60" s="5">
        <f t="shared" si="7"/>
        <v>0.63738809077659797</v>
      </c>
    </row>
    <row r="61" spans="1:26" s="69" customFormat="1" ht="15" hidden="1" customHeight="1" outlineLevel="2" x14ac:dyDescent="0.3">
      <c r="A61" s="21"/>
      <c r="B61" s="9" t="str">
        <f>CONCATENATE("          ","6309"," - ","TELEPHONE")</f>
        <v xml:space="preserve">          6309 - TELEPHONE</v>
      </c>
      <c r="C61" s="9"/>
      <c r="D61" s="6">
        <v>279.75</v>
      </c>
      <c r="E61" s="3"/>
      <c r="F61" s="7">
        <f t="shared" si="0"/>
        <v>0</v>
      </c>
      <c r="G61" s="3"/>
      <c r="H61" s="6">
        <v>424.15</v>
      </c>
      <c r="I61" s="3"/>
      <c r="J61" s="7">
        <f t="shared" si="1"/>
        <v>0</v>
      </c>
      <c r="K61" s="3"/>
      <c r="L61" s="6">
        <f t="shared" si="2"/>
        <v>-144.39999999999998</v>
      </c>
      <c r="M61" s="3"/>
      <c r="N61" s="7">
        <f t="shared" si="3"/>
        <v>-0.3404455970765059</v>
      </c>
      <c r="O61" s="9"/>
      <c r="P61" s="6">
        <v>6291.5</v>
      </c>
      <c r="Q61" s="3"/>
      <c r="R61" s="7">
        <f t="shared" si="4"/>
        <v>0</v>
      </c>
      <c r="S61" s="3"/>
      <c r="T61" s="6">
        <v>3842.4</v>
      </c>
      <c r="U61" s="3"/>
      <c r="V61" s="7">
        <f t="shared" si="5"/>
        <v>0</v>
      </c>
      <c r="W61" s="3"/>
      <c r="X61" s="6">
        <f t="shared" si="6"/>
        <v>2449.1</v>
      </c>
      <c r="Y61" s="3"/>
      <c r="Z61" s="7">
        <f t="shared" si="7"/>
        <v>0.63738809077659797</v>
      </c>
    </row>
    <row r="62" spans="1:26" s="68" customFormat="1" ht="15" customHeight="1" outlineLevel="1" collapsed="1" x14ac:dyDescent="0.3">
      <c r="A62" s="20"/>
      <c r="B62" s="11" t="str">
        <f>CONCATENATE("     ","Training                                          ")</f>
        <v xml:space="preserve">     Training                                          </v>
      </c>
      <c r="C62" s="11"/>
      <c r="D62" s="2">
        <f>SUM(OSRRefD22_12x_0)</f>
        <v>2054</v>
      </c>
      <c r="E62" s="2"/>
      <c r="F62" s="5">
        <f t="shared" si="0"/>
        <v>0</v>
      </c>
      <c r="G62" s="2"/>
      <c r="H62" s="2">
        <f>SUM(OSRRefH22_12x_0)</f>
        <v>0</v>
      </c>
      <c r="I62" s="2"/>
      <c r="J62" s="5">
        <f t="shared" si="1"/>
        <v>0</v>
      </c>
      <c r="K62" s="2"/>
      <c r="L62" s="2">
        <f t="shared" si="2"/>
        <v>2054</v>
      </c>
      <c r="M62" s="2"/>
      <c r="N62" s="5">
        <f t="shared" si="3"/>
        <v>0</v>
      </c>
      <c r="O62" s="11"/>
      <c r="P62" s="2">
        <f>SUM(OSRRefP22_12x_0)</f>
        <v>2529</v>
      </c>
      <c r="Q62" s="2"/>
      <c r="R62" s="5">
        <f t="shared" si="4"/>
        <v>0</v>
      </c>
      <c r="S62" s="2"/>
      <c r="T62" s="2">
        <f>SUM(OSRRefT22_12x_0)</f>
        <v>-97</v>
      </c>
      <c r="U62" s="2"/>
      <c r="V62" s="5">
        <f t="shared" si="5"/>
        <v>0</v>
      </c>
      <c r="W62" s="2"/>
      <c r="X62" s="2">
        <f t="shared" si="6"/>
        <v>2626</v>
      </c>
      <c r="Y62" s="2"/>
      <c r="Z62" s="5">
        <f t="shared" si="7"/>
        <v>-27.072164948453608</v>
      </c>
    </row>
    <row r="63" spans="1:26" s="69" customFormat="1" ht="15" hidden="1" customHeight="1" outlineLevel="2" x14ac:dyDescent="0.3">
      <c r="A63" s="21"/>
      <c r="B63" s="9" t="str">
        <f>CONCATENATE("          ","6376"," - ","TRAINING")</f>
        <v xml:space="preserve">          6376 - TRAINING</v>
      </c>
      <c r="C63" s="9"/>
      <c r="D63" s="6">
        <v>2054</v>
      </c>
      <c r="E63" s="3"/>
      <c r="F63" s="7">
        <f t="shared" si="0"/>
        <v>0</v>
      </c>
      <c r="G63" s="3"/>
      <c r="H63" s="6"/>
      <c r="I63" s="3"/>
      <c r="J63" s="7">
        <f t="shared" si="1"/>
        <v>0</v>
      </c>
      <c r="K63" s="3"/>
      <c r="L63" s="6">
        <f t="shared" si="2"/>
        <v>2054</v>
      </c>
      <c r="M63" s="3"/>
      <c r="N63" s="7">
        <f t="shared" si="3"/>
        <v>0</v>
      </c>
      <c r="O63" s="9"/>
      <c r="P63" s="6">
        <v>2529</v>
      </c>
      <c r="Q63" s="3"/>
      <c r="R63" s="7">
        <f t="shared" si="4"/>
        <v>0</v>
      </c>
      <c r="S63" s="3"/>
      <c r="T63" s="6">
        <v>-97</v>
      </c>
      <c r="U63" s="3"/>
      <c r="V63" s="7">
        <f t="shared" si="5"/>
        <v>0</v>
      </c>
      <c r="W63" s="3"/>
      <c r="X63" s="6">
        <f t="shared" si="6"/>
        <v>2626</v>
      </c>
      <c r="Y63" s="3"/>
      <c r="Z63" s="7">
        <f t="shared" si="7"/>
        <v>-27.072164948453608</v>
      </c>
    </row>
    <row r="64" spans="1:26" s="68" customFormat="1" ht="15" customHeight="1" outlineLevel="1" collapsed="1" x14ac:dyDescent="0.3">
      <c r="A64" s="20"/>
      <c r="B64" s="11" t="str">
        <f>CONCATENATE("     ","Travel                                            ")</f>
        <v xml:space="preserve">     Travel                                            </v>
      </c>
      <c r="C64" s="11"/>
      <c r="D64" s="2">
        <f>SUM(OSRRefD22_13x_0)</f>
        <v>0</v>
      </c>
      <c r="E64" s="2"/>
      <c r="F64" s="5">
        <f t="shared" si="0"/>
        <v>0</v>
      </c>
      <c r="G64" s="2"/>
      <c r="H64" s="2">
        <f>SUM(OSRRefH22_13x_0)</f>
        <v>0</v>
      </c>
      <c r="I64" s="2"/>
      <c r="J64" s="5">
        <f t="shared" si="1"/>
        <v>0</v>
      </c>
      <c r="K64" s="2"/>
      <c r="L64" s="2">
        <f t="shared" si="2"/>
        <v>0</v>
      </c>
      <c r="M64" s="2"/>
      <c r="N64" s="5">
        <f t="shared" si="3"/>
        <v>0</v>
      </c>
      <c r="O64" s="11"/>
      <c r="P64" s="2">
        <f>SUM(OSRRefP22_13x_0)</f>
        <v>0</v>
      </c>
      <c r="Q64" s="2"/>
      <c r="R64" s="5">
        <f t="shared" si="4"/>
        <v>0</v>
      </c>
      <c r="S64" s="2"/>
      <c r="T64" s="2">
        <f>SUM(OSRRefT22_13x_0)</f>
        <v>720</v>
      </c>
      <c r="U64" s="2"/>
      <c r="V64" s="5">
        <f t="shared" si="5"/>
        <v>0</v>
      </c>
      <c r="W64" s="2"/>
      <c r="X64" s="2">
        <f t="shared" si="6"/>
        <v>-720</v>
      </c>
      <c r="Y64" s="2"/>
      <c r="Z64" s="5">
        <f t="shared" si="7"/>
        <v>-1</v>
      </c>
    </row>
    <row r="65" spans="1:26" s="69" customFormat="1" ht="15" hidden="1" customHeight="1" outlineLevel="2" x14ac:dyDescent="0.3">
      <c r="A65" s="21"/>
      <c r="B65" s="9" t="str">
        <f>CONCATENATE("          ","6292"," - ","TRAVEL/CONFERENCE")</f>
        <v xml:space="preserve">          6292 - TRAVEL/CONFERENCE</v>
      </c>
      <c r="C65" s="9"/>
      <c r="D65" s="6"/>
      <c r="E65" s="3"/>
      <c r="F65" s="7">
        <f t="shared" si="0"/>
        <v>0</v>
      </c>
      <c r="G65" s="3"/>
      <c r="H65" s="6"/>
      <c r="I65" s="3"/>
      <c r="J65" s="7">
        <f t="shared" si="1"/>
        <v>0</v>
      </c>
      <c r="K65" s="3"/>
      <c r="L65" s="6">
        <f t="shared" si="2"/>
        <v>0</v>
      </c>
      <c r="M65" s="3"/>
      <c r="N65" s="7">
        <f t="shared" si="3"/>
        <v>0</v>
      </c>
      <c r="O65" s="9"/>
      <c r="P65" s="6"/>
      <c r="Q65" s="3"/>
      <c r="R65" s="7">
        <f t="shared" si="4"/>
        <v>0</v>
      </c>
      <c r="S65" s="3"/>
      <c r="T65" s="6">
        <v>720</v>
      </c>
      <c r="U65" s="3"/>
      <c r="V65" s="7">
        <f t="shared" si="5"/>
        <v>0</v>
      </c>
      <c r="W65" s="3"/>
      <c r="X65" s="6">
        <f t="shared" si="6"/>
        <v>-720</v>
      </c>
      <c r="Y65" s="3"/>
      <c r="Z65" s="7">
        <f t="shared" si="7"/>
        <v>-1</v>
      </c>
    </row>
    <row r="66" spans="1:26" s="64" customFormat="1" ht="15" customHeight="1" x14ac:dyDescent="0.3">
      <c r="A66" s="37"/>
      <c r="B66" s="37"/>
      <c r="C66" s="37"/>
      <c r="D66" s="2"/>
      <c r="E66" s="2"/>
      <c r="F66" s="5"/>
      <c r="G66" s="2"/>
      <c r="H66" s="2"/>
      <c r="I66" s="2"/>
      <c r="J66" s="5"/>
      <c r="K66" s="2"/>
      <c r="L66" s="2"/>
      <c r="M66" s="2"/>
      <c r="N66" s="5"/>
      <c r="O66" s="37"/>
      <c r="P66" s="2"/>
      <c r="Q66" s="2"/>
      <c r="R66" s="5"/>
      <c r="S66" s="2"/>
      <c r="T66" s="2"/>
      <c r="U66" s="2"/>
      <c r="V66" s="5"/>
      <c r="W66" s="2"/>
      <c r="X66" s="2"/>
      <c r="Y66" s="2"/>
      <c r="Z66" s="5"/>
    </row>
    <row r="67" spans="1:26" s="62" customFormat="1" ht="15" customHeight="1" x14ac:dyDescent="0.3">
      <c r="A67" s="13"/>
      <c r="B67" s="27" t="s">
        <v>290</v>
      </c>
      <c r="C67" s="13"/>
      <c r="D67" s="8">
        <f>SUM(0)</f>
        <v>0</v>
      </c>
      <c r="E67" s="8"/>
      <c r="F67" s="14">
        <f>IF(D$12=0,0,D67/D$12)</f>
        <v>0</v>
      </c>
      <c r="G67" s="8"/>
      <c r="H67" s="8">
        <f>SUM(0)</f>
        <v>0</v>
      </c>
      <c r="I67" s="8"/>
      <c r="J67" s="14">
        <f>IF(H$12=0,0,H67/H$12)</f>
        <v>0</v>
      </c>
      <c r="K67" s="8"/>
      <c r="L67" s="8">
        <f>+D67-H67</f>
        <v>0</v>
      </c>
      <c r="M67" s="8"/>
      <c r="N67" s="14">
        <f>IF(H67=0,0,L67/H67)</f>
        <v>0</v>
      </c>
      <c r="O67" s="13"/>
      <c r="P67" s="8">
        <f>SUM(0)</f>
        <v>0</v>
      </c>
      <c r="Q67" s="8"/>
      <c r="R67" s="14">
        <f>IF(P$12=0,0,P67/P$12)</f>
        <v>0</v>
      </c>
      <c r="S67" s="8"/>
      <c r="T67" s="8">
        <f>SUM(0)</f>
        <v>0</v>
      </c>
      <c r="U67" s="8"/>
      <c r="V67" s="14">
        <f>IF(T$12=0,0,T67/T$12)</f>
        <v>0</v>
      </c>
      <c r="W67" s="8"/>
      <c r="X67" s="8">
        <f>+P67-T67</f>
        <v>0</v>
      </c>
      <c r="Y67" s="8"/>
      <c r="Z67" s="14">
        <f>IF(T67=0,0,X67/T67)</f>
        <v>0</v>
      </c>
    </row>
    <row r="68" spans="1:26" ht="15" customHeight="1" x14ac:dyDescent="0.3">
      <c r="A68" s="12"/>
      <c r="B68" s="13"/>
      <c r="C68" s="13"/>
      <c r="D68" s="4"/>
      <c r="E68" s="4"/>
      <c r="F68" s="10"/>
      <c r="G68" s="4"/>
      <c r="H68" s="4"/>
      <c r="I68" s="4"/>
      <c r="J68" s="10"/>
      <c r="K68" s="4"/>
      <c r="L68" s="4"/>
      <c r="M68" s="4"/>
      <c r="N68" s="10"/>
      <c r="O68" s="13"/>
      <c r="P68" s="4"/>
      <c r="Q68" s="4"/>
      <c r="R68" s="10"/>
      <c r="S68" s="4"/>
      <c r="T68" s="4"/>
      <c r="U68" s="4"/>
      <c r="V68" s="10"/>
      <c r="W68" s="4"/>
      <c r="X68" s="4"/>
      <c r="Y68" s="4"/>
      <c r="Z68" s="10"/>
    </row>
    <row r="69" spans="1:26" s="62" customFormat="1" ht="15" customHeight="1" x14ac:dyDescent="0.3">
      <c r="A69" s="13"/>
      <c r="B69" s="28" t="s">
        <v>291</v>
      </c>
      <c r="C69" s="28"/>
      <c r="D69" s="22">
        <f>+D16-D18+D67</f>
        <v>-53890.15</v>
      </c>
      <c r="E69" s="15"/>
      <c r="F69" s="24">
        <f>IF(D$12=0,0,D69/D$12)</f>
        <v>0</v>
      </c>
      <c r="G69" s="15"/>
      <c r="H69" s="22">
        <f>+H16-H18+H67</f>
        <v>-570303.8600000001</v>
      </c>
      <c r="I69" s="15"/>
      <c r="J69" s="24">
        <f>IF(H$12=0,0,H69/H$12)</f>
        <v>0</v>
      </c>
      <c r="K69" s="17"/>
      <c r="L69" s="22">
        <f>+D69-H69</f>
        <v>516413.71000000008</v>
      </c>
      <c r="M69" s="17"/>
      <c r="N69" s="24">
        <f>IF(H69=0,0,L69/H69)</f>
        <v>-0.90550625065031121</v>
      </c>
      <c r="O69" s="27"/>
      <c r="P69" s="22">
        <f>+P16-P18+P67</f>
        <v>-681313.66</v>
      </c>
      <c r="Q69" s="15"/>
      <c r="R69" s="24">
        <f>IF(P$12=0,0,P69/P$12)</f>
        <v>0</v>
      </c>
      <c r="S69" s="15"/>
      <c r="T69" s="22">
        <f>+T16-T18+T67</f>
        <v>-1064935.8900000001</v>
      </c>
      <c r="U69" s="15"/>
      <c r="V69" s="24">
        <f>IF(T$12=0,0,T69/T$12)</f>
        <v>0</v>
      </c>
      <c r="W69" s="17"/>
      <c r="X69" s="22">
        <f>+P69-T69</f>
        <v>383622.2300000001</v>
      </c>
      <c r="Y69" s="17"/>
      <c r="Z69" s="24">
        <f>IF(T69=0,0,X69/T69)</f>
        <v>-0.36023035151909477</v>
      </c>
    </row>
    <row r="70" spans="1:26" ht="15" customHeight="1" x14ac:dyDescent="0.3">
      <c r="A70" s="12"/>
      <c r="B70" s="13"/>
      <c r="C70" s="12"/>
      <c r="D70" s="4"/>
      <c r="E70" s="4"/>
      <c r="F70" s="10"/>
      <c r="G70" s="4"/>
      <c r="H70" s="4"/>
      <c r="I70" s="4"/>
      <c r="J70" s="10"/>
      <c r="K70" s="4"/>
      <c r="L70" s="4"/>
      <c r="M70" s="4"/>
      <c r="N70" s="10"/>
      <c r="P70" s="4"/>
      <c r="Q70" s="4"/>
      <c r="R70" s="10"/>
      <c r="S70" s="4"/>
      <c r="T70" s="4"/>
      <c r="U70" s="4"/>
      <c r="V70" s="10"/>
      <c r="W70" s="4"/>
      <c r="X70" s="4"/>
      <c r="Y70" s="4"/>
      <c r="Z70" s="10"/>
    </row>
    <row r="71" spans="1:26" s="62" customFormat="1" ht="15" customHeight="1" x14ac:dyDescent="0.3">
      <c r="A71" s="48"/>
      <c r="B71" s="13" t="s">
        <v>292</v>
      </c>
      <c r="C71" s="13"/>
      <c r="D71" s="8"/>
      <c r="E71" s="8"/>
      <c r="F71" s="14">
        <f>IF(D$12=0,0,D71/D$12)</f>
        <v>0</v>
      </c>
      <c r="G71" s="8"/>
      <c r="H71" s="8"/>
      <c r="I71" s="8"/>
      <c r="J71" s="14">
        <f>IF(H$12=0,0,H71/H$12)</f>
        <v>0</v>
      </c>
      <c r="K71" s="8"/>
      <c r="L71" s="8">
        <f>+D71-H71</f>
        <v>0</v>
      </c>
      <c r="M71" s="8"/>
      <c r="N71" s="14">
        <f>IF(H71=0,0,L71/H71)</f>
        <v>0</v>
      </c>
      <c r="O71" s="13"/>
      <c r="P71" s="8"/>
      <c r="Q71" s="8"/>
      <c r="R71" s="14">
        <f>IF(P$12=0,0,P71/P$12)</f>
        <v>0</v>
      </c>
      <c r="S71" s="8"/>
      <c r="T71" s="8"/>
      <c r="U71" s="8"/>
      <c r="V71" s="14">
        <f>IF(T$12=0,0,T71/T$12)</f>
        <v>0</v>
      </c>
      <c r="W71" s="8"/>
      <c r="X71" s="8">
        <f>+P71-T71</f>
        <v>0</v>
      </c>
      <c r="Y71" s="8"/>
      <c r="Z71" s="14">
        <f>IF(T71=0,0,X71/T71)</f>
        <v>0</v>
      </c>
    </row>
    <row r="72" spans="1:26" ht="15" customHeight="1" x14ac:dyDescent="0.3">
      <c r="A72" s="12"/>
      <c r="B72" s="13"/>
      <c r="C72" s="13"/>
      <c r="D72" s="4"/>
      <c r="E72" s="4"/>
      <c r="F72" s="10"/>
      <c r="G72" s="4"/>
      <c r="H72" s="4"/>
      <c r="I72" s="4"/>
      <c r="J72" s="10"/>
      <c r="K72" s="4"/>
      <c r="L72" s="4"/>
      <c r="M72" s="4"/>
      <c r="N72" s="10"/>
      <c r="O72" s="13"/>
      <c r="P72" s="4"/>
      <c r="Q72" s="4"/>
      <c r="R72" s="10"/>
      <c r="S72" s="4"/>
      <c r="T72" s="4"/>
      <c r="U72" s="4"/>
      <c r="V72" s="10"/>
      <c r="W72" s="4"/>
      <c r="X72" s="4"/>
      <c r="Y72" s="4"/>
      <c r="Z72" s="10"/>
    </row>
    <row r="73" spans="1:26" s="62" customFormat="1" ht="15" customHeight="1" x14ac:dyDescent="0.3">
      <c r="A73" s="13"/>
      <c r="B73" s="28" t="s">
        <v>293</v>
      </c>
      <c r="C73" s="28"/>
      <c r="D73" s="29">
        <f>+D69-D71</f>
        <v>-53890.15</v>
      </c>
      <c r="E73" s="15"/>
      <c r="F73" s="31">
        <f>IF(D$12=0,0,D73/D$12)</f>
        <v>0</v>
      </c>
      <c r="G73" s="15"/>
      <c r="H73" s="29">
        <f>+H69-H71</f>
        <v>-570303.8600000001</v>
      </c>
      <c r="I73" s="15"/>
      <c r="J73" s="31">
        <f>IF(H$12=0,0,H73/H$12)</f>
        <v>0</v>
      </c>
      <c r="K73" s="17"/>
      <c r="L73" s="29">
        <f>D73-H73</f>
        <v>516413.71000000008</v>
      </c>
      <c r="M73" s="17"/>
      <c r="N73" s="31">
        <f>IF(H73=0,0,L73/H73)</f>
        <v>-0.90550625065031121</v>
      </c>
      <c r="O73" s="27"/>
      <c r="P73" s="29">
        <f>+P69-P71</f>
        <v>-681313.66</v>
      </c>
      <c r="Q73" s="15"/>
      <c r="R73" s="31">
        <f>IF(P$12=0,0,P73/P$12)</f>
        <v>0</v>
      </c>
      <c r="S73" s="15"/>
      <c r="T73" s="29">
        <f>+T69-T71</f>
        <v>-1064935.8900000001</v>
      </c>
      <c r="U73" s="15"/>
      <c r="V73" s="31">
        <f>IF(T$12=0,0,T73/T$12)</f>
        <v>0</v>
      </c>
      <c r="W73" s="17"/>
      <c r="X73" s="29">
        <f>P73-T73</f>
        <v>383622.2300000001</v>
      </c>
      <c r="Y73" s="17"/>
      <c r="Z73" s="31">
        <f>IF(T73=0,0,X73/T73)</f>
        <v>-0.36023035151909477</v>
      </c>
    </row>
    <row r="74" spans="1:26" ht="15" customHeight="1" x14ac:dyDescent="0.3">
      <c r="A74" s="12"/>
      <c r="B74" s="12"/>
      <c r="C74" s="12"/>
      <c r="D74" s="4"/>
      <c r="E74" s="4"/>
      <c r="F74" s="10"/>
      <c r="G74" s="4"/>
      <c r="H74" s="4"/>
      <c r="I74" s="4"/>
      <c r="J74" s="10"/>
      <c r="K74" s="4"/>
      <c r="L74" s="4"/>
      <c r="M74" s="4"/>
      <c r="N74" s="10"/>
      <c r="P74" s="4"/>
      <c r="Q74" s="4"/>
      <c r="R74" s="10"/>
      <c r="S74" s="4"/>
      <c r="T74" s="4"/>
      <c r="U74" s="4"/>
      <c r="V74" s="10"/>
      <c r="W74" s="4"/>
      <c r="X74" s="4"/>
      <c r="Y74" s="4"/>
      <c r="Z74" s="10"/>
    </row>
    <row r="75" spans="1:26" ht="15" customHeight="1" x14ac:dyDescent="0.3">
      <c r="A75" s="12"/>
      <c r="B75" s="12"/>
      <c r="C75" s="12"/>
      <c r="D75" s="4"/>
      <c r="E75" s="4"/>
      <c r="F75" s="10"/>
      <c r="G75" s="4"/>
      <c r="H75" s="4"/>
      <c r="I75" s="4"/>
      <c r="J75" s="10"/>
      <c r="K75" s="4"/>
      <c r="L75" s="4"/>
      <c r="M75" s="4"/>
      <c r="N75" s="10"/>
      <c r="P75" s="4"/>
      <c r="Q75" s="4"/>
      <c r="R75" s="10"/>
      <c r="S75" s="4"/>
      <c r="T75" s="4"/>
      <c r="U75" s="4"/>
      <c r="V75" s="10"/>
      <c r="W75" s="4"/>
      <c r="X75" s="4"/>
      <c r="Y75" s="4"/>
      <c r="Z75" s="10"/>
    </row>
    <row r="76" spans="1:26" s="62" customFormat="1" ht="15" customHeight="1" x14ac:dyDescent="0.3">
      <c r="A76" s="13"/>
      <c r="B76" s="28" t="s">
        <v>296</v>
      </c>
      <c r="C76" s="28"/>
      <c r="D76" s="30">
        <f>SUM(D73:D75)</f>
        <v>-53890.15</v>
      </c>
      <c r="E76" s="15"/>
      <c r="F76" s="35">
        <f>IF(D$12=0,0,D76/D$12)</f>
        <v>0</v>
      </c>
      <c r="G76" s="15"/>
      <c r="H76" s="30">
        <f>SUM(H73:H75)</f>
        <v>-570303.8600000001</v>
      </c>
      <c r="I76" s="15"/>
      <c r="J76" s="35">
        <f>IF(H$12=0,0,H76/H$12)</f>
        <v>0</v>
      </c>
      <c r="K76" s="17"/>
      <c r="L76" s="30">
        <f>+D76-H76</f>
        <v>516413.71000000008</v>
      </c>
      <c r="M76" s="17"/>
      <c r="N76" s="35">
        <f>IF(H76=0,0,L76/H76)</f>
        <v>-0.90550625065031121</v>
      </c>
      <c r="O76" s="27"/>
      <c r="P76" s="30">
        <f>SUM(P73:P75)</f>
        <v>-681313.66</v>
      </c>
      <c r="Q76" s="15"/>
      <c r="R76" s="35">
        <f>IF(P$12=0,0,P76/P$12)</f>
        <v>0</v>
      </c>
      <c r="S76" s="15"/>
      <c r="T76" s="30">
        <f>SUM(T73:T75)</f>
        <v>-1064935.8900000001</v>
      </c>
      <c r="U76" s="15"/>
      <c r="V76" s="35">
        <f>IF(T$12=0,0,T76/T$12)</f>
        <v>0</v>
      </c>
      <c r="W76" s="17"/>
      <c r="X76" s="30">
        <f>+P76-T76</f>
        <v>383622.2300000001</v>
      </c>
      <c r="Y76" s="17"/>
      <c r="Z76" s="35">
        <f>IF(T76=0,0,X76/T76)</f>
        <v>-0.36023035151909477</v>
      </c>
    </row>
    <row r="77" spans="1:26" ht="15" customHeight="1" x14ac:dyDescent="0.3">
      <c r="A77" s="12"/>
      <c r="C77" s="12"/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A78" s="12"/>
      <c r="B78" s="54">
        <v>44767.815885219905</v>
      </c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A79" s="12"/>
      <c r="B79" s="53" t="s">
        <v>297</v>
      </c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  <row r="80" spans="1:26" ht="15" customHeight="1" x14ac:dyDescent="0.3">
      <c r="A80" s="12"/>
      <c r="B80" s="51"/>
      <c r="D80" s="19"/>
      <c r="E80" s="19"/>
      <c r="G80" s="19"/>
      <c r="H80" s="19"/>
      <c r="I80" s="19"/>
      <c r="J80" s="41"/>
      <c r="K80" s="19"/>
      <c r="L80" s="19"/>
      <c r="M80" s="19"/>
      <c r="P80" s="19"/>
      <c r="Q80" s="19"/>
      <c r="R80" s="41"/>
      <c r="S80" s="19"/>
      <c r="T80" s="19"/>
      <c r="U80" s="19"/>
      <c r="V80" s="41"/>
      <c r="W80" s="19"/>
      <c r="X80" s="19"/>
    </row>
    <row r="81" spans="4:24" ht="15" customHeight="1" x14ac:dyDescent="0.3">
      <c r="D81" s="19"/>
      <c r="E81" s="19"/>
      <c r="G81" s="19"/>
      <c r="H81" s="19"/>
      <c r="I81" s="19"/>
      <c r="J81" s="41"/>
      <c r="K81" s="19"/>
      <c r="L81" s="19"/>
      <c r="M81" s="19"/>
      <c r="P81" s="19"/>
      <c r="Q81" s="19"/>
      <c r="R81" s="41"/>
      <c r="S81" s="19"/>
      <c r="T81" s="19"/>
      <c r="U81" s="19"/>
      <c r="V81" s="41"/>
      <c r="W81" s="19"/>
      <c r="X8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E1EE9-468B-C9BB-9101-42D9A455AB05}">
  <sheetPr>
    <tabColor rgb="FF92D050"/>
    <outlinePr summaryBelow="0" summaryRight="0"/>
  </sheetPr>
  <dimension ref="A2:Z6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","204"," - ","Information Technology")</f>
        <v>Department 204 - Information Technology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37710.15</v>
      </c>
      <c r="E18" s="23"/>
      <c r="F18" s="34">
        <f t="shared" ref="F18:F52" si="0">IF(D$12=0,0,D18/D$12)</f>
        <v>0</v>
      </c>
      <c r="G18" s="23"/>
      <c r="H18" s="23" cm="1">
        <f t="array" ref="H18">SUM(OSRRefH22x_0)</f>
        <v>49467.11</v>
      </c>
      <c r="I18" s="23"/>
      <c r="J18" s="34">
        <f t="shared" ref="J18:J52" si="1">IF(H$12=0,0,H18/H$12)</f>
        <v>0</v>
      </c>
      <c r="K18" s="8"/>
      <c r="L18" s="23">
        <f t="shared" ref="L18:L52" si="2">+D18-H18</f>
        <v>-11756.96</v>
      </c>
      <c r="M18" s="8"/>
      <c r="N18" s="34">
        <f t="shared" ref="N18:N52" si="3">IF(H18=0,0,L18/H18)</f>
        <v>-0.23767226344939091</v>
      </c>
      <c r="O18" s="13"/>
      <c r="P18" s="23" cm="1">
        <f t="array" ref="P18">SUM(OSRRefP22x_0)</f>
        <v>535601.5199999999</v>
      </c>
      <c r="Q18" s="23"/>
      <c r="R18" s="34">
        <f t="shared" ref="R18:R52" si="4">IF(P$12=0,0,P18/P$12)</f>
        <v>0</v>
      </c>
      <c r="S18" s="23"/>
      <c r="T18" s="23" cm="1">
        <f t="array" ref="T18">SUM(OSRRefT22x_0)</f>
        <v>605649.99</v>
      </c>
      <c r="U18" s="23"/>
      <c r="V18" s="34">
        <f t="shared" ref="V18:V52" si="5">IF(T$12=0,0,T18/T$12)</f>
        <v>0</v>
      </c>
      <c r="W18" s="8"/>
      <c r="X18" s="23">
        <f t="shared" ref="X18:X52" si="6">+P18-T18</f>
        <v>-70048.470000000088</v>
      </c>
      <c r="Y18" s="8"/>
      <c r="Z18" s="34">
        <f t="shared" ref="Z18:Z52" si="7">IF(T18=0,0,X18/T18)</f>
        <v>-0.11565833593095591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9655.1299999999992</v>
      </c>
      <c r="E19" s="2"/>
      <c r="F19" s="5">
        <f t="shared" si="0"/>
        <v>0</v>
      </c>
      <c r="G19" s="2"/>
      <c r="H19" s="2">
        <f>SUM(OSRRefH22_0x_0)</f>
        <v>11483.22</v>
      </c>
      <c r="I19" s="2"/>
      <c r="J19" s="5">
        <f t="shared" si="1"/>
        <v>0</v>
      </c>
      <c r="K19" s="2"/>
      <c r="L19" s="2">
        <f t="shared" si="2"/>
        <v>-1828.0900000000001</v>
      </c>
      <c r="M19" s="2"/>
      <c r="N19" s="5">
        <f t="shared" si="3"/>
        <v>-0.15919663648349508</v>
      </c>
      <c r="O19" s="11"/>
      <c r="P19" s="2">
        <f>SUM(OSRRefP22_0x_0)</f>
        <v>136081.47000000003</v>
      </c>
      <c r="Q19" s="2"/>
      <c r="R19" s="5">
        <f t="shared" si="4"/>
        <v>0</v>
      </c>
      <c r="S19" s="2"/>
      <c r="T19" s="2">
        <f>SUM(OSRRefT22_0x_0)</f>
        <v>143417.23000000001</v>
      </c>
      <c r="U19" s="2"/>
      <c r="V19" s="5">
        <f t="shared" si="5"/>
        <v>0</v>
      </c>
      <c r="W19" s="2"/>
      <c r="X19" s="2">
        <f t="shared" si="6"/>
        <v>-7335.7599999999802</v>
      </c>
      <c r="Y19" s="2"/>
      <c r="Z19" s="5">
        <f t="shared" si="7"/>
        <v>-5.114978165454722E-2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1455.92</v>
      </c>
      <c r="E20" s="3"/>
      <c r="F20" s="7">
        <f t="shared" si="0"/>
        <v>0</v>
      </c>
      <c r="G20" s="3"/>
      <c r="H20" s="6">
        <v>1417.14</v>
      </c>
      <c r="I20" s="3"/>
      <c r="J20" s="7">
        <f t="shared" si="1"/>
        <v>0</v>
      </c>
      <c r="K20" s="3"/>
      <c r="L20" s="6">
        <f t="shared" si="2"/>
        <v>38.779999999999973</v>
      </c>
      <c r="M20" s="3"/>
      <c r="N20" s="7">
        <f t="shared" si="3"/>
        <v>2.7364974526158298E-2</v>
      </c>
      <c r="O20" s="9"/>
      <c r="P20" s="6">
        <v>18918.580000000002</v>
      </c>
      <c r="Q20" s="3"/>
      <c r="R20" s="7">
        <f t="shared" si="4"/>
        <v>0</v>
      </c>
      <c r="S20" s="3"/>
      <c r="T20" s="6">
        <v>20510.59</v>
      </c>
      <c r="U20" s="3"/>
      <c r="V20" s="7">
        <f t="shared" si="5"/>
        <v>0</v>
      </c>
      <c r="W20" s="3"/>
      <c r="X20" s="6">
        <f t="shared" si="6"/>
        <v>-1592.0099999999984</v>
      </c>
      <c r="Y20" s="3"/>
      <c r="Z20" s="7">
        <f t="shared" si="7"/>
        <v>-7.7618927588138542E-2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-589.86</v>
      </c>
      <c r="E21" s="3"/>
      <c r="F21" s="7">
        <f t="shared" si="0"/>
        <v>0</v>
      </c>
      <c r="G21" s="3"/>
      <c r="H21" s="6">
        <v>61.13</v>
      </c>
      <c r="I21" s="3"/>
      <c r="J21" s="7">
        <f t="shared" si="1"/>
        <v>0</v>
      </c>
      <c r="K21" s="3"/>
      <c r="L21" s="6">
        <f t="shared" si="2"/>
        <v>-650.99</v>
      </c>
      <c r="M21" s="3"/>
      <c r="N21" s="7">
        <f t="shared" si="3"/>
        <v>-10.649272043186651</v>
      </c>
      <c r="O21" s="9"/>
      <c r="P21" s="6">
        <v>2347.6</v>
      </c>
      <c r="Q21" s="3"/>
      <c r="R21" s="7">
        <f t="shared" si="4"/>
        <v>0</v>
      </c>
      <c r="S21" s="3"/>
      <c r="T21" s="6">
        <v>937.18</v>
      </c>
      <c r="U21" s="3"/>
      <c r="V21" s="7">
        <f t="shared" si="5"/>
        <v>0</v>
      </c>
      <c r="W21" s="3"/>
      <c r="X21" s="6">
        <f t="shared" si="6"/>
        <v>1410.42</v>
      </c>
      <c r="Y21" s="3"/>
      <c r="Z21" s="7">
        <f t="shared" si="7"/>
        <v>1.5049616935914127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4446.67</v>
      </c>
      <c r="E22" s="3"/>
      <c r="F22" s="7">
        <f t="shared" si="0"/>
        <v>0</v>
      </c>
      <c r="G22" s="3"/>
      <c r="H22" s="6">
        <v>4844.5200000000004</v>
      </c>
      <c r="I22" s="3"/>
      <c r="J22" s="7">
        <f t="shared" si="1"/>
        <v>0</v>
      </c>
      <c r="K22" s="3"/>
      <c r="L22" s="6">
        <f t="shared" si="2"/>
        <v>-397.85000000000036</v>
      </c>
      <c r="M22" s="3"/>
      <c r="N22" s="7">
        <f t="shared" si="3"/>
        <v>-8.2123719171352444E-2</v>
      </c>
      <c r="O22" s="9"/>
      <c r="P22" s="6">
        <v>55713.39</v>
      </c>
      <c r="Q22" s="3"/>
      <c r="R22" s="7">
        <f t="shared" si="4"/>
        <v>0</v>
      </c>
      <c r="S22" s="3"/>
      <c r="T22" s="6">
        <v>62447.5</v>
      </c>
      <c r="U22" s="3"/>
      <c r="V22" s="7">
        <f t="shared" si="5"/>
        <v>0</v>
      </c>
      <c r="W22" s="3"/>
      <c r="X22" s="6">
        <f t="shared" si="6"/>
        <v>-6734.1100000000006</v>
      </c>
      <c r="Y22" s="3"/>
      <c r="Z22" s="7">
        <f t="shared" si="7"/>
        <v>-0.1078363425277233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48.16</v>
      </c>
      <c r="I23" s="3"/>
      <c r="J23" s="7">
        <f t="shared" si="1"/>
        <v>0</v>
      </c>
      <c r="K23" s="3"/>
      <c r="L23" s="6">
        <f t="shared" si="2"/>
        <v>-48.16</v>
      </c>
      <c r="M23" s="3"/>
      <c r="N23" s="7">
        <f t="shared" si="3"/>
        <v>-1</v>
      </c>
      <c r="O23" s="9"/>
      <c r="P23" s="6">
        <v>592.04999999999995</v>
      </c>
      <c r="Q23" s="3"/>
      <c r="R23" s="7">
        <f t="shared" si="4"/>
        <v>0</v>
      </c>
      <c r="S23" s="3"/>
      <c r="T23" s="6">
        <v>699.2</v>
      </c>
      <c r="U23" s="3"/>
      <c r="V23" s="7">
        <f t="shared" si="5"/>
        <v>0</v>
      </c>
      <c r="W23" s="3"/>
      <c r="X23" s="6">
        <f t="shared" si="6"/>
        <v>-107.15000000000009</v>
      </c>
      <c r="Y23" s="3"/>
      <c r="Z23" s="7">
        <f t="shared" si="7"/>
        <v>-0.15324656750572094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1602.72</v>
      </c>
      <c r="E24" s="3"/>
      <c r="F24" s="7">
        <f t="shared" si="0"/>
        <v>0</v>
      </c>
      <c r="G24" s="3"/>
      <c r="H24" s="6">
        <v>2791.81</v>
      </c>
      <c r="I24" s="3"/>
      <c r="J24" s="7">
        <f t="shared" si="1"/>
        <v>0</v>
      </c>
      <c r="K24" s="3"/>
      <c r="L24" s="6">
        <f t="shared" si="2"/>
        <v>-1189.0899999999999</v>
      </c>
      <c r="M24" s="3"/>
      <c r="N24" s="7">
        <f t="shared" si="3"/>
        <v>-0.42592081839380186</v>
      </c>
      <c r="O24" s="9"/>
      <c r="P24" s="6">
        <v>23562.21</v>
      </c>
      <c r="Q24" s="3"/>
      <c r="R24" s="7">
        <f t="shared" si="4"/>
        <v>0</v>
      </c>
      <c r="S24" s="3"/>
      <c r="T24" s="6">
        <v>26581.55</v>
      </c>
      <c r="U24" s="3"/>
      <c r="V24" s="7">
        <f t="shared" si="5"/>
        <v>0</v>
      </c>
      <c r="W24" s="3"/>
      <c r="X24" s="6">
        <f t="shared" si="6"/>
        <v>-3019.34</v>
      </c>
      <c r="Y24" s="3"/>
      <c r="Z24" s="7">
        <f t="shared" si="7"/>
        <v>-0.1135878080849311</v>
      </c>
    </row>
    <row r="25" spans="1:26" s="69" customFormat="1" ht="15" hidden="1" customHeight="1" outlineLevel="2" x14ac:dyDescent="0.3">
      <c r="A25" s="21"/>
      <c r="B25" s="9" t="str">
        <f>CONCATENATE("          ","6117"," - ","RETIREMENT STAFF HOURLY")</f>
        <v xml:space="preserve">          6117 - RETIREMENT STAFF HOURLY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>
        <v>93.23</v>
      </c>
      <c r="Q25" s="3"/>
      <c r="R25" s="7">
        <f t="shared" si="4"/>
        <v>0</v>
      </c>
      <c r="S25" s="3"/>
      <c r="T25" s="6">
        <v>912.28</v>
      </c>
      <c r="U25" s="3"/>
      <c r="V25" s="7">
        <f t="shared" si="5"/>
        <v>0</v>
      </c>
      <c r="W25" s="3"/>
      <c r="X25" s="6">
        <f t="shared" si="6"/>
        <v>-819.05</v>
      </c>
      <c r="Y25" s="3"/>
      <c r="Z25" s="7">
        <f t="shared" si="7"/>
        <v>-0.8978054983119218</v>
      </c>
    </row>
    <row r="26" spans="1:26" s="69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1493.96</v>
      </c>
      <c r="E26" s="3"/>
      <c r="F26" s="7">
        <f t="shared" si="0"/>
        <v>0</v>
      </c>
      <c r="G26" s="3"/>
      <c r="H26" s="6">
        <v>1316.83</v>
      </c>
      <c r="I26" s="3"/>
      <c r="J26" s="7">
        <f t="shared" si="1"/>
        <v>0</v>
      </c>
      <c r="K26" s="3"/>
      <c r="L26" s="6">
        <f t="shared" si="2"/>
        <v>177.13000000000011</v>
      </c>
      <c r="M26" s="3"/>
      <c r="N26" s="7">
        <f t="shared" si="3"/>
        <v>0.13451242757227594</v>
      </c>
      <c r="O26" s="9"/>
      <c r="P26" s="6">
        <v>19423.13</v>
      </c>
      <c r="Q26" s="3"/>
      <c r="R26" s="7">
        <f t="shared" si="4"/>
        <v>0</v>
      </c>
      <c r="S26" s="3"/>
      <c r="T26" s="6">
        <v>17751.77</v>
      </c>
      <c r="U26" s="3"/>
      <c r="V26" s="7">
        <f t="shared" si="5"/>
        <v>0</v>
      </c>
      <c r="W26" s="3"/>
      <c r="X26" s="6">
        <f t="shared" si="6"/>
        <v>1671.3600000000006</v>
      </c>
      <c r="Y26" s="3"/>
      <c r="Z26" s="7">
        <f t="shared" si="7"/>
        <v>9.4151738108368938E-2</v>
      </c>
    </row>
    <row r="27" spans="1:26" s="69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877.84</v>
      </c>
      <c r="E27" s="3"/>
      <c r="F27" s="7">
        <f t="shared" si="0"/>
        <v>0</v>
      </c>
      <c r="G27" s="3"/>
      <c r="H27" s="6">
        <v>844.06</v>
      </c>
      <c r="I27" s="3"/>
      <c r="J27" s="7">
        <f t="shared" si="1"/>
        <v>0</v>
      </c>
      <c r="K27" s="3"/>
      <c r="L27" s="6">
        <f t="shared" si="2"/>
        <v>33.780000000000086</v>
      </c>
      <c r="M27" s="3"/>
      <c r="N27" s="7">
        <f t="shared" si="3"/>
        <v>4.002085159822772E-2</v>
      </c>
      <c r="O27" s="9"/>
      <c r="P27" s="6">
        <v>12155.27</v>
      </c>
      <c r="Q27" s="3"/>
      <c r="R27" s="7">
        <f t="shared" si="4"/>
        <v>0</v>
      </c>
      <c r="S27" s="3"/>
      <c r="T27" s="6">
        <v>11747.68</v>
      </c>
      <c r="U27" s="3"/>
      <c r="V27" s="7">
        <f t="shared" si="5"/>
        <v>0</v>
      </c>
      <c r="W27" s="3"/>
      <c r="X27" s="6">
        <f t="shared" si="6"/>
        <v>407.59000000000015</v>
      </c>
      <c r="Y27" s="3"/>
      <c r="Z27" s="7">
        <f t="shared" si="7"/>
        <v>3.4695361126622457E-2</v>
      </c>
    </row>
    <row r="28" spans="1:26" s="69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367.88</v>
      </c>
      <c r="E28" s="3"/>
      <c r="F28" s="7">
        <f t="shared" si="0"/>
        <v>0</v>
      </c>
      <c r="G28" s="3"/>
      <c r="H28" s="6">
        <v>159.57</v>
      </c>
      <c r="I28" s="3"/>
      <c r="J28" s="7">
        <f t="shared" si="1"/>
        <v>0</v>
      </c>
      <c r="K28" s="3"/>
      <c r="L28" s="6">
        <f t="shared" si="2"/>
        <v>208.31</v>
      </c>
      <c r="M28" s="3"/>
      <c r="N28" s="7">
        <f t="shared" si="3"/>
        <v>1.3054458858181364</v>
      </c>
      <c r="O28" s="9"/>
      <c r="P28" s="6">
        <v>3276.01</v>
      </c>
      <c r="Q28" s="3"/>
      <c r="R28" s="7">
        <f t="shared" si="4"/>
        <v>0</v>
      </c>
      <c r="S28" s="3"/>
      <c r="T28" s="6">
        <v>1829.48</v>
      </c>
      <c r="U28" s="3"/>
      <c r="V28" s="7">
        <f t="shared" si="5"/>
        <v>0</v>
      </c>
      <c r="W28" s="3"/>
      <c r="X28" s="6">
        <f t="shared" si="6"/>
        <v>1446.5300000000002</v>
      </c>
      <c r="Y28" s="3"/>
      <c r="Z28" s="7">
        <f t="shared" si="7"/>
        <v>0.79067822550670142</v>
      </c>
    </row>
    <row r="29" spans="1:26" s="68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16424.93</v>
      </c>
      <c r="E29" s="2"/>
      <c r="F29" s="5">
        <f t="shared" si="0"/>
        <v>0</v>
      </c>
      <c r="G29" s="2"/>
      <c r="H29" s="2">
        <f>SUM(OSRRefH22_1x_0)</f>
        <v>16790.5</v>
      </c>
      <c r="I29" s="2"/>
      <c r="J29" s="5">
        <f t="shared" si="1"/>
        <v>0</v>
      </c>
      <c r="K29" s="2"/>
      <c r="L29" s="2">
        <f t="shared" si="2"/>
        <v>-365.56999999999971</v>
      </c>
      <c r="M29" s="2"/>
      <c r="N29" s="5">
        <f t="shared" si="3"/>
        <v>-2.17724308388672E-2</v>
      </c>
      <c r="O29" s="11"/>
      <c r="P29" s="2">
        <f>SUM(OSRRefP22_1x_0)</f>
        <v>222925.17</v>
      </c>
      <c r="Q29" s="2"/>
      <c r="R29" s="5">
        <f t="shared" si="4"/>
        <v>0</v>
      </c>
      <c r="S29" s="2"/>
      <c r="T29" s="2">
        <f>SUM(OSRRefT22_1x_0)</f>
        <v>235761.19999999998</v>
      </c>
      <c r="U29" s="2"/>
      <c r="V29" s="5">
        <f t="shared" si="5"/>
        <v>0</v>
      </c>
      <c r="W29" s="2"/>
      <c r="X29" s="2">
        <f t="shared" si="6"/>
        <v>-12836.02999999997</v>
      </c>
      <c r="Y29" s="2"/>
      <c r="Z29" s="5">
        <f t="shared" si="7"/>
        <v>-5.4445048633956605E-2</v>
      </c>
    </row>
    <row r="30" spans="1:26" s="69" customFormat="1" ht="15" hidden="1" customHeight="1" outlineLevel="2" x14ac:dyDescent="0.3">
      <c r="A30" s="21"/>
      <c r="B30" s="9" t="str">
        <f>CONCATENATE("          ","6002"," - ","STAFF SALARIES")</f>
        <v xml:space="preserve">          6002 - STAFF SALARIES</v>
      </c>
      <c r="C30" s="9"/>
      <c r="D30" s="6">
        <v>16424.93</v>
      </c>
      <c r="E30" s="3"/>
      <c r="F30" s="7">
        <f t="shared" si="0"/>
        <v>0</v>
      </c>
      <c r="G30" s="3"/>
      <c r="H30" s="6">
        <v>16790.5</v>
      </c>
      <c r="I30" s="3"/>
      <c r="J30" s="7">
        <f t="shared" si="1"/>
        <v>0</v>
      </c>
      <c r="K30" s="3"/>
      <c r="L30" s="6">
        <f t="shared" si="2"/>
        <v>-365.56999999999971</v>
      </c>
      <c r="M30" s="3"/>
      <c r="N30" s="7">
        <f t="shared" si="3"/>
        <v>-2.17724308388672E-2</v>
      </c>
      <c r="O30" s="9"/>
      <c r="P30" s="6">
        <v>222925.17</v>
      </c>
      <c r="Q30" s="3"/>
      <c r="R30" s="7">
        <f t="shared" si="4"/>
        <v>0</v>
      </c>
      <c r="S30" s="3"/>
      <c r="T30" s="6">
        <v>221547.96</v>
      </c>
      <c r="U30" s="3"/>
      <c r="V30" s="7">
        <f t="shared" si="5"/>
        <v>0</v>
      </c>
      <c r="W30" s="3"/>
      <c r="X30" s="6">
        <f t="shared" si="6"/>
        <v>1377.210000000021</v>
      </c>
      <c r="Y30" s="3"/>
      <c r="Z30" s="7">
        <f t="shared" si="7"/>
        <v>6.2163063925301815E-3</v>
      </c>
    </row>
    <row r="31" spans="1:26" s="69" customFormat="1" ht="15" hidden="1" customHeight="1" outlineLevel="2" x14ac:dyDescent="0.3">
      <c r="A31" s="21"/>
      <c r="B31" s="9" t="str">
        <f>CONCATENATE("          ","6004"," - ","STAFF HOURLY")</f>
        <v xml:space="preserve">          6004 - STAFF HOURLY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14213.24</v>
      </c>
      <c r="U31" s="3"/>
      <c r="V31" s="7">
        <f t="shared" si="5"/>
        <v>0</v>
      </c>
      <c r="W31" s="3"/>
      <c r="X31" s="6">
        <f t="shared" si="6"/>
        <v>-14213.24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1"/>
      <c r="B32" s="9" t="str">
        <f>CONCATENATE("          ","6007"," - ","STUDENT HOURLY")</f>
        <v xml:space="preserve">          6007 - STUDENT HOURLY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0</v>
      </c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0"/>
      <c r="B33" s="11" t="str">
        <f>CONCATENATE("     ","Depreciation                                      ")</f>
        <v xml:space="preserve">     Depreciation                                      </v>
      </c>
      <c r="C33" s="11"/>
      <c r="D33" s="2">
        <f>SUM(OSRRefD22_2x_0)</f>
        <v>1687.25</v>
      </c>
      <c r="E33" s="2"/>
      <c r="F33" s="5">
        <f t="shared" si="0"/>
        <v>0</v>
      </c>
      <c r="G33" s="2"/>
      <c r="H33" s="2">
        <f>SUM(OSRRefH22_2x_0)</f>
        <v>5098.3</v>
      </c>
      <c r="I33" s="2"/>
      <c r="J33" s="5">
        <f t="shared" si="1"/>
        <v>0</v>
      </c>
      <c r="K33" s="2"/>
      <c r="L33" s="2">
        <f t="shared" si="2"/>
        <v>-3411.05</v>
      </c>
      <c r="M33" s="2"/>
      <c r="N33" s="5">
        <f t="shared" si="3"/>
        <v>-0.66905635211737247</v>
      </c>
      <c r="O33" s="11"/>
      <c r="P33" s="2">
        <f>SUM(OSRRefP22_2x_0)</f>
        <v>34109.480000000003</v>
      </c>
      <c r="Q33" s="2"/>
      <c r="R33" s="5">
        <f t="shared" si="4"/>
        <v>0</v>
      </c>
      <c r="S33" s="2"/>
      <c r="T33" s="2">
        <f>SUM(OSRRefT22_2x_0)</f>
        <v>61499.91</v>
      </c>
      <c r="U33" s="2"/>
      <c r="V33" s="5">
        <f t="shared" si="5"/>
        <v>0</v>
      </c>
      <c r="W33" s="2"/>
      <c r="X33" s="2">
        <f t="shared" si="6"/>
        <v>-27390.43</v>
      </c>
      <c r="Y33" s="2"/>
      <c r="Z33" s="5">
        <f t="shared" si="7"/>
        <v>-0.44537349729454889</v>
      </c>
    </row>
    <row r="34" spans="1:26" s="69" customFormat="1" ht="15" hidden="1" customHeight="1" outlineLevel="2" x14ac:dyDescent="0.3">
      <c r="A34" s="21"/>
      <c r="B34" s="9" t="str">
        <f>CONCATENATE("          ","6322"," - ","EQUIPMENT DEPRECIATION EXPENSE")</f>
        <v xml:space="preserve">          6322 - EQUIPMENT DEPRECIATION EXPENSE</v>
      </c>
      <c r="C34" s="9"/>
      <c r="D34" s="6">
        <v>1687.25</v>
      </c>
      <c r="E34" s="3"/>
      <c r="F34" s="7">
        <f t="shared" si="0"/>
        <v>0</v>
      </c>
      <c r="G34" s="3"/>
      <c r="H34" s="6">
        <v>5098.3</v>
      </c>
      <c r="I34" s="3"/>
      <c r="J34" s="7">
        <f t="shared" si="1"/>
        <v>0</v>
      </c>
      <c r="K34" s="3"/>
      <c r="L34" s="6">
        <f t="shared" si="2"/>
        <v>-3411.05</v>
      </c>
      <c r="M34" s="3"/>
      <c r="N34" s="7">
        <f t="shared" si="3"/>
        <v>-0.66905635211737247</v>
      </c>
      <c r="O34" s="9"/>
      <c r="P34" s="6">
        <v>34109.480000000003</v>
      </c>
      <c r="Q34" s="3"/>
      <c r="R34" s="7">
        <f t="shared" si="4"/>
        <v>0</v>
      </c>
      <c r="S34" s="3"/>
      <c r="T34" s="6">
        <v>61499.91</v>
      </c>
      <c r="U34" s="3"/>
      <c r="V34" s="7">
        <f t="shared" si="5"/>
        <v>0</v>
      </c>
      <c r="W34" s="3"/>
      <c r="X34" s="6">
        <f t="shared" si="6"/>
        <v>-27390.43</v>
      </c>
      <c r="Y34" s="3"/>
      <c r="Z34" s="7">
        <f t="shared" si="7"/>
        <v>-0.44537349729454889</v>
      </c>
    </row>
    <row r="35" spans="1:26" s="68" customFormat="1" ht="15" customHeight="1" outlineLevel="1" collapsed="1" x14ac:dyDescent="0.3">
      <c r="A35" s="20"/>
      <c r="B35" s="11" t="str">
        <f>CONCATENATE("     ","Freight out/Postage                               ")</f>
        <v xml:space="preserve">     Freight out/Postage                               </v>
      </c>
      <c r="C35" s="11"/>
      <c r="D35" s="2">
        <f>SUM(OSRRefD22_3x_0)</f>
        <v>0</v>
      </c>
      <c r="E35" s="2"/>
      <c r="F35" s="5">
        <f t="shared" si="0"/>
        <v>0</v>
      </c>
      <c r="G35" s="2"/>
      <c r="H35" s="2">
        <f>SUM(OSRRefH22_3x_0)</f>
        <v>0</v>
      </c>
      <c r="I35" s="2"/>
      <c r="J35" s="5">
        <f t="shared" si="1"/>
        <v>0</v>
      </c>
      <c r="K35" s="2"/>
      <c r="L35" s="2">
        <f t="shared" si="2"/>
        <v>0</v>
      </c>
      <c r="M35" s="2"/>
      <c r="N35" s="5">
        <f t="shared" si="3"/>
        <v>0</v>
      </c>
      <c r="O35" s="11"/>
      <c r="P35" s="2">
        <f>SUM(OSRRefP22_3x_0)</f>
        <v>0</v>
      </c>
      <c r="Q35" s="2"/>
      <c r="R35" s="5">
        <f t="shared" si="4"/>
        <v>0</v>
      </c>
      <c r="S35" s="2"/>
      <c r="T35" s="2">
        <f>SUM(OSRRefT22_3x_0)</f>
        <v>5.7</v>
      </c>
      <c r="U35" s="2"/>
      <c r="V35" s="5">
        <f t="shared" si="5"/>
        <v>0</v>
      </c>
      <c r="W35" s="2"/>
      <c r="X35" s="2">
        <f t="shared" si="6"/>
        <v>-5.7</v>
      </c>
      <c r="Y35" s="2"/>
      <c r="Z35" s="5">
        <f t="shared" si="7"/>
        <v>-1</v>
      </c>
    </row>
    <row r="36" spans="1:26" s="69" customFormat="1" ht="15" hidden="1" customHeight="1" outlineLevel="2" x14ac:dyDescent="0.3">
      <c r="A36" s="21"/>
      <c r="B36" s="9" t="str">
        <f>CONCATENATE("          ","6307"," - ","POSTAGE")</f>
        <v xml:space="preserve">          6307 - POSTAGE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5.7</v>
      </c>
      <c r="U36" s="3"/>
      <c r="V36" s="7">
        <f t="shared" si="5"/>
        <v>0</v>
      </c>
      <c r="W36" s="3"/>
      <c r="X36" s="6">
        <f t="shared" si="6"/>
        <v>-5.7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0"/>
      <c r="B37" s="11" t="str">
        <f>CONCATENATE("     ","Insurance                                         ")</f>
        <v xml:space="preserve">     Insurance                                         </v>
      </c>
      <c r="C37" s="11"/>
      <c r="D37" s="2">
        <f>SUM(OSRRefD22_4x_0)</f>
        <v>-23.78</v>
      </c>
      <c r="E37" s="2"/>
      <c r="F37" s="5">
        <f t="shared" si="0"/>
        <v>0</v>
      </c>
      <c r="G37" s="2"/>
      <c r="H37" s="2">
        <f>SUM(OSRRefH22_4x_0)</f>
        <v>120.95</v>
      </c>
      <c r="I37" s="2"/>
      <c r="J37" s="5">
        <f t="shared" si="1"/>
        <v>0</v>
      </c>
      <c r="K37" s="2"/>
      <c r="L37" s="2">
        <f t="shared" si="2"/>
        <v>-144.73000000000002</v>
      </c>
      <c r="M37" s="2"/>
      <c r="N37" s="5">
        <f t="shared" si="3"/>
        <v>-1.1966101694915257</v>
      </c>
      <c r="O37" s="11"/>
      <c r="P37" s="2">
        <f>SUM(OSRRefP22_4x_0)</f>
        <v>818.49</v>
      </c>
      <c r="Q37" s="2"/>
      <c r="R37" s="5">
        <f t="shared" si="4"/>
        <v>0</v>
      </c>
      <c r="S37" s="2"/>
      <c r="T37" s="2">
        <f>SUM(OSRRefT22_4x_0)</f>
        <v>740.69</v>
      </c>
      <c r="U37" s="2"/>
      <c r="V37" s="5">
        <f t="shared" si="5"/>
        <v>0</v>
      </c>
      <c r="W37" s="2"/>
      <c r="X37" s="2">
        <f t="shared" si="6"/>
        <v>77.799999999999955</v>
      </c>
      <c r="Y37" s="2"/>
      <c r="Z37" s="5">
        <f t="shared" si="7"/>
        <v>0.10503719504786072</v>
      </c>
    </row>
    <row r="38" spans="1:26" s="69" customFormat="1" ht="15" hidden="1" customHeight="1" outlineLevel="2" x14ac:dyDescent="0.3">
      <c r="A38" s="21"/>
      <c r="B38" s="9" t="str">
        <f>CONCATENATE("          ","6314"," - ","LIABILITY INSURANCE")</f>
        <v xml:space="preserve">          6314 - LIABILITY INSURANCE</v>
      </c>
      <c r="C38" s="9"/>
      <c r="D38" s="6">
        <v>-23.78</v>
      </c>
      <c r="E38" s="3"/>
      <c r="F38" s="7">
        <f t="shared" si="0"/>
        <v>0</v>
      </c>
      <c r="G38" s="3"/>
      <c r="H38" s="6">
        <v>120.95</v>
      </c>
      <c r="I38" s="3"/>
      <c r="J38" s="7">
        <f t="shared" si="1"/>
        <v>0</v>
      </c>
      <c r="K38" s="3"/>
      <c r="L38" s="6">
        <f t="shared" si="2"/>
        <v>-144.73000000000002</v>
      </c>
      <c r="M38" s="3"/>
      <c r="N38" s="7">
        <f t="shared" si="3"/>
        <v>-1.1966101694915257</v>
      </c>
      <c r="O38" s="9"/>
      <c r="P38" s="6">
        <v>818.49</v>
      </c>
      <c r="Q38" s="3"/>
      <c r="R38" s="7">
        <f t="shared" si="4"/>
        <v>0</v>
      </c>
      <c r="S38" s="3"/>
      <c r="T38" s="6">
        <v>740.69</v>
      </c>
      <c r="U38" s="3"/>
      <c r="V38" s="7">
        <f t="shared" si="5"/>
        <v>0</v>
      </c>
      <c r="W38" s="3"/>
      <c r="X38" s="6">
        <f t="shared" si="6"/>
        <v>77.799999999999955</v>
      </c>
      <c r="Y38" s="3"/>
      <c r="Z38" s="7">
        <f t="shared" si="7"/>
        <v>0.10503719504786072</v>
      </c>
    </row>
    <row r="39" spans="1:26" s="68" customFormat="1" ht="15" customHeight="1" outlineLevel="1" collapsed="1" x14ac:dyDescent="0.3">
      <c r="A39" s="20"/>
      <c r="B39" s="11" t="str">
        <f>CONCATENATE("     ","Repair and Maintenance                            ")</f>
        <v xml:space="preserve">     Repair and Maintenance                            </v>
      </c>
      <c r="C39" s="11"/>
      <c r="D39" s="2">
        <f>SUM(OSRRefD22_5x_0)</f>
        <v>9467.25</v>
      </c>
      <c r="E39" s="2"/>
      <c r="F39" s="5">
        <f t="shared" si="0"/>
        <v>0</v>
      </c>
      <c r="G39" s="2"/>
      <c r="H39" s="2">
        <f>SUM(OSRRefH22_5x_0)</f>
        <v>13872</v>
      </c>
      <c r="I39" s="2"/>
      <c r="J39" s="5">
        <f t="shared" si="1"/>
        <v>0</v>
      </c>
      <c r="K39" s="2"/>
      <c r="L39" s="2">
        <f t="shared" si="2"/>
        <v>-4404.75</v>
      </c>
      <c r="M39" s="2"/>
      <c r="N39" s="5">
        <f t="shared" si="3"/>
        <v>-0.31752811418685123</v>
      </c>
      <c r="O39" s="11"/>
      <c r="P39" s="2">
        <f>SUM(OSRRefP22_5x_0)</f>
        <v>108989.55</v>
      </c>
      <c r="Q39" s="2"/>
      <c r="R39" s="5">
        <f t="shared" si="4"/>
        <v>0</v>
      </c>
      <c r="S39" s="2"/>
      <c r="T39" s="2">
        <f>SUM(OSRRefT22_5x_0)</f>
        <v>155262.98000000001</v>
      </c>
      <c r="U39" s="2"/>
      <c r="V39" s="5">
        <f t="shared" si="5"/>
        <v>0</v>
      </c>
      <c r="W39" s="2"/>
      <c r="X39" s="2">
        <f t="shared" si="6"/>
        <v>-46273.430000000008</v>
      </c>
      <c r="Y39" s="2"/>
      <c r="Z39" s="5">
        <f t="shared" si="7"/>
        <v>-0.29803260249159202</v>
      </c>
    </row>
    <row r="40" spans="1:26" s="69" customFormat="1" ht="15" hidden="1" customHeight="1" outlineLevel="2" x14ac:dyDescent="0.3">
      <c r="A40" s="21"/>
      <c r="B40" s="9" t="str">
        <f>CONCATENATE("          ","6371"," - ","COMPUTER SOFTWARE MAINTENANCE")</f>
        <v xml:space="preserve">          6371 - COMPUTER SOFTWARE MAINTENANCE</v>
      </c>
      <c r="C40" s="9"/>
      <c r="D40" s="6"/>
      <c r="E40" s="3"/>
      <c r="F40" s="7">
        <f t="shared" si="0"/>
        <v>0</v>
      </c>
      <c r="G40" s="3"/>
      <c r="H40" s="6">
        <v>1680</v>
      </c>
      <c r="I40" s="3"/>
      <c r="J40" s="7">
        <f t="shared" si="1"/>
        <v>0</v>
      </c>
      <c r="K40" s="3"/>
      <c r="L40" s="6">
        <f t="shared" si="2"/>
        <v>-1680</v>
      </c>
      <c r="M40" s="3"/>
      <c r="N40" s="7">
        <f t="shared" si="3"/>
        <v>-1</v>
      </c>
      <c r="O40" s="9"/>
      <c r="P40" s="6">
        <v>2423.8200000000002</v>
      </c>
      <c r="Q40" s="3"/>
      <c r="R40" s="7">
        <f t="shared" si="4"/>
        <v>0</v>
      </c>
      <c r="S40" s="3"/>
      <c r="T40" s="6">
        <v>9393.98</v>
      </c>
      <c r="U40" s="3"/>
      <c r="V40" s="7">
        <f t="shared" si="5"/>
        <v>0</v>
      </c>
      <c r="W40" s="3"/>
      <c r="X40" s="6">
        <f t="shared" si="6"/>
        <v>-6970.16</v>
      </c>
      <c r="Y40" s="3"/>
      <c r="Z40" s="7">
        <f t="shared" si="7"/>
        <v>-0.74198156691838812</v>
      </c>
    </row>
    <row r="41" spans="1:26" s="69" customFormat="1" ht="15" hidden="1" customHeight="1" outlineLevel="2" x14ac:dyDescent="0.3">
      <c r="A41" s="21"/>
      <c r="B41" s="9" t="str">
        <f>CONCATENATE("          ","6372"," - ","COMPUTER HARDWARE MAINTENANCE")</f>
        <v xml:space="preserve">          6372 - COMPUTER HARDWARE MAINTENANCE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4760.47</v>
      </c>
      <c r="Q41" s="3"/>
      <c r="R41" s="7">
        <f t="shared" si="4"/>
        <v>0</v>
      </c>
      <c r="S41" s="3"/>
      <c r="T41" s="6"/>
      <c r="U41" s="3"/>
      <c r="V41" s="7">
        <f t="shared" si="5"/>
        <v>0</v>
      </c>
      <c r="W41" s="3"/>
      <c r="X41" s="6">
        <f t="shared" si="6"/>
        <v>4760.47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","6373"," - ","MAINTENANCE CONTRACTS")</f>
        <v xml:space="preserve">          6373 - MAINTENANCE CONTRACTS</v>
      </c>
      <c r="C42" s="9"/>
      <c r="D42" s="6">
        <v>9467.25</v>
      </c>
      <c r="E42" s="3"/>
      <c r="F42" s="7">
        <f t="shared" si="0"/>
        <v>0</v>
      </c>
      <c r="G42" s="3"/>
      <c r="H42" s="6">
        <v>12192</v>
      </c>
      <c r="I42" s="3"/>
      <c r="J42" s="7">
        <f t="shared" si="1"/>
        <v>0</v>
      </c>
      <c r="K42" s="3"/>
      <c r="L42" s="6">
        <f t="shared" si="2"/>
        <v>-2724.75</v>
      </c>
      <c r="M42" s="3"/>
      <c r="N42" s="7">
        <f t="shared" si="3"/>
        <v>-0.2234867125984252</v>
      </c>
      <c r="O42" s="9"/>
      <c r="P42" s="6">
        <v>101757.74</v>
      </c>
      <c r="Q42" s="3"/>
      <c r="R42" s="7">
        <f t="shared" si="4"/>
        <v>0</v>
      </c>
      <c r="S42" s="3"/>
      <c r="T42" s="6">
        <v>145869</v>
      </c>
      <c r="U42" s="3"/>
      <c r="V42" s="7">
        <f t="shared" si="5"/>
        <v>0</v>
      </c>
      <c r="W42" s="3"/>
      <c r="X42" s="6">
        <f t="shared" si="6"/>
        <v>-44111.259999999995</v>
      </c>
      <c r="Y42" s="3"/>
      <c r="Z42" s="7">
        <f t="shared" si="7"/>
        <v>-0.30240325223316811</v>
      </c>
    </row>
    <row r="43" spans="1:26" s="69" customFormat="1" ht="15" hidden="1" customHeight="1" outlineLevel="2" x14ac:dyDescent="0.3">
      <c r="A43" s="21"/>
      <c r="B43" s="9" t="str">
        <f>CONCATENATE("          ","6375"," - ","OUTSIDE REPAIRS &amp; MAINTENANCE")</f>
        <v xml:space="preserve">          6375 - OUTSIDE REPAIRS &amp; MAINTENANCE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47.52</v>
      </c>
      <c r="Q43" s="3"/>
      <c r="R43" s="7">
        <f t="shared" si="4"/>
        <v>0</v>
      </c>
      <c r="S43" s="3"/>
      <c r="T43" s="6"/>
      <c r="U43" s="3"/>
      <c r="V43" s="7">
        <f t="shared" si="5"/>
        <v>0</v>
      </c>
      <c r="W43" s="3"/>
      <c r="X43" s="6">
        <f t="shared" si="6"/>
        <v>47.52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0"/>
      <c r="B44" s="11" t="str">
        <f>CONCATENATE("     ","Supplies                                          ")</f>
        <v xml:space="preserve">     Supplies                                          </v>
      </c>
      <c r="C44" s="11"/>
      <c r="D44" s="2">
        <f>SUM(OSRRefD22_6x_0)</f>
        <v>-239.99</v>
      </c>
      <c r="E44" s="2"/>
      <c r="F44" s="5">
        <f t="shared" si="0"/>
        <v>0</v>
      </c>
      <c r="G44" s="2"/>
      <c r="H44" s="2">
        <f>SUM(OSRRefH22_6x_0)</f>
        <v>977.42</v>
      </c>
      <c r="I44" s="2"/>
      <c r="J44" s="5">
        <f t="shared" si="1"/>
        <v>0</v>
      </c>
      <c r="K44" s="2"/>
      <c r="L44" s="2">
        <f t="shared" si="2"/>
        <v>-1217.4099999999999</v>
      </c>
      <c r="M44" s="2"/>
      <c r="N44" s="5">
        <f t="shared" si="3"/>
        <v>-1.2455341613635897</v>
      </c>
      <c r="O44" s="11"/>
      <c r="P44" s="2">
        <f>SUM(OSRRefP22_6x_0)</f>
        <v>21695.79</v>
      </c>
      <c r="Q44" s="2"/>
      <c r="R44" s="5">
        <f t="shared" si="4"/>
        <v>0</v>
      </c>
      <c r="S44" s="2"/>
      <c r="T44" s="2">
        <f>SUM(OSRRefT22_6x_0)</f>
        <v>-650.65</v>
      </c>
      <c r="U44" s="2"/>
      <c r="V44" s="5">
        <f t="shared" si="5"/>
        <v>0</v>
      </c>
      <c r="W44" s="2"/>
      <c r="X44" s="2">
        <f t="shared" si="6"/>
        <v>22346.440000000002</v>
      </c>
      <c r="Y44" s="2"/>
      <c r="Z44" s="5">
        <f t="shared" si="7"/>
        <v>-34.344793667870597</v>
      </c>
    </row>
    <row r="45" spans="1:26" s="69" customFormat="1" ht="15" hidden="1" customHeight="1" outlineLevel="2" x14ac:dyDescent="0.3">
      <c r="A45" s="21"/>
      <c r="B45" s="9" t="str">
        <f>CONCATENATE("          ","6241"," - ","OFFICE EXPENSE")</f>
        <v xml:space="preserve">          6241 - OFFICE EXPENSE</v>
      </c>
      <c r="C45" s="9"/>
      <c r="D45" s="6">
        <v>-239.99</v>
      </c>
      <c r="E45" s="3"/>
      <c r="F45" s="7">
        <f t="shared" si="0"/>
        <v>0</v>
      </c>
      <c r="G45" s="3"/>
      <c r="H45" s="6">
        <v>977.42</v>
      </c>
      <c r="I45" s="3"/>
      <c r="J45" s="7">
        <f t="shared" si="1"/>
        <v>0</v>
      </c>
      <c r="K45" s="3"/>
      <c r="L45" s="6">
        <f t="shared" si="2"/>
        <v>-1217.4099999999999</v>
      </c>
      <c r="M45" s="3"/>
      <c r="N45" s="7">
        <f t="shared" si="3"/>
        <v>-1.2455341613635897</v>
      </c>
      <c r="O45" s="9"/>
      <c r="P45" s="6">
        <v>21695.79</v>
      </c>
      <c r="Q45" s="3"/>
      <c r="R45" s="7">
        <f t="shared" si="4"/>
        <v>0</v>
      </c>
      <c r="S45" s="3"/>
      <c r="T45" s="6">
        <v>-650.65</v>
      </c>
      <c r="U45" s="3"/>
      <c r="V45" s="7">
        <f t="shared" si="5"/>
        <v>0</v>
      </c>
      <c r="W45" s="3"/>
      <c r="X45" s="6">
        <f t="shared" si="6"/>
        <v>22346.440000000002</v>
      </c>
      <c r="Y45" s="3"/>
      <c r="Z45" s="7">
        <f t="shared" si="7"/>
        <v>-34.344793667870597</v>
      </c>
    </row>
    <row r="46" spans="1:26" s="68" customFormat="1" ht="15" customHeight="1" outlineLevel="1" collapsed="1" x14ac:dyDescent="0.3">
      <c r="A46" s="20"/>
      <c r="B46" s="11" t="str">
        <f>CONCATENATE("     ","Telephone/Data Lines                              ")</f>
        <v xml:space="preserve">     Telephone/Data Lines                              </v>
      </c>
      <c r="C46" s="11"/>
      <c r="D46" s="2">
        <f>SUM(OSRRefD22_7x_0)</f>
        <v>689.37</v>
      </c>
      <c r="E46" s="2"/>
      <c r="F46" s="5">
        <f t="shared" si="0"/>
        <v>0</v>
      </c>
      <c r="G46" s="2"/>
      <c r="H46" s="2">
        <f>SUM(OSRRefH22_7x_0)</f>
        <v>1124.72</v>
      </c>
      <c r="I46" s="2"/>
      <c r="J46" s="5">
        <f t="shared" si="1"/>
        <v>0</v>
      </c>
      <c r="K46" s="2"/>
      <c r="L46" s="2">
        <f t="shared" si="2"/>
        <v>-435.35</v>
      </c>
      <c r="M46" s="2"/>
      <c r="N46" s="5">
        <f t="shared" si="3"/>
        <v>-0.38707411622448257</v>
      </c>
      <c r="O46" s="11"/>
      <c r="P46" s="2">
        <f>SUM(OSRRefP22_7x_0)</f>
        <v>10193.59</v>
      </c>
      <c r="Q46" s="2"/>
      <c r="R46" s="5">
        <f t="shared" si="4"/>
        <v>0</v>
      </c>
      <c r="S46" s="2"/>
      <c r="T46" s="2">
        <f>SUM(OSRRefT22_7x_0)</f>
        <v>9114.93</v>
      </c>
      <c r="U46" s="2"/>
      <c r="V46" s="5">
        <f t="shared" si="5"/>
        <v>0</v>
      </c>
      <c r="W46" s="2"/>
      <c r="X46" s="2">
        <f t="shared" si="6"/>
        <v>1078.6599999999999</v>
      </c>
      <c r="Y46" s="2"/>
      <c r="Z46" s="5">
        <f t="shared" si="7"/>
        <v>0.11833991045460578</v>
      </c>
    </row>
    <row r="47" spans="1:26" s="69" customFormat="1" ht="15" hidden="1" customHeight="1" outlineLevel="2" x14ac:dyDescent="0.3">
      <c r="A47" s="21"/>
      <c r="B47" s="9" t="str">
        <f>CONCATENATE("          ","6303"," - ","DATA PHONE LINES")</f>
        <v xml:space="preserve">          6303 - DATA PHONE LINES</v>
      </c>
      <c r="C47" s="9"/>
      <c r="D47" s="6">
        <v>271.97000000000003</v>
      </c>
      <c r="E47" s="3"/>
      <c r="F47" s="7">
        <f t="shared" si="0"/>
        <v>0</v>
      </c>
      <c r="G47" s="3"/>
      <c r="H47" s="6">
        <v>241.97</v>
      </c>
      <c r="I47" s="3"/>
      <c r="J47" s="7">
        <f t="shared" si="1"/>
        <v>0</v>
      </c>
      <c r="K47" s="3"/>
      <c r="L47" s="6">
        <f t="shared" si="2"/>
        <v>30.000000000000028</v>
      </c>
      <c r="M47" s="3"/>
      <c r="N47" s="7">
        <f t="shared" si="3"/>
        <v>0.12398231185684187</v>
      </c>
      <c r="O47" s="9"/>
      <c r="P47" s="6">
        <v>2139.7399999999998</v>
      </c>
      <c r="Q47" s="3"/>
      <c r="R47" s="7">
        <f t="shared" si="4"/>
        <v>0</v>
      </c>
      <c r="S47" s="3"/>
      <c r="T47" s="6">
        <v>1727.78</v>
      </c>
      <c r="U47" s="3"/>
      <c r="V47" s="7">
        <f t="shared" si="5"/>
        <v>0</v>
      </c>
      <c r="W47" s="3"/>
      <c r="X47" s="6">
        <f t="shared" si="6"/>
        <v>411.95999999999981</v>
      </c>
      <c r="Y47" s="3"/>
      <c r="Z47" s="7">
        <f t="shared" si="7"/>
        <v>0.23843313384805925</v>
      </c>
    </row>
    <row r="48" spans="1:26" s="69" customFormat="1" ht="15" hidden="1" customHeight="1" outlineLevel="2" x14ac:dyDescent="0.3">
      <c r="A48" s="21"/>
      <c r="B48" s="9" t="str">
        <f>CONCATENATE("          ","6309"," - ","TELEPHONE")</f>
        <v xml:space="preserve">          6309 - TELEPHONE</v>
      </c>
      <c r="C48" s="9"/>
      <c r="D48" s="6">
        <v>417.4</v>
      </c>
      <c r="E48" s="3"/>
      <c r="F48" s="7">
        <f t="shared" si="0"/>
        <v>0</v>
      </c>
      <c r="G48" s="3"/>
      <c r="H48" s="6">
        <v>882.75</v>
      </c>
      <c r="I48" s="3"/>
      <c r="J48" s="7">
        <f t="shared" si="1"/>
        <v>0</v>
      </c>
      <c r="K48" s="3"/>
      <c r="L48" s="6">
        <f t="shared" si="2"/>
        <v>-465.35</v>
      </c>
      <c r="M48" s="3"/>
      <c r="N48" s="7">
        <f t="shared" si="3"/>
        <v>-0.52715944491645428</v>
      </c>
      <c r="O48" s="9"/>
      <c r="P48" s="6">
        <v>8053.85</v>
      </c>
      <c r="Q48" s="3"/>
      <c r="R48" s="7">
        <f t="shared" si="4"/>
        <v>0</v>
      </c>
      <c r="S48" s="3"/>
      <c r="T48" s="6">
        <v>7387.15</v>
      </c>
      <c r="U48" s="3"/>
      <c r="V48" s="7">
        <f t="shared" si="5"/>
        <v>0</v>
      </c>
      <c r="W48" s="3"/>
      <c r="X48" s="6">
        <f t="shared" si="6"/>
        <v>666.70000000000073</v>
      </c>
      <c r="Y48" s="3"/>
      <c r="Z48" s="7">
        <f t="shared" si="7"/>
        <v>9.0251314783103193E-2</v>
      </c>
    </row>
    <row r="49" spans="1:26" s="68" customFormat="1" ht="15" customHeight="1" outlineLevel="1" collapsed="1" x14ac:dyDescent="0.3">
      <c r="A49" s="20"/>
      <c r="B49" s="11" t="str">
        <f>CONCATENATE("     ","Training                                          ")</f>
        <v xml:space="preserve">     Training                                          </v>
      </c>
      <c r="C49" s="11"/>
      <c r="D49" s="2">
        <f>SUM(OSRRefD22_8x_0)</f>
        <v>49.99</v>
      </c>
      <c r="E49" s="2"/>
      <c r="F49" s="5">
        <f t="shared" si="0"/>
        <v>0</v>
      </c>
      <c r="G49" s="2"/>
      <c r="H49" s="2">
        <f>SUM(OSRRefH22_8x_0)</f>
        <v>0</v>
      </c>
      <c r="I49" s="2"/>
      <c r="J49" s="5">
        <f t="shared" si="1"/>
        <v>0</v>
      </c>
      <c r="K49" s="2"/>
      <c r="L49" s="2">
        <f t="shared" si="2"/>
        <v>49.99</v>
      </c>
      <c r="M49" s="2"/>
      <c r="N49" s="5">
        <f t="shared" si="3"/>
        <v>0</v>
      </c>
      <c r="O49" s="11"/>
      <c r="P49" s="2">
        <f>SUM(OSRRefP22_8x_0)</f>
        <v>787.98</v>
      </c>
      <c r="Q49" s="2"/>
      <c r="R49" s="5">
        <f t="shared" si="4"/>
        <v>0</v>
      </c>
      <c r="S49" s="2"/>
      <c r="T49" s="2">
        <f>SUM(OSRRefT22_8x_0)</f>
        <v>498</v>
      </c>
      <c r="U49" s="2"/>
      <c r="V49" s="5">
        <f t="shared" si="5"/>
        <v>0</v>
      </c>
      <c r="W49" s="2"/>
      <c r="X49" s="2">
        <f t="shared" si="6"/>
        <v>289.98</v>
      </c>
      <c r="Y49" s="2"/>
      <c r="Z49" s="5">
        <f t="shared" si="7"/>
        <v>0.58228915662650604</v>
      </c>
    </row>
    <row r="50" spans="1:26" s="69" customFormat="1" ht="15" hidden="1" customHeight="1" outlineLevel="2" x14ac:dyDescent="0.3">
      <c r="A50" s="21"/>
      <c r="B50" s="9" t="str">
        <f>CONCATENATE("          ","6376"," - ","TRAINING")</f>
        <v xml:space="preserve">          6376 - TRAINING</v>
      </c>
      <c r="C50" s="9"/>
      <c r="D50" s="6">
        <v>49.99</v>
      </c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49.99</v>
      </c>
      <c r="M50" s="3"/>
      <c r="N50" s="7">
        <f t="shared" si="3"/>
        <v>0</v>
      </c>
      <c r="O50" s="9"/>
      <c r="P50" s="6">
        <v>787.98</v>
      </c>
      <c r="Q50" s="3"/>
      <c r="R50" s="7">
        <f t="shared" si="4"/>
        <v>0</v>
      </c>
      <c r="S50" s="3"/>
      <c r="T50" s="6">
        <v>498</v>
      </c>
      <c r="U50" s="3"/>
      <c r="V50" s="7">
        <f t="shared" si="5"/>
        <v>0</v>
      </c>
      <c r="W50" s="3"/>
      <c r="X50" s="6">
        <f t="shared" si="6"/>
        <v>289.98</v>
      </c>
      <c r="Y50" s="3"/>
      <c r="Z50" s="7">
        <f t="shared" si="7"/>
        <v>0.58228915662650604</v>
      </c>
    </row>
    <row r="51" spans="1:26" s="68" customFormat="1" ht="15" customHeight="1" outlineLevel="1" collapsed="1" x14ac:dyDescent="0.3">
      <c r="A51" s="20"/>
      <c r="B51" s="11" t="str">
        <f>CONCATENATE("     ","Travel                                            ")</f>
        <v xml:space="preserve">     Travel                                            </v>
      </c>
      <c r="C51" s="11"/>
      <c r="D51" s="2">
        <f>SUM(OSRRefD22_9x_0)</f>
        <v>0</v>
      </c>
      <c r="E51" s="2"/>
      <c r="F51" s="5">
        <f t="shared" si="0"/>
        <v>0</v>
      </c>
      <c r="G51" s="2"/>
      <c r="H51" s="2">
        <f>SUM(OSRRefH22_9x_0)</f>
        <v>0</v>
      </c>
      <c r="I51" s="2"/>
      <c r="J51" s="5">
        <f t="shared" si="1"/>
        <v>0</v>
      </c>
      <c r="K51" s="2"/>
      <c r="L51" s="2">
        <f t="shared" si="2"/>
        <v>0</v>
      </c>
      <c r="M51" s="2"/>
      <c r="N51" s="5">
        <f t="shared" si="3"/>
        <v>0</v>
      </c>
      <c r="O51" s="11"/>
      <c r="P51" s="2">
        <f>SUM(OSRRefP22_9x_0)</f>
        <v>0</v>
      </c>
      <c r="Q51" s="2"/>
      <c r="R51" s="5">
        <f t="shared" si="4"/>
        <v>0</v>
      </c>
      <c r="S51" s="2"/>
      <c r="T51" s="2">
        <f>SUM(OSRRefT22_9x_0)</f>
        <v>0</v>
      </c>
      <c r="U51" s="2"/>
      <c r="V51" s="5">
        <f t="shared" si="5"/>
        <v>0</v>
      </c>
      <c r="W51" s="2"/>
      <c r="X51" s="2">
        <f t="shared" si="6"/>
        <v>0</v>
      </c>
      <c r="Y51" s="2"/>
      <c r="Z51" s="5">
        <f t="shared" si="7"/>
        <v>0</v>
      </c>
    </row>
    <row r="52" spans="1:26" s="69" customFormat="1" ht="15" hidden="1" customHeight="1" outlineLevel="2" x14ac:dyDescent="0.3">
      <c r="A52" s="21"/>
      <c r="B52" s="9" t="str">
        <f>CONCATENATE("          ","6292"," - ","TRAVEL/CONFERENCE")</f>
        <v xml:space="preserve">          6292 - TRAVEL/CONFERENCE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0</v>
      </c>
      <c r="Q52" s="3"/>
      <c r="R52" s="7">
        <f t="shared" si="4"/>
        <v>0</v>
      </c>
      <c r="S52" s="3"/>
      <c r="T52" s="6"/>
      <c r="U52" s="3"/>
      <c r="V52" s="7">
        <f t="shared" si="5"/>
        <v>0</v>
      </c>
      <c r="W52" s="3"/>
      <c r="X52" s="6">
        <f t="shared" si="6"/>
        <v>0</v>
      </c>
      <c r="Y52" s="3"/>
      <c r="Z52" s="7">
        <f t="shared" si="7"/>
        <v>0</v>
      </c>
    </row>
    <row r="53" spans="1:26" s="64" customFormat="1" ht="15" customHeight="1" x14ac:dyDescent="0.3">
      <c r="A53" s="37"/>
      <c r="B53" s="37"/>
      <c r="C53" s="37"/>
      <c r="D53" s="2"/>
      <c r="E53" s="2"/>
      <c r="F53" s="5"/>
      <c r="G53" s="2"/>
      <c r="H53" s="2"/>
      <c r="I53" s="2"/>
      <c r="J53" s="5"/>
      <c r="K53" s="2"/>
      <c r="L53" s="2"/>
      <c r="M53" s="2"/>
      <c r="N53" s="5"/>
      <c r="O53" s="37"/>
      <c r="P53" s="2"/>
      <c r="Q53" s="2"/>
      <c r="R53" s="5"/>
      <c r="S53" s="2"/>
      <c r="T53" s="2"/>
      <c r="U53" s="2"/>
      <c r="V53" s="5"/>
      <c r="W53" s="2"/>
      <c r="X53" s="2"/>
      <c r="Y53" s="2"/>
      <c r="Z53" s="5"/>
    </row>
    <row r="54" spans="1:26" s="62" customFormat="1" ht="15" customHeight="1" x14ac:dyDescent="0.3">
      <c r="A54" s="13"/>
      <c r="B54" s="27" t="s">
        <v>290</v>
      </c>
      <c r="C54" s="13"/>
      <c r="D54" s="8">
        <f>SUM(0)</f>
        <v>0</v>
      </c>
      <c r="E54" s="8"/>
      <c r="F54" s="14">
        <f>IF(D$12=0,0,D54/D$12)</f>
        <v>0</v>
      </c>
      <c r="G54" s="8"/>
      <c r="H54" s="8">
        <f>SUM(0)</f>
        <v>0</v>
      </c>
      <c r="I54" s="8"/>
      <c r="J54" s="14">
        <f>IF(H$12=0,0,H54/H$12)</f>
        <v>0</v>
      </c>
      <c r="K54" s="8"/>
      <c r="L54" s="8">
        <f>+D54-H54</f>
        <v>0</v>
      </c>
      <c r="M54" s="8"/>
      <c r="N54" s="14">
        <f>IF(H54=0,0,L54/H54)</f>
        <v>0</v>
      </c>
      <c r="O54" s="13"/>
      <c r="P54" s="8">
        <f>SUM(0)</f>
        <v>0</v>
      </c>
      <c r="Q54" s="8"/>
      <c r="R54" s="14">
        <f>IF(P$12=0,0,P54/P$12)</f>
        <v>0</v>
      </c>
      <c r="S54" s="8"/>
      <c r="T54" s="8">
        <f>SUM(0)</f>
        <v>0</v>
      </c>
      <c r="U54" s="8"/>
      <c r="V54" s="14">
        <f>IF(T$12=0,0,T54/T$12)</f>
        <v>0</v>
      </c>
      <c r="W54" s="8"/>
      <c r="X54" s="8">
        <f>+P54-T54</f>
        <v>0</v>
      </c>
      <c r="Y54" s="8"/>
      <c r="Z54" s="14">
        <f>IF(T54=0,0,X54/T54)</f>
        <v>0</v>
      </c>
    </row>
    <row r="55" spans="1:26" ht="15" customHeight="1" x14ac:dyDescent="0.3">
      <c r="A55" s="12"/>
      <c r="B55" s="13"/>
      <c r="C55" s="13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O55" s="13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2" customFormat="1" ht="15" customHeight="1" x14ac:dyDescent="0.3">
      <c r="A56" s="13"/>
      <c r="B56" s="28" t="s">
        <v>291</v>
      </c>
      <c r="C56" s="28"/>
      <c r="D56" s="22">
        <f>+D16-D18+D54</f>
        <v>-37710.15</v>
      </c>
      <c r="E56" s="15"/>
      <c r="F56" s="24">
        <f>IF(D$12=0,0,D56/D$12)</f>
        <v>0</v>
      </c>
      <c r="G56" s="15"/>
      <c r="H56" s="22">
        <f>+H16-H18+H54</f>
        <v>-49467.11</v>
      </c>
      <c r="I56" s="15"/>
      <c r="J56" s="24">
        <f>IF(H$12=0,0,H56/H$12)</f>
        <v>0</v>
      </c>
      <c r="K56" s="17"/>
      <c r="L56" s="22">
        <f>+D56-H56</f>
        <v>11756.96</v>
      </c>
      <c r="M56" s="17"/>
      <c r="N56" s="24">
        <f>IF(H56=0,0,L56/H56)</f>
        <v>-0.23767226344939091</v>
      </c>
      <c r="O56" s="27"/>
      <c r="P56" s="22">
        <f>+P16-P18+P54</f>
        <v>-535601.5199999999</v>
      </c>
      <c r="Q56" s="15"/>
      <c r="R56" s="24">
        <f>IF(P$12=0,0,P56/P$12)</f>
        <v>0</v>
      </c>
      <c r="S56" s="15"/>
      <c r="T56" s="22">
        <f>+T16-T18+T54</f>
        <v>-605649.99</v>
      </c>
      <c r="U56" s="15"/>
      <c r="V56" s="24">
        <f>IF(T$12=0,0,T56/T$12)</f>
        <v>0</v>
      </c>
      <c r="W56" s="17"/>
      <c r="X56" s="22">
        <f>+P56-T56</f>
        <v>70048.470000000088</v>
      </c>
      <c r="Y56" s="17"/>
      <c r="Z56" s="24">
        <f>IF(T56=0,0,X56/T56)</f>
        <v>-0.11565833593095591</v>
      </c>
    </row>
    <row r="57" spans="1:26" ht="15" customHeight="1" x14ac:dyDescent="0.3">
      <c r="A57" s="12"/>
      <c r="B57" s="13"/>
      <c r="C57" s="12"/>
      <c r="D57" s="4"/>
      <c r="E57" s="4"/>
      <c r="F57" s="10"/>
      <c r="G57" s="4"/>
      <c r="H57" s="4"/>
      <c r="I57" s="4"/>
      <c r="J57" s="10"/>
      <c r="K57" s="4"/>
      <c r="L57" s="4"/>
      <c r="M57" s="4"/>
      <c r="N57" s="10"/>
      <c r="P57" s="4"/>
      <c r="Q57" s="4"/>
      <c r="R57" s="10"/>
      <c r="S57" s="4"/>
      <c r="T57" s="4"/>
      <c r="U57" s="4"/>
      <c r="V57" s="10"/>
      <c r="W57" s="4"/>
      <c r="X57" s="4"/>
      <c r="Y57" s="4"/>
      <c r="Z57" s="10"/>
    </row>
    <row r="58" spans="1:26" s="62" customFormat="1" ht="15" customHeight="1" x14ac:dyDescent="0.3">
      <c r="A58" s="48"/>
      <c r="B58" s="13" t="s">
        <v>292</v>
      </c>
      <c r="C58" s="13"/>
      <c r="D58" s="8"/>
      <c r="E58" s="8"/>
      <c r="F58" s="14">
        <f>IF(D$12=0,0,D58/D$12)</f>
        <v>0</v>
      </c>
      <c r="G58" s="8"/>
      <c r="H58" s="8"/>
      <c r="I58" s="8"/>
      <c r="J58" s="14">
        <f>IF(H$12=0,0,H58/H$12)</f>
        <v>0</v>
      </c>
      <c r="K58" s="8"/>
      <c r="L58" s="8">
        <f>+D58-H58</f>
        <v>0</v>
      </c>
      <c r="M58" s="8"/>
      <c r="N58" s="14">
        <f>IF(H58=0,0,L58/H58)</f>
        <v>0</v>
      </c>
      <c r="O58" s="13"/>
      <c r="P58" s="8"/>
      <c r="Q58" s="8"/>
      <c r="R58" s="14">
        <f>IF(P$12=0,0,P58/P$12)</f>
        <v>0</v>
      </c>
      <c r="S58" s="8"/>
      <c r="T58" s="8"/>
      <c r="U58" s="8"/>
      <c r="V58" s="14">
        <f>IF(T$12=0,0,T58/T$12)</f>
        <v>0</v>
      </c>
      <c r="W58" s="8"/>
      <c r="X58" s="8">
        <f>+P58-T58</f>
        <v>0</v>
      </c>
      <c r="Y58" s="8"/>
      <c r="Z58" s="14">
        <f>IF(T58=0,0,X58/T58)</f>
        <v>0</v>
      </c>
    </row>
    <row r="59" spans="1:26" ht="15" customHeight="1" x14ac:dyDescent="0.3">
      <c r="A59" s="12"/>
      <c r="B59" s="13"/>
      <c r="C59" s="13"/>
      <c r="D59" s="4"/>
      <c r="E59" s="4"/>
      <c r="F59" s="10"/>
      <c r="G59" s="4"/>
      <c r="H59" s="4"/>
      <c r="I59" s="4"/>
      <c r="J59" s="10"/>
      <c r="K59" s="4"/>
      <c r="L59" s="4"/>
      <c r="M59" s="4"/>
      <c r="N59" s="10"/>
      <c r="O59" s="13"/>
      <c r="P59" s="4"/>
      <c r="Q59" s="4"/>
      <c r="R59" s="10"/>
      <c r="S59" s="4"/>
      <c r="T59" s="4"/>
      <c r="U59" s="4"/>
      <c r="V59" s="10"/>
      <c r="W59" s="4"/>
      <c r="X59" s="4"/>
      <c r="Y59" s="4"/>
      <c r="Z59" s="10"/>
    </row>
    <row r="60" spans="1:26" s="62" customFormat="1" ht="15" customHeight="1" x14ac:dyDescent="0.3">
      <c r="A60" s="13"/>
      <c r="B60" s="28" t="s">
        <v>293</v>
      </c>
      <c r="C60" s="28"/>
      <c r="D60" s="29">
        <f>+D56-D58</f>
        <v>-37710.15</v>
      </c>
      <c r="E60" s="15"/>
      <c r="F60" s="31">
        <f>IF(D$12=0,0,D60/D$12)</f>
        <v>0</v>
      </c>
      <c r="G60" s="15"/>
      <c r="H60" s="29">
        <f>+H56-H58</f>
        <v>-49467.11</v>
      </c>
      <c r="I60" s="15"/>
      <c r="J60" s="31">
        <f>IF(H$12=0,0,H60/H$12)</f>
        <v>0</v>
      </c>
      <c r="K60" s="17"/>
      <c r="L60" s="29">
        <f>D60-H60</f>
        <v>11756.96</v>
      </c>
      <c r="M60" s="17"/>
      <c r="N60" s="31">
        <f>IF(H60=0,0,L60/H60)</f>
        <v>-0.23767226344939091</v>
      </c>
      <c r="O60" s="27"/>
      <c r="P60" s="29">
        <f>+P56-P58</f>
        <v>-535601.5199999999</v>
      </c>
      <c r="Q60" s="15"/>
      <c r="R60" s="31">
        <f>IF(P$12=0,0,P60/P$12)</f>
        <v>0</v>
      </c>
      <c r="S60" s="15"/>
      <c r="T60" s="29">
        <f>+T56-T58</f>
        <v>-605649.99</v>
      </c>
      <c r="U60" s="15"/>
      <c r="V60" s="31">
        <f>IF(T$12=0,0,T60/T$12)</f>
        <v>0</v>
      </c>
      <c r="W60" s="17"/>
      <c r="X60" s="29">
        <f>P60-T60</f>
        <v>70048.470000000088</v>
      </c>
      <c r="Y60" s="17"/>
      <c r="Z60" s="31">
        <f>IF(T60=0,0,X60/T60)</f>
        <v>-0.11565833593095591</v>
      </c>
    </row>
    <row r="61" spans="1:26" ht="15" customHeight="1" x14ac:dyDescent="0.3">
      <c r="A61" s="12"/>
      <c r="B61" s="12"/>
      <c r="C61" s="12"/>
      <c r="D61" s="4"/>
      <c r="E61" s="4"/>
      <c r="F61" s="10"/>
      <c r="G61" s="4"/>
      <c r="H61" s="4"/>
      <c r="I61" s="4"/>
      <c r="J61" s="10"/>
      <c r="K61" s="4"/>
      <c r="L61" s="4"/>
      <c r="M61" s="4"/>
      <c r="N61" s="10"/>
      <c r="P61" s="4"/>
      <c r="Q61" s="4"/>
      <c r="R61" s="10"/>
      <c r="S61" s="4"/>
      <c r="T61" s="4"/>
      <c r="U61" s="4"/>
      <c r="V61" s="10"/>
      <c r="W61" s="4"/>
      <c r="X61" s="4"/>
      <c r="Y61" s="4"/>
      <c r="Z61" s="10"/>
    </row>
    <row r="62" spans="1:26" ht="15" customHeight="1" x14ac:dyDescent="0.3">
      <c r="A62" s="12"/>
      <c r="B62" s="12"/>
      <c r="C62" s="12"/>
      <c r="D62" s="4"/>
      <c r="E62" s="4"/>
      <c r="F62" s="10"/>
      <c r="G62" s="4"/>
      <c r="H62" s="4"/>
      <c r="I62" s="4"/>
      <c r="J62" s="10"/>
      <c r="K62" s="4"/>
      <c r="L62" s="4"/>
      <c r="M62" s="4"/>
      <c r="N62" s="10"/>
      <c r="P62" s="4"/>
      <c r="Q62" s="4"/>
      <c r="R62" s="10"/>
      <c r="S62" s="4"/>
      <c r="T62" s="4"/>
      <c r="U62" s="4"/>
      <c r="V62" s="10"/>
      <c r="W62" s="4"/>
      <c r="X62" s="4"/>
      <c r="Y62" s="4"/>
      <c r="Z62" s="10"/>
    </row>
    <row r="63" spans="1:26" s="62" customFormat="1" ht="15" customHeight="1" x14ac:dyDescent="0.3">
      <c r="A63" s="13"/>
      <c r="B63" s="28" t="s">
        <v>296</v>
      </c>
      <c r="C63" s="28"/>
      <c r="D63" s="30">
        <f>SUM(D60:D62)</f>
        <v>-37710.15</v>
      </c>
      <c r="E63" s="15"/>
      <c r="F63" s="35">
        <f>IF(D$12=0,0,D63/D$12)</f>
        <v>0</v>
      </c>
      <c r="G63" s="15"/>
      <c r="H63" s="30">
        <f>SUM(H60:H62)</f>
        <v>-49467.11</v>
      </c>
      <c r="I63" s="15"/>
      <c r="J63" s="35">
        <f>IF(H$12=0,0,H63/H$12)</f>
        <v>0</v>
      </c>
      <c r="K63" s="17"/>
      <c r="L63" s="30">
        <f>+D63-H63</f>
        <v>11756.96</v>
      </c>
      <c r="M63" s="17"/>
      <c r="N63" s="35">
        <f>IF(H63=0,0,L63/H63)</f>
        <v>-0.23767226344939091</v>
      </c>
      <c r="O63" s="27"/>
      <c r="P63" s="30">
        <f>SUM(P60:P62)</f>
        <v>-535601.5199999999</v>
      </c>
      <c r="Q63" s="15"/>
      <c r="R63" s="35">
        <f>IF(P$12=0,0,P63/P$12)</f>
        <v>0</v>
      </c>
      <c r="S63" s="15"/>
      <c r="T63" s="30">
        <f>SUM(T60:T62)</f>
        <v>-605649.99</v>
      </c>
      <c r="U63" s="15"/>
      <c r="V63" s="35">
        <f>IF(T$12=0,0,T63/T$12)</f>
        <v>0</v>
      </c>
      <c r="W63" s="17"/>
      <c r="X63" s="30">
        <f>+P63-T63</f>
        <v>70048.470000000088</v>
      </c>
      <c r="Y63" s="17"/>
      <c r="Z63" s="35">
        <f>IF(T63=0,0,X63/T63)</f>
        <v>-0.11565833593095591</v>
      </c>
    </row>
    <row r="64" spans="1:26" ht="15" customHeight="1" x14ac:dyDescent="0.3">
      <c r="A64" s="12"/>
      <c r="C64" s="12"/>
      <c r="D64" s="19"/>
      <c r="E64" s="19"/>
      <c r="G64" s="19"/>
      <c r="H64" s="19"/>
      <c r="I64" s="19"/>
      <c r="J64" s="41"/>
      <c r="K64" s="19"/>
      <c r="L64" s="19"/>
      <c r="M64" s="19"/>
      <c r="P64" s="19"/>
      <c r="Q64" s="19"/>
      <c r="R64" s="41"/>
      <c r="S64" s="19"/>
      <c r="T64" s="19"/>
      <c r="U64" s="19"/>
      <c r="V64" s="41"/>
      <c r="W64" s="19"/>
      <c r="X64" s="19"/>
    </row>
    <row r="65" spans="1:24" ht="15" customHeight="1" x14ac:dyDescent="0.3">
      <c r="A65" s="12"/>
      <c r="B65" s="54">
        <v>44767.815885219905</v>
      </c>
      <c r="D65" s="19"/>
      <c r="E65" s="19"/>
      <c r="G65" s="19"/>
      <c r="H65" s="19"/>
      <c r="I65" s="19"/>
      <c r="J65" s="41"/>
      <c r="K65" s="19"/>
      <c r="L65" s="19"/>
      <c r="M65" s="19"/>
      <c r="P65" s="19"/>
      <c r="Q65" s="19"/>
      <c r="R65" s="41"/>
      <c r="S65" s="19"/>
      <c r="T65" s="19"/>
      <c r="U65" s="19"/>
      <c r="V65" s="41"/>
      <c r="W65" s="19"/>
      <c r="X65" s="19"/>
    </row>
    <row r="66" spans="1:24" ht="15" customHeight="1" x14ac:dyDescent="0.3">
      <c r="A66" s="12"/>
      <c r="B66" s="53" t="s">
        <v>297</v>
      </c>
      <c r="D66" s="19"/>
      <c r="E66" s="19"/>
      <c r="G66" s="19"/>
      <c r="H66" s="19"/>
      <c r="I66" s="19"/>
      <c r="J66" s="41"/>
      <c r="K66" s="19"/>
      <c r="L66" s="19"/>
      <c r="M66" s="19"/>
      <c r="P66" s="19"/>
      <c r="Q66" s="19"/>
      <c r="R66" s="41"/>
      <c r="S66" s="19"/>
      <c r="T66" s="19"/>
      <c r="U66" s="19"/>
      <c r="V66" s="41"/>
      <c r="W66" s="19"/>
      <c r="X66" s="19"/>
    </row>
    <row r="67" spans="1:24" ht="15" customHeight="1" x14ac:dyDescent="0.3">
      <c r="A67" s="12"/>
      <c r="B67" s="51"/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4" ht="15" customHeight="1" x14ac:dyDescent="0.3"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9B25-9AAD-24BC-342E-61C054F272BE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","205"," - ","Maintenance")</f>
        <v>Department 205 - Maintenance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5248.0700000000006</v>
      </c>
      <c r="E18" s="23"/>
      <c r="F18" s="34">
        <f t="shared" ref="F18:F43" si="0">IF(D$12=0,0,D18/D$12)</f>
        <v>0</v>
      </c>
      <c r="G18" s="23"/>
      <c r="H18" s="23" cm="1">
        <f t="array" ref="H18">SUM(OSRRefH22x_0)</f>
        <v>8329.1699999999983</v>
      </c>
      <c r="I18" s="23"/>
      <c r="J18" s="34">
        <f t="shared" ref="J18:J43" si="1">IF(H$12=0,0,H18/H$12)</f>
        <v>0</v>
      </c>
      <c r="K18" s="8"/>
      <c r="L18" s="23">
        <f t="shared" ref="L18:L43" si="2">+D18-H18</f>
        <v>-3081.0999999999976</v>
      </c>
      <c r="M18" s="8"/>
      <c r="N18" s="34">
        <f t="shared" ref="N18:N43" si="3">IF(H18=0,0,L18/H18)</f>
        <v>-0.36991681043849489</v>
      </c>
      <c r="O18" s="13"/>
      <c r="P18" s="23" cm="1">
        <f t="array" ref="P18">SUM(OSRRefP22x_0)</f>
        <v>99775.79</v>
      </c>
      <c r="Q18" s="23"/>
      <c r="R18" s="34">
        <f t="shared" ref="R18:R43" si="4">IF(P$12=0,0,P18/P$12)</f>
        <v>0</v>
      </c>
      <c r="S18" s="23"/>
      <c r="T18" s="23" cm="1">
        <f t="array" ref="T18">SUM(OSRRefT22x_0)</f>
        <v>99842.01</v>
      </c>
      <c r="U18" s="23"/>
      <c r="V18" s="34">
        <f t="shared" ref="V18:V43" si="5">IF(T$12=0,0,T18/T$12)</f>
        <v>0</v>
      </c>
      <c r="W18" s="8"/>
      <c r="X18" s="23">
        <f t="shared" ref="X18:X43" si="6">+P18-T18</f>
        <v>-66.220000000001164</v>
      </c>
      <c r="Y18" s="8"/>
      <c r="Z18" s="34">
        <f t="shared" ref="Z18:Z43" si="7">IF(T18=0,0,X18/T18)</f>
        <v>-6.6324786530240292E-4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-78.579999999999785</v>
      </c>
      <c r="E19" s="2"/>
      <c r="F19" s="5">
        <f t="shared" si="0"/>
        <v>0</v>
      </c>
      <c r="G19" s="2"/>
      <c r="H19" s="2">
        <f>SUM(OSRRefH22_0x_0)</f>
        <v>2776.72</v>
      </c>
      <c r="I19" s="2"/>
      <c r="J19" s="5">
        <f t="shared" si="1"/>
        <v>0</v>
      </c>
      <c r="K19" s="2"/>
      <c r="L19" s="2">
        <f t="shared" si="2"/>
        <v>-2855.2999999999997</v>
      </c>
      <c r="M19" s="2"/>
      <c r="N19" s="5">
        <f t="shared" si="3"/>
        <v>-1.0282995764787231</v>
      </c>
      <c r="O19" s="11"/>
      <c r="P19" s="2">
        <f>SUM(OSRRefP22_0x_0)</f>
        <v>29932.230000000003</v>
      </c>
      <c r="Q19" s="2"/>
      <c r="R19" s="5">
        <f t="shared" si="4"/>
        <v>0</v>
      </c>
      <c r="S19" s="2"/>
      <c r="T19" s="2">
        <f>SUM(OSRRefT22_0x_0)</f>
        <v>30932.5</v>
      </c>
      <c r="U19" s="2"/>
      <c r="V19" s="5">
        <f t="shared" si="5"/>
        <v>0</v>
      </c>
      <c r="W19" s="2"/>
      <c r="X19" s="2">
        <f t="shared" si="6"/>
        <v>-1000.2699999999968</v>
      </c>
      <c r="Y19" s="2"/>
      <c r="Z19" s="5">
        <f t="shared" si="7"/>
        <v>-3.2337185807807221E-2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334.14</v>
      </c>
      <c r="E20" s="3"/>
      <c r="F20" s="7">
        <f t="shared" si="0"/>
        <v>0</v>
      </c>
      <c r="G20" s="3"/>
      <c r="H20" s="6">
        <v>322.3</v>
      </c>
      <c r="I20" s="3"/>
      <c r="J20" s="7">
        <f t="shared" si="1"/>
        <v>0</v>
      </c>
      <c r="K20" s="3"/>
      <c r="L20" s="6">
        <f t="shared" si="2"/>
        <v>11.839999999999975</v>
      </c>
      <c r="M20" s="3"/>
      <c r="N20" s="7">
        <f t="shared" si="3"/>
        <v>3.673596028544826E-2</v>
      </c>
      <c r="O20" s="9"/>
      <c r="P20" s="6">
        <v>4366.7299999999996</v>
      </c>
      <c r="Q20" s="3"/>
      <c r="R20" s="7">
        <f t="shared" si="4"/>
        <v>0</v>
      </c>
      <c r="S20" s="3"/>
      <c r="T20" s="6">
        <v>4161.8</v>
      </c>
      <c r="U20" s="3"/>
      <c r="V20" s="7">
        <f t="shared" si="5"/>
        <v>0</v>
      </c>
      <c r="W20" s="3"/>
      <c r="X20" s="6">
        <f t="shared" si="6"/>
        <v>204.92999999999938</v>
      </c>
      <c r="Y20" s="3"/>
      <c r="Z20" s="7">
        <f t="shared" si="7"/>
        <v>4.9240713152962509E-2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-2371.4899999999998</v>
      </c>
      <c r="E21" s="3"/>
      <c r="F21" s="7">
        <f t="shared" si="0"/>
        <v>0</v>
      </c>
      <c r="G21" s="3"/>
      <c r="H21" s="6">
        <v>291.97000000000003</v>
      </c>
      <c r="I21" s="3"/>
      <c r="J21" s="7">
        <f t="shared" si="1"/>
        <v>0</v>
      </c>
      <c r="K21" s="3"/>
      <c r="L21" s="6">
        <f t="shared" si="2"/>
        <v>-2663.46</v>
      </c>
      <c r="M21" s="3"/>
      <c r="N21" s="7">
        <f t="shared" si="3"/>
        <v>-9.1223755865328631</v>
      </c>
      <c r="O21" s="9"/>
      <c r="P21" s="6">
        <v>533.04999999999995</v>
      </c>
      <c r="Q21" s="3"/>
      <c r="R21" s="7">
        <f t="shared" si="4"/>
        <v>0</v>
      </c>
      <c r="S21" s="3"/>
      <c r="T21" s="6">
        <v>3767.89</v>
      </c>
      <c r="U21" s="3"/>
      <c r="V21" s="7">
        <f t="shared" si="5"/>
        <v>0</v>
      </c>
      <c r="W21" s="3"/>
      <c r="X21" s="6">
        <f t="shared" si="6"/>
        <v>-3234.84</v>
      </c>
      <c r="Y21" s="3"/>
      <c r="Z21" s="7">
        <f t="shared" si="7"/>
        <v>-0.85852824790532634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694.36</v>
      </c>
      <c r="E22" s="3"/>
      <c r="F22" s="7">
        <f t="shared" si="0"/>
        <v>0</v>
      </c>
      <c r="G22" s="3"/>
      <c r="H22" s="6">
        <v>699.91</v>
      </c>
      <c r="I22" s="3"/>
      <c r="J22" s="7">
        <f t="shared" si="1"/>
        <v>0</v>
      </c>
      <c r="K22" s="3"/>
      <c r="L22" s="6">
        <f t="shared" si="2"/>
        <v>-5.5499999999999545</v>
      </c>
      <c r="M22" s="3"/>
      <c r="N22" s="7">
        <f t="shared" si="3"/>
        <v>-7.92959094740746E-3</v>
      </c>
      <c r="O22" s="9"/>
      <c r="P22" s="6">
        <v>8354.3700000000008</v>
      </c>
      <c r="Q22" s="3"/>
      <c r="R22" s="7">
        <f t="shared" si="4"/>
        <v>0</v>
      </c>
      <c r="S22" s="3"/>
      <c r="T22" s="6">
        <v>8376.42</v>
      </c>
      <c r="U22" s="3"/>
      <c r="V22" s="7">
        <f t="shared" si="5"/>
        <v>0</v>
      </c>
      <c r="W22" s="3"/>
      <c r="X22" s="6">
        <f t="shared" si="6"/>
        <v>-22.049999999999272</v>
      </c>
      <c r="Y22" s="3"/>
      <c r="Z22" s="7">
        <f t="shared" si="7"/>
        <v>-2.6323894933634262E-3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10.95</v>
      </c>
      <c r="I23" s="3"/>
      <c r="J23" s="7">
        <f t="shared" si="1"/>
        <v>0</v>
      </c>
      <c r="K23" s="3"/>
      <c r="L23" s="6">
        <f t="shared" si="2"/>
        <v>-10.95</v>
      </c>
      <c r="M23" s="3"/>
      <c r="N23" s="7">
        <f t="shared" si="3"/>
        <v>-1</v>
      </c>
      <c r="O23" s="9"/>
      <c r="P23" s="6">
        <v>136.56</v>
      </c>
      <c r="Q23" s="3"/>
      <c r="R23" s="7">
        <f t="shared" si="4"/>
        <v>0</v>
      </c>
      <c r="S23" s="3"/>
      <c r="T23" s="6">
        <v>141.38</v>
      </c>
      <c r="U23" s="3"/>
      <c r="V23" s="7">
        <f t="shared" si="5"/>
        <v>0</v>
      </c>
      <c r="W23" s="3"/>
      <c r="X23" s="6">
        <f t="shared" si="6"/>
        <v>-4.8199999999999932</v>
      </c>
      <c r="Y23" s="3"/>
      <c r="Z23" s="7">
        <f t="shared" si="7"/>
        <v>-3.4092516621870093E-2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451.45</v>
      </c>
      <c r="E24" s="3"/>
      <c r="F24" s="7">
        <f t="shared" si="0"/>
        <v>0</v>
      </c>
      <c r="G24" s="3"/>
      <c r="H24" s="6">
        <v>694.91</v>
      </c>
      <c r="I24" s="3"/>
      <c r="J24" s="7">
        <f t="shared" si="1"/>
        <v>0</v>
      </c>
      <c r="K24" s="3"/>
      <c r="L24" s="6">
        <f t="shared" si="2"/>
        <v>-243.45999999999998</v>
      </c>
      <c r="M24" s="3"/>
      <c r="N24" s="7">
        <f t="shared" si="3"/>
        <v>-0.35034752701788718</v>
      </c>
      <c r="O24" s="9"/>
      <c r="P24" s="6">
        <v>6024.19</v>
      </c>
      <c r="Q24" s="3"/>
      <c r="R24" s="7">
        <f t="shared" si="4"/>
        <v>0</v>
      </c>
      <c r="S24" s="3"/>
      <c r="T24" s="6">
        <v>6254.16</v>
      </c>
      <c r="U24" s="3"/>
      <c r="V24" s="7">
        <f t="shared" si="5"/>
        <v>0</v>
      </c>
      <c r="W24" s="3"/>
      <c r="X24" s="6">
        <f t="shared" si="6"/>
        <v>-229.97000000000025</v>
      </c>
      <c r="Y24" s="3"/>
      <c r="Z24" s="7">
        <f t="shared" si="7"/>
        <v>-3.677072540517036E-2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403.46</v>
      </c>
      <c r="E25" s="3"/>
      <c r="F25" s="7">
        <f t="shared" si="0"/>
        <v>0</v>
      </c>
      <c r="G25" s="3"/>
      <c r="H25" s="6">
        <v>387.96</v>
      </c>
      <c r="I25" s="3"/>
      <c r="J25" s="7">
        <f t="shared" si="1"/>
        <v>0</v>
      </c>
      <c r="K25" s="3"/>
      <c r="L25" s="6">
        <f t="shared" si="2"/>
        <v>15.5</v>
      </c>
      <c r="M25" s="3"/>
      <c r="N25" s="7">
        <f t="shared" si="3"/>
        <v>3.9952572430147437E-2</v>
      </c>
      <c r="O25" s="9"/>
      <c r="P25" s="6">
        <v>5124.34</v>
      </c>
      <c r="Q25" s="3"/>
      <c r="R25" s="7">
        <f t="shared" si="4"/>
        <v>0</v>
      </c>
      <c r="S25" s="3"/>
      <c r="T25" s="6">
        <v>3943.64</v>
      </c>
      <c r="U25" s="3"/>
      <c r="V25" s="7">
        <f t="shared" si="5"/>
        <v>0</v>
      </c>
      <c r="W25" s="3"/>
      <c r="X25" s="6">
        <f t="shared" si="6"/>
        <v>1180.7000000000003</v>
      </c>
      <c r="Y25" s="3"/>
      <c r="Z25" s="7">
        <f t="shared" si="7"/>
        <v>0.29939345376352822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201.46</v>
      </c>
      <c r="E26" s="3"/>
      <c r="F26" s="7">
        <f t="shared" si="0"/>
        <v>0</v>
      </c>
      <c r="G26" s="3"/>
      <c r="H26" s="6">
        <v>193.72</v>
      </c>
      <c r="I26" s="3"/>
      <c r="J26" s="7">
        <f t="shared" si="1"/>
        <v>0</v>
      </c>
      <c r="K26" s="3"/>
      <c r="L26" s="6">
        <f t="shared" si="2"/>
        <v>7.7400000000000091</v>
      </c>
      <c r="M26" s="3"/>
      <c r="N26" s="7">
        <f t="shared" si="3"/>
        <v>3.9954573611397939E-2</v>
      </c>
      <c r="O26" s="9"/>
      <c r="P26" s="6">
        <v>3338.42</v>
      </c>
      <c r="Q26" s="3"/>
      <c r="R26" s="7">
        <f t="shared" si="4"/>
        <v>0</v>
      </c>
      <c r="S26" s="3"/>
      <c r="T26" s="6">
        <v>2518.36</v>
      </c>
      <c r="U26" s="3"/>
      <c r="V26" s="7">
        <f t="shared" si="5"/>
        <v>0</v>
      </c>
      <c r="W26" s="3"/>
      <c r="X26" s="6">
        <f t="shared" si="6"/>
        <v>820.06</v>
      </c>
      <c r="Y26" s="3"/>
      <c r="Z26" s="7">
        <f t="shared" si="7"/>
        <v>0.32563255451960799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208.04</v>
      </c>
      <c r="E27" s="3"/>
      <c r="F27" s="7">
        <f t="shared" si="0"/>
        <v>0</v>
      </c>
      <c r="G27" s="3"/>
      <c r="H27" s="6">
        <v>175</v>
      </c>
      <c r="I27" s="3"/>
      <c r="J27" s="7">
        <f t="shared" si="1"/>
        <v>0</v>
      </c>
      <c r="K27" s="3"/>
      <c r="L27" s="6">
        <f t="shared" si="2"/>
        <v>33.039999999999992</v>
      </c>
      <c r="M27" s="3"/>
      <c r="N27" s="7">
        <f t="shared" si="3"/>
        <v>0.18879999999999997</v>
      </c>
      <c r="O27" s="9"/>
      <c r="P27" s="6">
        <v>2054.5700000000002</v>
      </c>
      <c r="Q27" s="3"/>
      <c r="R27" s="7">
        <f t="shared" si="4"/>
        <v>0</v>
      </c>
      <c r="S27" s="3"/>
      <c r="T27" s="6">
        <v>1768.85</v>
      </c>
      <c r="U27" s="3"/>
      <c r="V27" s="7">
        <f t="shared" si="5"/>
        <v>0</v>
      </c>
      <c r="W27" s="3"/>
      <c r="X27" s="6">
        <f t="shared" si="6"/>
        <v>285.72000000000025</v>
      </c>
      <c r="Y27" s="3"/>
      <c r="Z27" s="7">
        <f t="shared" si="7"/>
        <v>0.1615286768239253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4367.72</v>
      </c>
      <c r="E28" s="2"/>
      <c r="F28" s="5">
        <f t="shared" si="0"/>
        <v>0</v>
      </c>
      <c r="G28" s="2"/>
      <c r="H28" s="2">
        <f>SUM(OSRRefH22_1x_0)</f>
        <v>4199.74</v>
      </c>
      <c r="I28" s="2"/>
      <c r="J28" s="5">
        <f t="shared" si="1"/>
        <v>0</v>
      </c>
      <c r="K28" s="2"/>
      <c r="L28" s="2">
        <f t="shared" si="2"/>
        <v>167.98000000000047</v>
      </c>
      <c r="M28" s="2"/>
      <c r="N28" s="5">
        <f t="shared" si="3"/>
        <v>3.9997714144209044E-2</v>
      </c>
      <c r="O28" s="11"/>
      <c r="P28" s="2">
        <f>SUM(OSRRefP22_1x_0)</f>
        <v>49665.51</v>
      </c>
      <c r="Q28" s="2"/>
      <c r="R28" s="5">
        <f t="shared" si="4"/>
        <v>0</v>
      </c>
      <c r="S28" s="2"/>
      <c r="T28" s="2">
        <f>SUM(OSRRefT22_1x_0)</f>
        <v>50654.67</v>
      </c>
      <c r="U28" s="2"/>
      <c r="V28" s="5">
        <f t="shared" si="5"/>
        <v>0</v>
      </c>
      <c r="W28" s="2"/>
      <c r="X28" s="2">
        <f t="shared" si="6"/>
        <v>-989.15999999999622</v>
      </c>
      <c r="Y28" s="2"/>
      <c r="Z28" s="5">
        <f t="shared" si="7"/>
        <v>-1.9527518390703092E-2</v>
      </c>
    </row>
    <row r="29" spans="1:26" s="69" customFormat="1" ht="15" hidden="1" customHeight="1" outlineLevel="2" x14ac:dyDescent="0.3">
      <c r="A29" s="21"/>
      <c r="B29" s="9" t="str">
        <f>CONCATENATE("          ","6002"," - ","STAFF SALARIES")</f>
        <v xml:space="preserve">          6002 - STAFF SALARIES</v>
      </c>
      <c r="C29" s="9"/>
      <c r="D29" s="6">
        <v>4367.72</v>
      </c>
      <c r="E29" s="3"/>
      <c r="F29" s="7">
        <f t="shared" si="0"/>
        <v>0</v>
      </c>
      <c r="G29" s="3"/>
      <c r="H29" s="6">
        <v>4199.74</v>
      </c>
      <c r="I29" s="3"/>
      <c r="J29" s="7">
        <f t="shared" si="1"/>
        <v>0</v>
      </c>
      <c r="K29" s="3"/>
      <c r="L29" s="6">
        <f t="shared" si="2"/>
        <v>167.98000000000047</v>
      </c>
      <c r="M29" s="3"/>
      <c r="N29" s="7">
        <f t="shared" si="3"/>
        <v>3.9997714144209044E-2</v>
      </c>
      <c r="O29" s="9"/>
      <c r="P29" s="6">
        <v>49665.51</v>
      </c>
      <c r="Q29" s="3"/>
      <c r="R29" s="7">
        <f t="shared" si="4"/>
        <v>0</v>
      </c>
      <c r="S29" s="3"/>
      <c r="T29" s="6">
        <v>50654.67</v>
      </c>
      <c r="U29" s="3"/>
      <c r="V29" s="7">
        <f t="shared" si="5"/>
        <v>0</v>
      </c>
      <c r="W29" s="3"/>
      <c r="X29" s="6">
        <f t="shared" si="6"/>
        <v>-989.15999999999622</v>
      </c>
      <c r="Y29" s="3"/>
      <c r="Z29" s="7">
        <f t="shared" si="7"/>
        <v>-1.9527518390703092E-2</v>
      </c>
    </row>
    <row r="30" spans="1:26" s="68" customFormat="1" ht="15" customHeight="1" outlineLevel="1" collapsed="1" x14ac:dyDescent="0.3">
      <c r="A30" s="20"/>
      <c r="B30" s="11" t="str">
        <f>CONCATENATE("     ","General                                           ")</f>
        <v xml:space="preserve">     General                                           </v>
      </c>
      <c r="C30" s="11"/>
      <c r="D30" s="2">
        <f>SUM(OSRRefD22_2x_0)</f>
        <v>0</v>
      </c>
      <c r="E30" s="2"/>
      <c r="F30" s="5">
        <f t="shared" si="0"/>
        <v>0</v>
      </c>
      <c r="G30" s="2"/>
      <c r="H30" s="2">
        <f>SUM(OSRRefH22_2x_0)</f>
        <v>0</v>
      </c>
      <c r="I30" s="2"/>
      <c r="J30" s="5">
        <f t="shared" si="1"/>
        <v>0</v>
      </c>
      <c r="K30" s="2"/>
      <c r="L30" s="2">
        <f t="shared" si="2"/>
        <v>0</v>
      </c>
      <c r="M30" s="2"/>
      <c r="N30" s="5">
        <f t="shared" si="3"/>
        <v>0</v>
      </c>
      <c r="O30" s="11"/>
      <c r="P30" s="2">
        <f>SUM(OSRRefP22_2x_0)</f>
        <v>-1613.22</v>
      </c>
      <c r="Q30" s="2"/>
      <c r="R30" s="5">
        <f t="shared" si="4"/>
        <v>0</v>
      </c>
      <c r="S30" s="2"/>
      <c r="T30" s="2">
        <f>SUM(OSRRefT22_2x_0)</f>
        <v>-238.8</v>
      </c>
      <c r="U30" s="2"/>
      <c r="V30" s="5">
        <f t="shared" si="5"/>
        <v>0</v>
      </c>
      <c r="W30" s="2"/>
      <c r="X30" s="2">
        <f t="shared" si="6"/>
        <v>-1374.42</v>
      </c>
      <c r="Y30" s="2"/>
      <c r="Z30" s="5">
        <f t="shared" si="7"/>
        <v>5.755527638190955</v>
      </c>
    </row>
    <row r="31" spans="1:26" s="69" customFormat="1" ht="15" hidden="1" customHeight="1" outlineLevel="2" x14ac:dyDescent="0.3">
      <c r="A31" s="21"/>
      <c r="B31" s="9" t="str">
        <f>CONCATENATE("          ","6279"," - ","GENERAL EXPENSE")</f>
        <v xml:space="preserve">          6279 - GENERAL EXPENSE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-1613.22</v>
      </c>
      <c r="Q31" s="3"/>
      <c r="R31" s="7">
        <f t="shared" si="4"/>
        <v>0</v>
      </c>
      <c r="S31" s="3"/>
      <c r="T31" s="6">
        <v>-238.8</v>
      </c>
      <c r="U31" s="3"/>
      <c r="V31" s="7">
        <f t="shared" si="5"/>
        <v>0</v>
      </c>
      <c r="W31" s="3"/>
      <c r="X31" s="6">
        <f t="shared" si="6"/>
        <v>-1374.42</v>
      </c>
      <c r="Y31" s="3"/>
      <c r="Z31" s="7">
        <f t="shared" si="7"/>
        <v>5.755527638190955</v>
      </c>
    </row>
    <row r="32" spans="1:26" s="68" customFormat="1" ht="15" customHeight="1" outlineLevel="1" collapsed="1" x14ac:dyDescent="0.3">
      <c r="A32" s="20"/>
      <c r="B32" s="11" t="str">
        <f>CONCATENATE("     ","Insurance                                         ")</f>
        <v xml:space="preserve">     Insurance                                         </v>
      </c>
      <c r="C32" s="11"/>
      <c r="D32" s="2">
        <f>SUM(OSRRefD22_3x_0)</f>
        <v>-10.37</v>
      </c>
      <c r="E32" s="2"/>
      <c r="F32" s="5">
        <f t="shared" si="0"/>
        <v>0</v>
      </c>
      <c r="G32" s="2"/>
      <c r="H32" s="2">
        <f>SUM(OSRRefH22_3x_0)</f>
        <v>52.73</v>
      </c>
      <c r="I32" s="2"/>
      <c r="J32" s="5">
        <f t="shared" si="1"/>
        <v>0</v>
      </c>
      <c r="K32" s="2"/>
      <c r="L32" s="2">
        <f t="shared" si="2"/>
        <v>-63.099999999999994</v>
      </c>
      <c r="M32" s="2"/>
      <c r="N32" s="5">
        <f t="shared" si="3"/>
        <v>-1.1966622416081927</v>
      </c>
      <c r="O32" s="11"/>
      <c r="P32" s="2">
        <f>SUM(OSRRefP22_3x_0)</f>
        <v>356.81</v>
      </c>
      <c r="Q32" s="2"/>
      <c r="R32" s="5">
        <f t="shared" si="4"/>
        <v>0</v>
      </c>
      <c r="S32" s="2"/>
      <c r="T32" s="2">
        <f>SUM(OSRRefT22_3x_0)</f>
        <v>322.89</v>
      </c>
      <c r="U32" s="2"/>
      <c r="V32" s="5">
        <f t="shared" si="5"/>
        <v>0</v>
      </c>
      <c r="W32" s="2"/>
      <c r="X32" s="2">
        <f t="shared" si="6"/>
        <v>33.920000000000016</v>
      </c>
      <c r="Y32" s="2"/>
      <c r="Z32" s="5">
        <f t="shared" si="7"/>
        <v>0.10505125584564408</v>
      </c>
    </row>
    <row r="33" spans="1:26" s="69" customFormat="1" ht="15" hidden="1" customHeight="1" outlineLevel="2" x14ac:dyDescent="0.3">
      <c r="A33" s="21"/>
      <c r="B33" s="9" t="str">
        <f>CONCATENATE("          ","6314"," - ","LIABILITY INSURANCE")</f>
        <v xml:space="preserve">          6314 - LIABILITY INSURANCE</v>
      </c>
      <c r="C33" s="9"/>
      <c r="D33" s="6">
        <v>-10.37</v>
      </c>
      <c r="E33" s="3"/>
      <c r="F33" s="7">
        <f t="shared" si="0"/>
        <v>0</v>
      </c>
      <c r="G33" s="3"/>
      <c r="H33" s="6">
        <v>52.73</v>
      </c>
      <c r="I33" s="3"/>
      <c r="J33" s="7">
        <f t="shared" si="1"/>
        <v>0</v>
      </c>
      <c r="K33" s="3"/>
      <c r="L33" s="6">
        <f t="shared" si="2"/>
        <v>-63.099999999999994</v>
      </c>
      <c r="M33" s="3"/>
      <c r="N33" s="7">
        <f t="shared" si="3"/>
        <v>-1.1966622416081927</v>
      </c>
      <c r="O33" s="9"/>
      <c r="P33" s="6">
        <v>356.81</v>
      </c>
      <c r="Q33" s="3"/>
      <c r="R33" s="7">
        <f t="shared" si="4"/>
        <v>0</v>
      </c>
      <c r="S33" s="3"/>
      <c r="T33" s="6">
        <v>322.89</v>
      </c>
      <c r="U33" s="3"/>
      <c r="V33" s="7">
        <f t="shared" si="5"/>
        <v>0</v>
      </c>
      <c r="W33" s="3"/>
      <c r="X33" s="6">
        <f t="shared" si="6"/>
        <v>33.920000000000016</v>
      </c>
      <c r="Y33" s="3"/>
      <c r="Z33" s="7">
        <f t="shared" si="7"/>
        <v>0.10505125584564408</v>
      </c>
    </row>
    <row r="34" spans="1:26" s="68" customFormat="1" ht="15" customHeight="1" outlineLevel="1" collapsed="1" x14ac:dyDescent="0.3">
      <c r="A34" s="20"/>
      <c r="B34" s="11" t="str">
        <f>CONCATENATE("     ","Repair and Maintenance                            ")</f>
        <v xml:space="preserve">     Repair and Maintenance                            </v>
      </c>
      <c r="C34" s="11"/>
      <c r="D34" s="2">
        <f>SUM(OSRRefD22_4x_0)</f>
        <v>946.3</v>
      </c>
      <c r="E34" s="2"/>
      <c r="F34" s="5">
        <f t="shared" si="0"/>
        <v>0</v>
      </c>
      <c r="G34" s="2"/>
      <c r="H34" s="2">
        <f>SUM(OSRRefH22_4x_0)</f>
        <v>976.98</v>
      </c>
      <c r="I34" s="2"/>
      <c r="J34" s="5">
        <f t="shared" si="1"/>
        <v>0</v>
      </c>
      <c r="K34" s="2"/>
      <c r="L34" s="2">
        <f t="shared" si="2"/>
        <v>-30.680000000000064</v>
      </c>
      <c r="M34" s="2"/>
      <c r="N34" s="5">
        <f t="shared" si="3"/>
        <v>-3.140289463448593E-2</v>
      </c>
      <c r="O34" s="11"/>
      <c r="P34" s="2">
        <f>SUM(OSRRefP22_4x_0)</f>
        <v>19855.91</v>
      </c>
      <c r="Q34" s="2"/>
      <c r="R34" s="5">
        <f t="shared" si="4"/>
        <v>0</v>
      </c>
      <c r="S34" s="2"/>
      <c r="T34" s="2">
        <f>SUM(OSRRefT22_4x_0)</f>
        <v>11937.169999999998</v>
      </c>
      <c r="U34" s="2"/>
      <c r="V34" s="5">
        <f t="shared" si="5"/>
        <v>0</v>
      </c>
      <c r="W34" s="2"/>
      <c r="X34" s="2">
        <f t="shared" si="6"/>
        <v>7918.7400000000016</v>
      </c>
      <c r="Y34" s="2"/>
      <c r="Z34" s="5">
        <f t="shared" si="7"/>
        <v>0.66336828578297891</v>
      </c>
    </row>
    <row r="35" spans="1:26" s="69" customFormat="1" ht="15" hidden="1" customHeight="1" outlineLevel="2" x14ac:dyDescent="0.3">
      <c r="A35" s="21"/>
      <c r="B35" s="9" t="str">
        <f>CONCATENATE("          ","6371"," - ","COMPUTER SOFTWARE MAINTENANCE")</f>
        <v xml:space="preserve">          6371 - COMPUTER SOFTWARE MAINTENANCE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5739.17</v>
      </c>
      <c r="Q35" s="3"/>
      <c r="R35" s="7">
        <f t="shared" si="4"/>
        <v>0</v>
      </c>
      <c r="S35" s="3"/>
      <c r="T35" s="6"/>
      <c r="U35" s="3"/>
      <c r="V35" s="7">
        <f t="shared" si="5"/>
        <v>0</v>
      </c>
      <c r="W35" s="3"/>
      <c r="X35" s="6">
        <f t="shared" si="6"/>
        <v>5739.17</v>
      </c>
      <c r="Y35" s="3"/>
      <c r="Z35" s="7">
        <f t="shared" si="7"/>
        <v>0</v>
      </c>
    </row>
    <row r="36" spans="1:26" s="69" customFormat="1" ht="15" hidden="1" customHeight="1" outlineLevel="2" x14ac:dyDescent="0.3">
      <c r="A36" s="21"/>
      <c r="B36" s="9" t="str">
        <f>CONCATENATE("          ","6373"," - ","MAINTENANCE CONTRACTS")</f>
        <v xml:space="preserve">          6373 - MAINTENANCE CONTRACTS</v>
      </c>
      <c r="C36" s="9"/>
      <c r="D36" s="6">
        <v>946.3</v>
      </c>
      <c r="E36" s="3"/>
      <c r="F36" s="7">
        <f t="shared" si="0"/>
        <v>0</v>
      </c>
      <c r="G36" s="3"/>
      <c r="H36" s="6">
        <v>891.98</v>
      </c>
      <c r="I36" s="3"/>
      <c r="J36" s="7">
        <f t="shared" si="1"/>
        <v>0</v>
      </c>
      <c r="K36" s="3"/>
      <c r="L36" s="6">
        <f t="shared" si="2"/>
        <v>54.319999999999936</v>
      </c>
      <c r="M36" s="3"/>
      <c r="N36" s="7">
        <f t="shared" si="3"/>
        <v>6.0898226417632609E-2</v>
      </c>
      <c r="O36" s="9"/>
      <c r="P36" s="6">
        <v>13938.48</v>
      </c>
      <c r="Q36" s="3"/>
      <c r="R36" s="7">
        <f t="shared" si="4"/>
        <v>0</v>
      </c>
      <c r="S36" s="3"/>
      <c r="T36" s="6">
        <v>9681.8799999999992</v>
      </c>
      <c r="U36" s="3"/>
      <c r="V36" s="7">
        <f t="shared" si="5"/>
        <v>0</v>
      </c>
      <c r="W36" s="3"/>
      <c r="X36" s="6">
        <f t="shared" si="6"/>
        <v>4256.6000000000004</v>
      </c>
      <c r="Y36" s="3"/>
      <c r="Z36" s="7">
        <f t="shared" si="7"/>
        <v>0.43964601916156787</v>
      </c>
    </row>
    <row r="37" spans="1:26" s="69" customFormat="1" ht="15" hidden="1" customHeight="1" outlineLevel="2" x14ac:dyDescent="0.3">
      <c r="A37" s="21"/>
      <c r="B37" s="9" t="str">
        <f>CONCATENATE("          ","6375"," - ","OUTSIDE REPAIRS &amp; MAINTENANCE")</f>
        <v xml:space="preserve">          6375 - OUTSIDE REPAIRS &amp; MAINTENANCE</v>
      </c>
      <c r="C37" s="9"/>
      <c r="D37" s="6"/>
      <c r="E37" s="3"/>
      <c r="F37" s="7">
        <f t="shared" si="0"/>
        <v>0</v>
      </c>
      <c r="G37" s="3"/>
      <c r="H37" s="6">
        <v>85</v>
      </c>
      <c r="I37" s="3"/>
      <c r="J37" s="7">
        <f t="shared" si="1"/>
        <v>0</v>
      </c>
      <c r="K37" s="3"/>
      <c r="L37" s="6">
        <f t="shared" si="2"/>
        <v>-85</v>
      </c>
      <c r="M37" s="3"/>
      <c r="N37" s="7">
        <f t="shared" si="3"/>
        <v>-1</v>
      </c>
      <c r="O37" s="9"/>
      <c r="P37" s="6">
        <v>178.26</v>
      </c>
      <c r="Q37" s="3"/>
      <c r="R37" s="7">
        <f t="shared" si="4"/>
        <v>0</v>
      </c>
      <c r="S37" s="3"/>
      <c r="T37" s="6">
        <v>2255.29</v>
      </c>
      <c r="U37" s="3"/>
      <c r="V37" s="7">
        <f t="shared" si="5"/>
        <v>0</v>
      </c>
      <c r="W37" s="3"/>
      <c r="X37" s="6">
        <f t="shared" si="6"/>
        <v>-2077.0299999999997</v>
      </c>
      <c r="Y37" s="3"/>
      <c r="Z37" s="7">
        <f t="shared" si="7"/>
        <v>-0.92095916711376358</v>
      </c>
    </row>
    <row r="38" spans="1:26" s="68" customFormat="1" ht="15" customHeight="1" outlineLevel="1" collapsed="1" x14ac:dyDescent="0.3">
      <c r="A38" s="20"/>
      <c r="B38" s="11" t="str">
        <f>CONCATENATE("     ","Supplies                                          ")</f>
        <v xml:space="preserve">     Supplies                                          </v>
      </c>
      <c r="C38" s="11"/>
      <c r="D38" s="2">
        <f>SUM(OSRRefD22_5x_0)</f>
        <v>0</v>
      </c>
      <c r="E38" s="2"/>
      <c r="F38" s="5">
        <f t="shared" si="0"/>
        <v>0</v>
      </c>
      <c r="G38" s="2"/>
      <c r="H38" s="2">
        <f>SUM(OSRRefH22_5x_0)</f>
        <v>0</v>
      </c>
      <c r="I38" s="2"/>
      <c r="J38" s="5">
        <f t="shared" si="1"/>
        <v>0</v>
      </c>
      <c r="K38" s="2"/>
      <c r="L38" s="2">
        <f t="shared" si="2"/>
        <v>0</v>
      </c>
      <c r="M38" s="2"/>
      <c r="N38" s="5">
        <f t="shared" si="3"/>
        <v>0</v>
      </c>
      <c r="O38" s="11"/>
      <c r="P38" s="2">
        <f>SUM(OSRRefP22_5x_0)</f>
        <v>452.54999999999995</v>
      </c>
      <c r="Q38" s="2"/>
      <c r="R38" s="5">
        <f t="shared" si="4"/>
        <v>0</v>
      </c>
      <c r="S38" s="2"/>
      <c r="T38" s="2">
        <f>SUM(OSRRefT22_5x_0)</f>
        <v>5303.58</v>
      </c>
      <c r="U38" s="2"/>
      <c r="V38" s="5">
        <f t="shared" si="5"/>
        <v>0</v>
      </c>
      <c r="W38" s="2"/>
      <c r="X38" s="2">
        <f t="shared" si="6"/>
        <v>-4851.03</v>
      </c>
      <c r="Y38" s="2"/>
      <c r="Z38" s="5">
        <f t="shared" si="7"/>
        <v>-0.91467084497641216</v>
      </c>
    </row>
    <row r="39" spans="1:26" s="69" customFormat="1" ht="15" hidden="1" customHeight="1" outlineLevel="2" x14ac:dyDescent="0.3">
      <c r="A39" s="21"/>
      <c r="B39" s="9" t="str">
        <f>CONCATENATE("          ","6234"," - ","EXPENDABLE SUPPLIES &amp; EQUIPMEN")</f>
        <v xml:space="preserve">          6234 - EXPENDABLE SUPPLIES &amp; EQUIPMEN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242.35</v>
      </c>
      <c r="Q39" s="3"/>
      <c r="R39" s="7">
        <f t="shared" si="4"/>
        <v>0</v>
      </c>
      <c r="S39" s="3"/>
      <c r="T39" s="6"/>
      <c r="U39" s="3"/>
      <c r="V39" s="7">
        <f t="shared" si="5"/>
        <v>0</v>
      </c>
      <c r="W39" s="3"/>
      <c r="X39" s="6">
        <f t="shared" si="6"/>
        <v>242.35</v>
      </c>
      <c r="Y39" s="3"/>
      <c r="Z39" s="7">
        <f t="shared" si="7"/>
        <v>0</v>
      </c>
    </row>
    <row r="40" spans="1:26" s="69" customFormat="1" ht="15" hidden="1" customHeight="1" outlineLevel="2" x14ac:dyDescent="0.3">
      <c r="A40" s="21"/>
      <c r="B40" s="9" t="str">
        <f>CONCATENATE("          ","6235"," - ","COVID-19 EXPENSES")</f>
        <v xml:space="preserve">          6235 - COVID-19 EXPENSES</v>
      </c>
      <c r="C40" s="9"/>
      <c r="D40" s="6"/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66.12</v>
      </c>
      <c r="U40" s="3"/>
      <c r="V40" s="7">
        <f t="shared" si="5"/>
        <v>0</v>
      </c>
      <c r="W40" s="3"/>
      <c r="X40" s="6">
        <f t="shared" si="6"/>
        <v>-66.12</v>
      </c>
      <c r="Y40" s="3"/>
      <c r="Z40" s="7">
        <f t="shared" si="7"/>
        <v>-1</v>
      </c>
    </row>
    <row r="41" spans="1:26" s="69" customFormat="1" ht="15" hidden="1" customHeight="1" outlineLevel="2" x14ac:dyDescent="0.3">
      <c r="A41" s="21"/>
      <c r="B41" s="9" t="str">
        <f>CONCATENATE("          ","6241"," - ","OFFICE EXPENSE")</f>
        <v xml:space="preserve">          6241 - OFFICE EXPENSE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210.2</v>
      </c>
      <c r="Q41" s="3"/>
      <c r="R41" s="7">
        <f t="shared" si="4"/>
        <v>0</v>
      </c>
      <c r="S41" s="3"/>
      <c r="T41" s="6">
        <v>5237.46</v>
      </c>
      <c r="U41" s="3"/>
      <c r="V41" s="7">
        <f t="shared" si="5"/>
        <v>0</v>
      </c>
      <c r="W41" s="3"/>
      <c r="X41" s="6">
        <f t="shared" si="6"/>
        <v>-5027.26</v>
      </c>
      <c r="Y41" s="3"/>
      <c r="Z41" s="7">
        <f t="shared" si="7"/>
        <v>-0.95986604193635849</v>
      </c>
    </row>
    <row r="42" spans="1:26" s="68" customFormat="1" ht="15" customHeight="1" outlineLevel="1" collapsed="1" x14ac:dyDescent="0.3">
      <c r="A42" s="20"/>
      <c r="B42" s="11" t="str">
        <f>CONCATENATE("     ","Telephone/Data Lines                              ")</f>
        <v xml:space="preserve">     Telephone/Data Lines                              </v>
      </c>
      <c r="C42" s="11"/>
      <c r="D42" s="2">
        <f>SUM(OSRRefD22_6x_0)</f>
        <v>23</v>
      </c>
      <c r="E42" s="2"/>
      <c r="F42" s="5">
        <f t="shared" si="0"/>
        <v>0</v>
      </c>
      <c r="G42" s="2"/>
      <c r="H42" s="2">
        <f>SUM(OSRRefH22_6x_0)</f>
        <v>323</v>
      </c>
      <c r="I42" s="2"/>
      <c r="J42" s="5">
        <f t="shared" si="1"/>
        <v>0</v>
      </c>
      <c r="K42" s="2"/>
      <c r="L42" s="2">
        <f t="shared" si="2"/>
        <v>-300</v>
      </c>
      <c r="M42" s="2"/>
      <c r="N42" s="5">
        <f t="shared" si="3"/>
        <v>-0.92879256965944268</v>
      </c>
      <c r="O42" s="11"/>
      <c r="P42" s="2">
        <f>SUM(OSRRefP22_6x_0)</f>
        <v>1126</v>
      </c>
      <c r="Q42" s="2"/>
      <c r="R42" s="5">
        <f t="shared" si="4"/>
        <v>0</v>
      </c>
      <c r="S42" s="2"/>
      <c r="T42" s="2">
        <f>SUM(OSRRefT22_6x_0)</f>
        <v>930</v>
      </c>
      <c r="U42" s="2"/>
      <c r="V42" s="5">
        <f t="shared" si="5"/>
        <v>0</v>
      </c>
      <c r="W42" s="2"/>
      <c r="X42" s="2">
        <f t="shared" si="6"/>
        <v>196</v>
      </c>
      <c r="Y42" s="2"/>
      <c r="Z42" s="5">
        <f t="shared" si="7"/>
        <v>0.21075268817204301</v>
      </c>
    </row>
    <row r="43" spans="1:26" s="69" customFormat="1" ht="15" hidden="1" customHeight="1" outlineLevel="2" x14ac:dyDescent="0.3">
      <c r="A43" s="21"/>
      <c r="B43" s="9" t="str">
        <f>CONCATENATE("          ","6309"," - ","TELEPHONE")</f>
        <v xml:space="preserve">          6309 - TELEPHONE</v>
      </c>
      <c r="C43" s="9"/>
      <c r="D43" s="6">
        <v>23</v>
      </c>
      <c r="E43" s="3"/>
      <c r="F43" s="7">
        <f t="shared" si="0"/>
        <v>0</v>
      </c>
      <c r="G43" s="3"/>
      <c r="H43" s="6">
        <v>323</v>
      </c>
      <c r="I43" s="3"/>
      <c r="J43" s="7">
        <f t="shared" si="1"/>
        <v>0</v>
      </c>
      <c r="K43" s="3"/>
      <c r="L43" s="6">
        <f t="shared" si="2"/>
        <v>-300</v>
      </c>
      <c r="M43" s="3"/>
      <c r="N43" s="7">
        <f t="shared" si="3"/>
        <v>-0.92879256965944268</v>
      </c>
      <c r="O43" s="9"/>
      <c r="P43" s="6">
        <v>1126</v>
      </c>
      <c r="Q43" s="3"/>
      <c r="R43" s="7">
        <f t="shared" si="4"/>
        <v>0</v>
      </c>
      <c r="S43" s="3"/>
      <c r="T43" s="6">
        <v>930</v>
      </c>
      <c r="U43" s="3"/>
      <c r="V43" s="7">
        <f t="shared" si="5"/>
        <v>0</v>
      </c>
      <c r="W43" s="3"/>
      <c r="X43" s="6">
        <f t="shared" si="6"/>
        <v>196</v>
      </c>
      <c r="Y43" s="3"/>
      <c r="Z43" s="7">
        <f t="shared" si="7"/>
        <v>0.21075268817204301</v>
      </c>
    </row>
    <row r="44" spans="1:26" s="64" customFormat="1" ht="15" customHeight="1" x14ac:dyDescent="0.3">
      <c r="A44" s="37"/>
      <c r="B44" s="37"/>
      <c r="C44" s="37"/>
      <c r="D44" s="2"/>
      <c r="E44" s="2"/>
      <c r="F44" s="5"/>
      <c r="G44" s="2"/>
      <c r="H44" s="2"/>
      <c r="I44" s="2"/>
      <c r="J44" s="5"/>
      <c r="K44" s="2"/>
      <c r="L44" s="2"/>
      <c r="M44" s="2"/>
      <c r="N44" s="5"/>
      <c r="O44" s="37"/>
      <c r="P44" s="2"/>
      <c r="Q44" s="2"/>
      <c r="R44" s="5"/>
      <c r="S44" s="2"/>
      <c r="T44" s="2"/>
      <c r="U44" s="2"/>
      <c r="V44" s="5"/>
      <c r="W44" s="2"/>
      <c r="X44" s="2"/>
      <c r="Y44" s="2"/>
      <c r="Z44" s="5"/>
    </row>
    <row r="45" spans="1:26" s="62" customFormat="1" ht="15" customHeight="1" x14ac:dyDescent="0.3">
      <c r="A45" s="13"/>
      <c r="B45" s="27" t="s">
        <v>290</v>
      </c>
      <c r="C45" s="13"/>
      <c r="D45" s="8">
        <f>SUM(0)</f>
        <v>0</v>
      </c>
      <c r="E45" s="8"/>
      <c r="F45" s="14">
        <f>IF(D$12=0,0,D45/D$12)</f>
        <v>0</v>
      </c>
      <c r="G45" s="8"/>
      <c r="H45" s="8">
        <f>SUM(0)</f>
        <v>0</v>
      </c>
      <c r="I45" s="8"/>
      <c r="J45" s="14">
        <f>IF(H$12=0,0,H45/H$12)</f>
        <v>0</v>
      </c>
      <c r="K45" s="8"/>
      <c r="L45" s="8">
        <f>+D45-H45</f>
        <v>0</v>
      </c>
      <c r="M45" s="8"/>
      <c r="N45" s="14">
        <f>IF(H45=0,0,L45/H45)</f>
        <v>0</v>
      </c>
      <c r="O45" s="13"/>
      <c r="P45" s="8">
        <f>SUM(0)</f>
        <v>0</v>
      </c>
      <c r="Q45" s="8"/>
      <c r="R45" s="14">
        <f>IF(P$12=0,0,P45/P$12)</f>
        <v>0</v>
      </c>
      <c r="S45" s="8"/>
      <c r="T45" s="8">
        <f>SUM(0)</f>
        <v>0</v>
      </c>
      <c r="U45" s="8"/>
      <c r="V45" s="14">
        <f>IF(T$12=0,0,T45/T$12)</f>
        <v>0</v>
      </c>
      <c r="W45" s="8"/>
      <c r="X45" s="8">
        <f>+P45-T45</f>
        <v>0</v>
      </c>
      <c r="Y45" s="8"/>
      <c r="Z45" s="14">
        <f>IF(T45=0,0,X45/T45)</f>
        <v>0</v>
      </c>
    </row>
    <row r="46" spans="1:26" ht="15" customHeight="1" x14ac:dyDescent="0.3">
      <c r="A46" s="12"/>
      <c r="B46" s="13"/>
      <c r="C46" s="13"/>
      <c r="D46" s="4"/>
      <c r="E46" s="4"/>
      <c r="F46" s="10"/>
      <c r="G46" s="4"/>
      <c r="H46" s="4"/>
      <c r="I46" s="4"/>
      <c r="J46" s="10"/>
      <c r="K46" s="4"/>
      <c r="L46" s="4"/>
      <c r="M46" s="4"/>
      <c r="N46" s="10"/>
      <c r="O46" s="13"/>
      <c r="P46" s="4"/>
      <c r="Q46" s="4"/>
      <c r="R46" s="10"/>
      <c r="S46" s="4"/>
      <c r="T46" s="4"/>
      <c r="U46" s="4"/>
      <c r="V46" s="10"/>
      <c r="W46" s="4"/>
      <c r="X46" s="4"/>
      <c r="Y46" s="4"/>
      <c r="Z46" s="10"/>
    </row>
    <row r="47" spans="1:26" s="62" customFormat="1" ht="15" customHeight="1" x14ac:dyDescent="0.3">
      <c r="A47" s="13"/>
      <c r="B47" s="28" t="s">
        <v>291</v>
      </c>
      <c r="C47" s="28"/>
      <c r="D47" s="22">
        <f>+D16-D18+D45</f>
        <v>-5248.0700000000006</v>
      </c>
      <c r="E47" s="15"/>
      <c r="F47" s="24">
        <f>IF(D$12=0,0,D47/D$12)</f>
        <v>0</v>
      </c>
      <c r="G47" s="15"/>
      <c r="H47" s="22">
        <f>+H16-H18+H45</f>
        <v>-8329.1699999999983</v>
      </c>
      <c r="I47" s="15"/>
      <c r="J47" s="24">
        <f>IF(H$12=0,0,H47/H$12)</f>
        <v>0</v>
      </c>
      <c r="K47" s="17"/>
      <c r="L47" s="22">
        <f>+D47-H47</f>
        <v>3081.0999999999976</v>
      </c>
      <c r="M47" s="17"/>
      <c r="N47" s="24">
        <f>IF(H47=0,0,L47/H47)</f>
        <v>-0.36991681043849489</v>
      </c>
      <c r="O47" s="27"/>
      <c r="P47" s="22">
        <f>+P16-P18+P45</f>
        <v>-99775.79</v>
      </c>
      <c r="Q47" s="15"/>
      <c r="R47" s="24">
        <f>IF(P$12=0,0,P47/P$12)</f>
        <v>0</v>
      </c>
      <c r="S47" s="15"/>
      <c r="T47" s="22">
        <f>+T16-T18+T45</f>
        <v>-99842.01</v>
      </c>
      <c r="U47" s="15"/>
      <c r="V47" s="24">
        <f>IF(T$12=0,0,T47/T$12)</f>
        <v>0</v>
      </c>
      <c r="W47" s="17"/>
      <c r="X47" s="22">
        <f>+P47-T47</f>
        <v>66.220000000001164</v>
      </c>
      <c r="Y47" s="17"/>
      <c r="Z47" s="24">
        <f>IF(T47=0,0,X47/T47)</f>
        <v>-6.6324786530240292E-4</v>
      </c>
    </row>
    <row r="48" spans="1:26" ht="15" customHeight="1" x14ac:dyDescent="0.3">
      <c r="A48" s="12"/>
      <c r="B48" s="13"/>
      <c r="C48" s="12"/>
      <c r="D48" s="4"/>
      <c r="E48" s="4"/>
      <c r="F48" s="10"/>
      <c r="G48" s="4"/>
      <c r="H48" s="4"/>
      <c r="I48" s="4"/>
      <c r="J48" s="10"/>
      <c r="K48" s="4"/>
      <c r="L48" s="4"/>
      <c r="M48" s="4"/>
      <c r="N48" s="10"/>
      <c r="P48" s="4"/>
      <c r="Q48" s="4"/>
      <c r="R48" s="10"/>
      <c r="S48" s="4"/>
      <c r="T48" s="4"/>
      <c r="U48" s="4"/>
      <c r="V48" s="10"/>
      <c r="W48" s="4"/>
      <c r="X48" s="4"/>
      <c r="Y48" s="4"/>
      <c r="Z48" s="10"/>
    </row>
    <row r="49" spans="1:26" s="62" customFormat="1" ht="15" customHeight="1" x14ac:dyDescent="0.3">
      <c r="A49" s="48"/>
      <c r="B49" s="13" t="s">
        <v>292</v>
      </c>
      <c r="C49" s="13"/>
      <c r="D49" s="8"/>
      <c r="E49" s="8"/>
      <c r="F49" s="14">
        <f>IF(D$12=0,0,D49/D$12)</f>
        <v>0</v>
      </c>
      <c r="G49" s="8"/>
      <c r="H49" s="8"/>
      <c r="I49" s="8"/>
      <c r="J49" s="14">
        <f>IF(H$12=0,0,H49/H$12)</f>
        <v>0</v>
      </c>
      <c r="K49" s="8"/>
      <c r="L49" s="8">
        <f>+D49-H49</f>
        <v>0</v>
      </c>
      <c r="M49" s="8"/>
      <c r="N49" s="14">
        <f>IF(H49=0,0,L49/H49)</f>
        <v>0</v>
      </c>
      <c r="O49" s="13"/>
      <c r="P49" s="8"/>
      <c r="Q49" s="8"/>
      <c r="R49" s="14">
        <f>IF(P$12=0,0,P49/P$12)</f>
        <v>0</v>
      </c>
      <c r="S49" s="8"/>
      <c r="T49" s="8"/>
      <c r="U49" s="8"/>
      <c r="V49" s="14">
        <f>IF(T$12=0,0,T49/T$12)</f>
        <v>0</v>
      </c>
      <c r="W49" s="8"/>
      <c r="X49" s="8">
        <f>+P49-T49</f>
        <v>0</v>
      </c>
      <c r="Y49" s="8"/>
      <c r="Z49" s="14">
        <f>IF(T49=0,0,X49/T49)</f>
        <v>0</v>
      </c>
    </row>
    <row r="50" spans="1:26" ht="15" customHeight="1" x14ac:dyDescent="0.3">
      <c r="A50" s="12"/>
      <c r="B50" s="13"/>
      <c r="C50" s="13"/>
      <c r="D50" s="4"/>
      <c r="E50" s="4"/>
      <c r="F50" s="10"/>
      <c r="G50" s="4"/>
      <c r="H50" s="4"/>
      <c r="I50" s="4"/>
      <c r="J50" s="10"/>
      <c r="K50" s="4"/>
      <c r="L50" s="4"/>
      <c r="M50" s="4"/>
      <c r="N50" s="10"/>
      <c r="O50" s="13"/>
      <c r="P50" s="4"/>
      <c r="Q50" s="4"/>
      <c r="R50" s="10"/>
      <c r="S50" s="4"/>
      <c r="T50" s="4"/>
      <c r="U50" s="4"/>
      <c r="V50" s="10"/>
      <c r="W50" s="4"/>
      <c r="X50" s="4"/>
      <c r="Y50" s="4"/>
      <c r="Z50" s="10"/>
    </row>
    <row r="51" spans="1:26" s="62" customFormat="1" ht="15" customHeight="1" x14ac:dyDescent="0.3">
      <c r="A51" s="13"/>
      <c r="B51" s="28" t="s">
        <v>293</v>
      </c>
      <c r="C51" s="28"/>
      <c r="D51" s="29">
        <f>+D47-D49</f>
        <v>-5248.0700000000006</v>
      </c>
      <c r="E51" s="15"/>
      <c r="F51" s="31">
        <f>IF(D$12=0,0,D51/D$12)</f>
        <v>0</v>
      </c>
      <c r="G51" s="15"/>
      <c r="H51" s="29">
        <f>+H47-H49</f>
        <v>-8329.1699999999983</v>
      </c>
      <c r="I51" s="15"/>
      <c r="J51" s="31">
        <f>IF(H$12=0,0,H51/H$12)</f>
        <v>0</v>
      </c>
      <c r="K51" s="17"/>
      <c r="L51" s="29">
        <f>D51-H51</f>
        <v>3081.0999999999976</v>
      </c>
      <c r="M51" s="17"/>
      <c r="N51" s="31">
        <f>IF(H51=0,0,L51/H51)</f>
        <v>-0.36991681043849489</v>
      </c>
      <c r="O51" s="27"/>
      <c r="P51" s="29">
        <f>+P47-P49</f>
        <v>-99775.79</v>
      </c>
      <c r="Q51" s="15"/>
      <c r="R51" s="31">
        <f>IF(P$12=0,0,P51/P$12)</f>
        <v>0</v>
      </c>
      <c r="S51" s="15"/>
      <c r="T51" s="29">
        <f>+T47-T49</f>
        <v>-99842.01</v>
      </c>
      <c r="U51" s="15"/>
      <c r="V51" s="31">
        <f>IF(T$12=0,0,T51/T$12)</f>
        <v>0</v>
      </c>
      <c r="W51" s="17"/>
      <c r="X51" s="29">
        <f>P51-T51</f>
        <v>66.220000000001164</v>
      </c>
      <c r="Y51" s="17"/>
      <c r="Z51" s="31">
        <f>IF(T51=0,0,X51/T51)</f>
        <v>-6.6324786530240292E-4</v>
      </c>
    </row>
    <row r="52" spans="1:26" ht="15" customHeight="1" x14ac:dyDescent="0.3">
      <c r="A52" s="12"/>
      <c r="B52" s="12"/>
      <c r="C52" s="12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ht="15" customHeight="1" x14ac:dyDescent="0.3">
      <c r="A53" s="12"/>
      <c r="B53" s="12"/>
      <c r="C53" s="12"/>
      <c r="D53" s="4"/>
      <c r="E53" s="4"/>
      <c r="F53" s="10"/>
      <c r="G53" s="4"/>
      <c r="H53" s="4"/>
      <c r="I53" s="4"/>
      <c r="J53" s="10"/>
      <c r="K53" s="4"/>
      <c r="L53" s="4"/>
      <c r="M53" s="4"/>
      <c r="N53" s="10"/>
      <c r="P53" s="4"/>
      <c r="Q53" s="4"/>
      <c r="R53" s="10"/>
      <c r="S53" s="4"/>
      <c r="T53" s="4"/>
      <c r="U53" s="4"/>
      <c r="V53" s="10"/>
      <c r="W53" s="4"/>
      <c r="X53" s="4"/>
      <c r="Y53" s="4"/>
      <c r="Z53" s="10"/>
    </row>
    <row r="54" spans="1:26" s="62" customFormat="1" ht="15" customHeight="1" x14ac:dyDescent="0.3">
      <c r="A54" s="13"/>
      <c r="B54" s="28" t="s">
        <v>296</v>
      </c>
      <c r="C54" s="28"/>
      <c r="D54" s="30">
        <f>SUM(D51:D53)</f>
        <v>-5248.0700000000006</v>
      </c>
      <c r="E54" s="15"/>
      <c r="F54" s="35">
        <f>IF(D$12=0,0,D54/D$12)</f>
        <v>0</v>
      </c>
      <c r="G54" s="15"/>
      <c r="H54" s="30">
        <f>SUM(H51:H53)</f>
        <v>-8329.1699999999983</v>
      </c>
      <c r="I54" s="15"/>
      <c r="J54" s="35">
        <f>IF(H$12=0,0,H54/H$12)</f>
        <v>0</v>
      </c>
      <c r="K54" s="17"/>
      <c r="L54" s="30">
        <f>+D54-H54</f>
        <v>3081.0999999999976</v>
      </c>
      <c r="M54" s="17"/>
      <c r="N54" s="35">
        <f>IF(H54=0,0,L54/H54)</f>
        <v>-0.36991681043849489</v>
      </c>
      <c r="O54" s="27"/>
      <c r="P54" s="30">
        <f>SUM(P51:P53)</f>
        <v>-99775.79</v>
      </c>
      <c r="Q54" s="15"/>
      <c r="R54" s="35">
        <f>IF(P$12=0,0,P54/P$12)</f>
        <v>0</v>
      </c>
      <c r="S54" s="15"/>
      <c r="T54" s="30">
        <f>SUM(T51:T53)</f>
        <v>-99842.01</v>
      </c>
      <c r="U54" s="15"/>
      <c r="V54" s="35">
        <f>IF(T$12=0,0,T54/T$12)</f>
        <v>0</v>
      </c>
      <c r="W54" s="17"/>
      <c r="X54" s="30">
        <f>+P54-T54</f>
        <v>66.220000000001164</v>
      </c>
      <c r="Y54" s="17"/>
      <c r="Z54" s="35">
        <f>IF(T54=0,0,X54/T54)</f>
        <v>-6.6324786530240292E-4</v>
      </c>
    </row>
    <row r="55" spans="1:26" ht="15" customHeight="1" x14ac:dyDescent="0.3">
      <c r="A55" s="12"/>
      <c r="C55" s="12"/>
      <c r="D55" s="19"/>
      <c r="E55" s="19"/>
      <c r="G55" s="19"/>
      <c r="H55" s="19"/>
      <c r="I55" s="19"/>
      <c r="J55" s="41"/>
      <c r="K55" s="19"/>
      <c r="L55" s="19"/>
      <c r="M55" s="19"/>
      <c r="P55" s="19"/>
      <c r="Q55" s="19"/>
      <c r="R55" s="41"/>
      <c r="S55" s="19"/>
      <c r="T55" s="19"/>
      <c r="U55" s="19"/>
      <c r="V55" s="41"/>
      <c r="W55" s="19"/>
      <c r="X55" s="19"/>
    </row>
    <row r="56" spans="1:26" ht="15" customHeight="1" x14ac:dyDescent="0.3">
      <c r="A56" s="12"/>
      <c r="B56" s="54">
        <v>44767.815885219905</v>
      </c>
      <c r="D56" s="19"/>
      <c r="E56" s="19"/>
      <c r="G56" s="19"/>
      <c r="H56" s="19"/>
      <c r="I56" s="19"/>
      <c r="J56" s="41"/>
      <c r="K56" s="19"/>
      <c r="L56" s="19"/>
      <c r="M56" s="19"/>
      <c r="P56" s="19"/>
      <c r="Q56" s="19"/>
      <c r="R56" s="41"/>
      <c r="S56" s="19"/>
      <c r="T56" s="19"/>
      <c r="U56" s="19"/>
      <c r="V56" s="41"/>
      <c r="W56" s="19"/>
      <c r="X56" s="19"/>
    </row>
    <row r="57" spans="1:26" ht="15" customHeight="1" x14ac:dyDescent="0.3">
      <c r="A57" s="12"/>
      <c r="B57" s="53" t="s">
        <v>297</v>
      </c>
      <c r="D57" s="19"/>
      <c r="E57" s="19"/>
      <c r="G57" s="19"/>
      <c r="H57" s="19"/>
      <c r="I57" s="19"/>
      <c r="J57" s="41"/>
      <c r="K57" s="19"/>
      <c r="L57" s="19"/>
      <c r="M57" s="19"/>
      <c r="P57" s="19"/>
      <c r="Q57" s="19"/>
      <c r="R57" s="41"/>
      <c r="S57" s="19"/>
      <c r="T57" s="19"/>
      <c r="U57" s="19"/>
      <c r="V57" s="41"/>
      <c r="W57" s="19"/>
      <c r="X57" s="19"/>
    </row>
    <row r="58" spans="1:26" ht="15" customHeight="1" x14ac:dyDescent="0.3">
      <c r="A58" s="12"/>
      <c r="B58" s="51"/>
      <c r="D58" s="19"/>
      <c r="E58" s="19"/>
      <c r="G58" s="19"/>
      <c r="H58" s="19"/>
      <c r="I58" s="19"/>
      <c r="J58" s="41"/>
      <c r="K58" s="19"/>
      <c r="L58" s="19"/>
      <c r="M58" s="19"/>
      <c r="P58" s="19"/>
      <c r="Q58" s="19"/>
      <c r="R58" s="41"/>
      <c r="S58" s="19"/>
      <c r="T58" s="19"/>
      <c r="U58" s="19"/>
      <c r="V58" s="41"/>
      <c r="W58" s="19"/>
      <c r="X58" s="19"/>
    </row>
    <row r="59" spans="1:26" ht="15" customHeight="1" x14ac:dyDescent="0.3">
      <c r="D59" s="19"/>
      <c r="E59" s="19"/>
      <c r="G59" s="19"/>
      <c r="H59" s="19"/>
      <c r="I59" s="19"/>
      <c r="J59" s="41"/>
      <c r="K59" s="19"/>
      <c r="L59" s="19"/>
      <c r="M59" s="19"/>
      <c r="P59" s="19"/>
      <c r="Q59" s="19"/>
      <c r="R59" s="41"/>
      <c r="S59" s="19"/>
      <c r="T59" s="19"/>
      <c r="U59" s="19"/>
      <c r="V59" s="41"/>
      <c r="W59" s="19"/>
      <c r="X5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DDBB7-D72F-F08A-6681-AED1AC5B9D4A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","206"," - ","Communications")</f>
        <v>Department 206 - Communications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7774.49</v>
      </c>
      <c r="E18" s="23"/>
      <c r="F18" s="34">
        <f t="shared" ref="F18:F42" si="0">IF(D$12=0,0,D18/D$12)</f>
        <v>0</v>
      </c>
      <c r="G18" s="23"/>
      <c r="H18" s="23" cm="1">
        <f t="array" ref="H18">SUM(OSRRefH22x_0)</f>
        <v>5387.64</v>
      </c>
      <c r="I18" s="23"/>
      <c r="J18" s="34">
        <f t="shared" ref="J18:J42" si="1">IF(H$12=0,0,H18/H$12)</f>
        <v>0</v>
      </c>
      <c r="K18" s="8"/>
      <c r="L18" s="23">
        <f t="shared" ref="L18:L42" si="2">+D18-H18</f>
        <v>2386.8499999999995</v>
      </c>
      <c r="M18" s="8"/>
      <c r="N18" s="34">
        <f t="shared" ref="N18:N42" si="3">IF(H18=0,0,L18/H18)</f>
        <v>0.4430232903460512</v>
      </c>
      <c r="O18" s="13"/>
      <c r="P18" s="23" cm="1">
        <f t="array" ref="P18">SUM(OSRRefP22x_0)</f>
        <v>107399.45</v>
      </c>
      <c r="Q18" s="23"/>
      <c r="R18" s="34">
        <f t="shared" ref="R18:R42" si="4">IF(P$12=0,0,P18/P$12)</f>
        <v>0</v>
      </c>
      <c r="S18" s="23"/>
      <c r="T18" s="23" cm="1">
        <f t="array" ref="T18">SUM(OSRRefT22x_0)</f>
        <v>101285.65</v>
      </c>
      <c r="U18" s="23"/>
      <c r="V18" s="34">
        <f t="shared" ref="V18:V42" si="5">IF(T$12=0,0,T18/T$12)</f>
        <v>0</v>
      </c>
      <c r="W18" s="8"/>
      <c r="X18" s="23">
        <f t="shared" ref="X18:X42" si="6">+P18-T18</f>
        <v>6113.8000000000029</v>
      </c>
      <c r="Y18" s="8"/>
      <c r="Z18" s="34">
        <f t="shared" ref="Z18:Z42" si="7">IF(T18=0,0,X18/T18)</f>
        <v>6.0361956506178351E-2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1275.17</v>
      </c>
      <c r="E19" s="2"/>
      <c r="F19" s="5">
        <f t="shared" si="0"/>
        <v>0</v>
      </c>
      <c r="G19" s="2"/>
      <c r="H19" s="2">
        <f>SUM(OSRRefH22_0x_0)</f>
        <v>-217.9100000000002</v>
      </c>
      <c r="I19" s="2"/>
      <c r="J19" s="5">
        <f t="shared" si="1"/>
        <v>0</v>
      </c>
      <c r="K19" s="2"/>
      <c r="L19" s="2">
        <f t="shared" si="2"/>
        <v>1493.0800000000004</v>
      </c>
      <c r="M19" s="2"/>
      <c r="N19" s="5">
        <f t="shared" si="3"/>
        <v>-6.851819558533335</v>
      </c>
      <c r="O19" s="11"/>
      <c r="P19" s="2">
        <f>SUM(OSRRefP22_0x_0)</f>
        <v>20871.2</v>
      </c>
      <c r="Q19" s="2"/>
      <c r="R19" s="5">
        <f t="shared" si="4"/>
        <v>0</v>
      </c>
      <c r="S19" s="2"/>
      <c r="T19" s="2">
        <f>SUM(OSRRefT22_0x_0)</f>
        <v>19874.900000000001</v>
      </c>
      <c r="U19" s="2"/>
      <c r="V19" s="5">
        <f t="shared" si="5"/>
        <v>0</v>
      </c>
      <c r="W19" s="2"/>
      <c r="X19" s="2">
        <f t="shared" si="6"/>
        <v>996.29999999999927</v>
      </c>
      <c r="Y19" s="2"/>
      <c r="Z19" s="5">
        <f t="shared" si="7"/>
        <v>5.0128554105932567E-2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639.16999999999996</v>
      </c>
      <c r="E20" s="3"/>
      <c r="F20" s="7">
        <f t="shared" si="0"/>
        <v>0</v>
      </c>
      <c r="G20" s="3"/>
      <c r="H20" s="6">
        <v>409.97</v>
      </c>
      <c r="I20" s="3"/>
      <c r="J20" s="7">
        <f t="shared" si="1"/>
        <v>0</v>
      </c>
      <c r="K20" s="3"/>
      <c r="L20" s="6">
        <f t="shared" si="2"/>
        <v>229.19999999999993</v>
      </c>
      <c r="M20" s="3"/>
      <c r="N20" s="7">
        <f t="shared" si="3"/>
        <v>0.55906529746078959</v>
      </c>
      <c r="O20" s="9"/>
      <c r="P20" s="6">
        <v>6201.48</v>
      </c>
      <c r="Q20" s="3"/>
      <c r="R20" s="7">
        <f t="shared" si="4"/>
        <v>0</v>
      </c>
      <c r="S20" s="3"/>
      <c r="T20" s="6">
        <v>4854.24</v>
      </c>
      <c r="U20" s="3"/>
      <c r="V20" s="7">
        <f t="shared" si="5"/>
        <v>0</v>
      </c>
      <c r="W20" s="3"/>
      <c r="X20" s="6">
        <f t="shared" si="6"/>
        <v>1347.2399999999998</v>
      </c>
      <c r="Y20" s="3"/>
      <c r="Z20" s="7">
        <f t="shared" si="7"/>
        <v>0.27753881143083159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-161.21</v>
      </c>
      <c r="E21" s="3"/>
      <c r="F21" s="7">
        <f t="shared" si="0"/>
        <v>0</v>
      </c>
      <c r="G21" s="3"/>
      <c r="H21" s="6">
        <v>20.47</v>
      </c>
      <c r="I21" s="3"/>
      <c r="J21" s="7">
        <f t="shared" si="1"/>
        <v>0</v>
      </c>
      <c r="K21" s="3"/>
      <c r="L21" s="6">
        <f t="shared" si="2"/>
        <v>-181.68</v>
      </c>
      <c r="M21" s="3"/>
      <c r="N21" s="7">
        <f t="shared" si="3"/>
        <v>-8.8754274548119199</v>
      </c>
      <c r="O21" s="9"/>
      <c r="P21" s="6">
        <v>874.96</v>
      </c>
      <c r="Q21" s="3"/>
      <c r="R21" s="7">
        <f t="shared" si="4"/>
        <v>0</v>
      </c>
      <c r="S21" s="3"/>
      <c r="T21" s="6">
        <v>256.13</v>
      </c>
      <c r="U21" s="3"/>
      <c r="V21" s="7">
        <f t="shared" si="5"/>
        <v>0</v>
      </c>
      <c r="W21" s="3"/>
      <c r="X21" s="6">
        <f t="shared" si="6"/>
        <v>618.83000000000004</v>
      </c>
      <c r="Y21" s="3"/>
      <c r="Z21" s="7">
        <f t="shared" si="7"/>
        <v>2.4160777730058958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39.83</v>
      </c>
      <c r="E22" s="3"/>
      <c r="F22" s="7">
        <f t="shared" si="0"/>
        <v>0</v>
      </c>
      <c r="G22" s="3"/>
      <c r="H22" s="6">
        <v>704.62</v>
      </c>
      <c r="I22" s="3"/>
      <c r="J22" s="7">
        <f t="shared" si="1"/>
        <v>0</v>
      </c>
      <c r="K22" s="3"/>
      <c r="L22" s="6">
        <f t="shared" si="2"/>
        <v>-664.79</v>
      </c>
      <c r="M22" s="3"/>
      <c r="N22" s="7">
        <f t="shared" si="3"/>
        <v>-0.94347307768726396</v>
      </c>
      <c r="O22" s="9"/>
      <c r="P22" s="6">
        <v>4455.45</v>
      </c>
      <c r="Q22" s="3"/>
      <c r="R22" s="7">
        <f t="shared" si="4"/>
        <v>0</v>
      </c>
      <c r="S22" s="3"/>
      <c r="T22" s="6">
        <v>8432.94</v>
      </c>
      <c r="U22" s="3"/>
      <c r="V22" s="7">
        <f t="shared" si="5"/>
        <v>0</v>
      </c>
      <c r="W22" s="3"/>
      <c r="X22" s="6">
        <f t="shared" si="6"/>
        <v>-3977.4900000000007</v>
      </c>
      <c r="Y22" s="3"/>
      <c r="Z22" s="7">
        <f t="shared" si="7"/>
        <v>-0.47166112885897449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16.12</v>
      </c>
      <c r="I23" s="3"/>
      <c r="J23" s="7">
        <f t="shared" si="1"/>
        <v>0</v>
      </c>
      <c r="K23" s="3"/>
      <c r="L23" s="6">
        <f t="shared" si="2"/>
        <v>-16.12</v>
      </c>
      <c r="M23" s="3"/>
      <c r="N23" s="7">
        <f t="shared" si="3"/>
        <v>-1</v>
      </c>
      <c r="O23" s="9"/>
      <c r="P23" s="6">
        <v>208.85</v>
      </c>
      <c r="Q23" s="3"/>
      <c r="R23" s="7">
        <f t="shared" si="4"/>
        <v>0</v>
      </c>
      <c r="S23" s="3"/>
      <c r="T23" s="6">
        <v>201.8</v>
      </c>
      <c r="U23" s="3"/>
      <c r="V23" s="7">
        <f t="shared" si="5"/>
        <v>0</v>
      </c>
      <c r="W23" s="3"/>
      <c r="X23" s="6">
        <f t="shared" si="6"/>
        <v>7.0499999999999829</v>
      </c>
      <c r="Y23" s="3"/>
      <c r="Z23" s="7">
        <f t="shared" si="7"/>
        <v>3.4935579781962253E-2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/>
      <c r="E24" s="3"/>
      <c r="F24" s="7">
        <f t="shared" si="0"/>
        <v>0</v>
      </c>
      <c r="G24" s="3"/>
      <c r="H24" s="6">
        <v>-1916.48</v>
      </c>
      <c r="I24" s="3"/>
      <c r="J24" s="7">
        <f t="shared" si="1"/>
        <v>0</v>
      </c>
      <c r="K24" s="3"/>
      <c r="L24" s="6">
        <f t="shared" si="2"/>
        <v>1916.48</v>
      </c>
      <c r="M24" s="3"/>
      <c r="N24" s="7">
        <f t="shared" si="3"/>
        <v>-1</v>
      </c>
      <c r="O24" s="9"/>
      <c r="P24" s="6"/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0</v>
      </c>
      <c r="Y24" s="3"/>
      <c r="Z24" s="7">
        <f t="shared" si="7"/>
        <v>0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287.66000000000003</v>
      </c>
      <c r="E25" s="3"/>
      <c r="F25" s="7">
        <f t="shared" si="0"/>
        <v>0</v>
      </c>
      <c r="G25" s="3"/>
      <c r="H25" s="6">
        <v>276.60000000000002</v>
      </c>
      <c r="I25" s="3"/>
      <c r="J25" s="7">
        <f t="shared" si="1"/>
        <v>0</v>
      </c>
      <c r="K25" s="3"/>
      <c r="L25" s="6">
        <f t="shared" si="2"/>
        <v>11.060000000000002</v>
      </c>
      <c r="M25" s="3"/>
      <c r="N25" s="7">
        <f t="shared" si="3"/>
        <v>3.9985538684020251E-2</v>
      </c>
      <c r="O25" s="9"/>
      <c r="P25" s="6">
        <v>3746.61</v>
      </c>
      <c r="Q25" s="3"/>
      <c r="R25" s="7">
        <f t="shared" si="4"/>
        <v>0</v>
      </c>
      <c r="S25" s="3"/>
      <c r="T25" s="6">
        <v>3091.5</v>
      </c>
      <c r="U25" s="3"/>
      <c r="V25" s="7">
        <f t="shared" si="5"/>
        <v>0</v>
      </c>
      <c r="W25" s="3"/>
      <c r="X25" s="6">
        <f t="shared" si="6"/>
        <v>655.11000000000013</v>
      </c>
      <c r="Y25" s="3"/>
      <c r="Z25" s="7">
        <f t="shared" si="7"/>
        <v>0.2119068413391558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230.26</v>
      </c>
      <c r="E26" s="3"/>
      <c r="F26" s="7">
        <f t="shared" si="0"/>
        <v>0</v>
      </c>
      <c r="G26" s="3"/>
      <c r="H26" s="6">
        <v>221.4</v>
      </c>
      <c r="I26" s="3"/>
      <c r="J26" s="7">
        <f t="shared" si="1"/>
        <v>0</v>
      </c>
      <c r="K26" s="3"/>
      <c r="L26" s="6">
        <f t="shared" si="2"/>
        <v>8.8599999999999852</v>
      </c>
      <c r="M26" s="3"/>
      <c r="N26" s="7">
        <f t="shared" si="3"/>
        <v>4.0018066847335075E-2</v>
      </c>
      <c r="O26" s="9"/>
      <c r="P26" s="6">
        <v>3262.92</v>
      </c>
      <c r="Q26" s="3"/>
      <c r="R26" s="7">
        <f t="shared" si="4"/>
        <v>0</v>
      </c>
      <c r="S26" s="3"/>
      <c r="T26" s="6">
        <v>2988.9</v>
      </c>
      <c r="U26" s="3"/>
      <c r="V26" s="7">
        <f t="shared" si="5"/>
        <v>0</v>
      </c>
      <c r="W26" s="3"/>
      <c r="X26" s="6">
        <f t="shared" si="6"/>
        <v>274.02</v>
      </c>
      <c r="Y26" s="3"/>
      <c r="Z26" s="7">
        <f t="shared" si="7"/>
        <v>9.1679213088427178E-2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239.46</v>
      </c>
      <c r="E27" s="3"/>
      <c r="F27" s="7">
        <f t="shared" si="0"/>
        <v>0</v>
      </c>
      <c r="G27" s="3"/>
      <c r="H27" s="6">
        <v>49.39</v>
      </c>
      <c r="I27" s="3"/>
      <c r="J27" s="7">
        <f t="shared" si="1"/>
        <v>0</v>
      </c>
      <c r="K27" s="3"/>
      <c r="L27" s="6">
        <f t="shared" si="2"/>
        <v>190.07</v>
      </c>
      <c r="M27" s="3"/>
      <c r="N27" s="7">
        <f t="shared" si="3"/>
        <v>3.8483498683944117</v>
      </c>
      <c r="O27" s="9"/>
      <c r="P27" s="6">
        <v>2120.9299999999998</v>
      </c>
      <c r="Q27" s="3"/>
      <c r="R27" s="7">
        <f t="shared" si="4"/>
        <v>0</v>
      </c>
      <c r="S27" s="3"/>
      <c r="T27" s="6">
        <v>49.39</v>
      </c>
      <c r="U27" s="3"/>
      <c r="V27" s="7">
        <f t="shared" si="5"/>
        <v>0</v>
      </c>
      <c r="W27" s="3"/>
      <c r="X27" s="6">
        <f t="shared" si="6"/>
        <v>2071.54</v>
      </c>
      <c r="Y27" s="3"/>
      <c r="Z27" s="7">
        <f t="shared" si="7"/>
        <v>41.942498481473983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6108.8</v>
      </c>
      <c r="E28" s="2"/>
      <c r="F28" s="5">
        <f t="shared" si="0"/>
        <v>0</v>
      </c>
      <c r="G28" s="2"/>
      <c r="H28" s="2">
        <f>SUM(OSRRefH22_1x_0)</f>
        <v>5396.34</v>
      </c>
      <c r="I28" s="2"/>
      <c r="J28" s="5">
        <f t="shared" si="1"/>
        <v>0</v>
      </c>
      <c r="K28" s="2"/>
      <c r="L28" s="2">
        <f t="shared" si="2"/>
        <v>712.46</v>
      </c>
      <c r="M28" s="2"/>
      <c r="N28" s="5">
        <f t="shared" si="3"/>
        <v>0.13202652167950871</v>
      </c>
      <c r="O28" s="11"/>
      <c r="P28" s="2">
        <f>SUM(OSRRefP22_1x_0)</f>
        <v>83570.39</v>
      </c>
      <c r="Q28" s="2"/>
      <c r="R28" s="5">
        <f t="shared" si="4"/>
        <v>0</v>
      </c>
      <c r="S28" s="2"/>
      <c r="T28" s="2">
        <f>SUM(OSRRefT22_1x_0)</f>
        <v>77210.350000000006</v>
      </c>
      <c r="U28" s="2"/>
      <c r="V28" s="5">
        <f t="shared" si="5"/>
        <v>0</v>
      </c>
      <c r="W28" s="2"/>
      <c r="X28" s="2">
        <f t="shared" si="6"/>
        <v>6360.0399999999936</v>
      </c>
      <c r="Y28" s="2"/>
      <c r="Z28" s="5">
        <f t="shared" si="7"/>
        <v>8.2372894307563602E-2</v>
      </c>
    </row>
    <row r="29" spans="1:26" s="69" customFormat="1" ht="15" hidden="1" customHeight="1" outlineLevel="2" x14ac:dyDescent="0.3">
      <c r="A29" s="21"/>
      <c r="B29" s="9" t="str">
        <f>CONCATENATE("          ","6004"," - ","STAFF HOURLY")</f>
        <v xml:space="preserve">          6004 - STAFF HOURLY</v>
      </c>
      <c r="C29" s="9"/>
      <c r="D29" s="6">
        <v>2825.9</v>
      </c>
      <c r="E29" s="3"/>
      <c r="F29" s="7">
        <f t="shared" si="0"/>
        <v>0</v>
      </c>
      <c r="G29" s="3"/>
      <c r="H29" s="6">
        <v>3711.15</v>
      </c>
      <c r="I29" s="3"/>
      <c r="J29" s="7">
        <f t="shared" si="1"/>
        <v>0</v>
      </c>
      <c r="K29" s="3"/>
      <c r="L29" s="6">
        <f t="shared" si="2"/>
        <v>-885.25</v>
      </c>
      <c r="M29" s="3"/>
      <c r="N29" s="7">
        <f t="shared" si="3"/>
        <v>-0.23853791951281947</v>
      </c>
      <c r="O29" s="9"/>
      <c r="P29" s="6">
        <v>58397.86</v>
      </c>
      <c r="Q29" s="3"/>
      <c r="R29" s="7">
        <f t="shared" si="4"/>
        <v>0</v>
      </c>
      <c r="S29" s="3"/>
      <c r="T29" s="6">
        <v>60761.25</v>
      </c>
      <c r="U29" s="3"/>
      <c r="V29" s="7">
        <f t="shared" si="5"/>
        <v>0</v>
      </c>
      <c r="W29" s="3"/>
      <c r="X29" s="6">
        <f t="shared" si="6"/>
        <v>-2363.3899999999994</v>
      </c>
      <c r="Y29" s="3"/>
      <c r="Z29" s="7">
        <f t="shared" si="7"/>
        <v>-3.8896336069452149E-2</v>
      </c>
    </row>
    <row r="30" spans="1:26" s="69" customFormat="1" ht="15" hidden="1" customHeight="1" outlineLevel="2" x14ac:dyDescent="0.3">
      <c r="A30" s="21"/>
      <c r="B30" s="9" t="str">
        <f>CONCATENATE("          ","6005"," - ","TEMPORARY WAGES-HOURLY")</f>
        <v xml:space="preserve">          6005 - TEMPORARY WAGES-HOURLY</v>
      </c>
      <c r="C30" s="9"/>
      <c r="D30" s="6">
        <v>3282.9</v>
      </c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3282.9</v>
      </c>
      <c r="M30" s="3"/>
      <c r="N30" s="7">
        <f t="shared" si="3"/>
        <v>0</v>
      </c>
      <c r="O30" s="9"/>
      <c r="P30" s="6">
        <v>13697.33</v>
      </c>
      <c r="Q30" s="3"/>
      <c r="R30" s="7">
        <f t="shared" si="4"/>
        <v>0</v>
      </c>
      <c r="S30" s="3"/>
      <c r="T30" s="6"/>
      <c r="U30" s="3"/>
      <c r="V30" s="7">
        <f t="shared" si="5"/>
        <v>0</v>
      </c>
      <c r="W30" s="3"/>
      <c r="X30" s="6">
        <f t="shared" si="6"/>
        <v>13697.33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1"/>
      <c r="B31" s="9" t="str">
        <f>CONCATENATE("          ","6007"," - ","STUDENT HOURLY")</f>
        <v xml:space="preserve">          6007 - STUDENT HOURLY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0</v>
      </c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0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1"/>
      <c r="B32" s="9" t="str">
        <f>CONCATENATE("          ","6008"," - ","STUDENT HOURLY-FICA EXEMPT")</f>
        <v xml:space="preserve">          6008 - STUDENT HOURLY-FICA EXEMPT</v>
      </c>
      <c r="C32" s="9"/>
      <c r="D32" s="6"/>
      <c r="E32" s="3"/>
      <c r="F32" s="7">
        <f t="shared" si="0"/>
        <v>0</v>
      </c>
      <c r="G32" s="3"/>
      <c r="H32" s="6">
        <v>1685.19</v>
      </c>
      <c r="I32" s="3"/>
      <c r="J32" s="7">
        <f t="shared" si="1"/>
        <v>0</v>
      </c>
      <c r="K32" s="3"/>
      <c r="L32" s="6">
        <f t="shared" si="2"/>
        <v>-1685.19</v>
      </c>
      <c r="M32" s="3"/>
      <c r="N32" s="7">
        <f t="shared" si="3"/>
        <v>-1</v>
      </c>
      <c r="O32" s="9"/>
      <c r="P32" s="6">
        <v>11475.2</v>
      </c>
      <c r="Q32" s="3"/>
      <c r="R32" s="7">
        <f t="shared" si="4"/>
        <v>0</v>
      </c>
      <c r="S32" s="3"/>
      <c r="T32" s="6">
        <v>16449.099999999999</v>
      </c>
      <c r="U32" s="3"/>
      <c r="V32" s="7">
        <f t="shared" si="5"/>
        <v>0</v>
      </c>
      <c r="W32" s="3"/>
      <c r="X32" s="6">
        <f t="shared" si="6"/>
        <v>-4973.8999999999978</v>
      </c>
      <c r="Y32" s="3"/>
      <c r="Z32" s="7">
        <f t="shared" si="7"/>
        <v>-0.30238128529828368</v>
      </c>
    </row>
    <row r="33" spans="1:26" s="68" customFormat="1" ht="15" customHeight="1" outlineLevel="1" collapsed="1" x14ac:dyDescent="0.3">
      <c r="A33" s="20"/>
      <c r="B33" s="11" t="str">
        <f>CONCATENATE("     ","Advertising/Promo                                 ")</f>
        <v xml:space="preserve">     Advertising/Promo                                 </v>
      </c>
      <c r="C33" s="11"/>
      <c r="D33" s="2">
        <f>SUM(OSRRefD22_2x_0)</f>
        <v>173.21</v>
      </c>
      <c r="E33" s="2"/>
      <c r="F33" s="5">
        <f t="shared" si="0"/>
        <v>0</v>
      </c>
      <c r="G33" s="2"/>
      <c r="H33" s="2">
        <f>SUM(OSRRefH22_2x_0)</f>
        <v>173.21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SUM(OSRRefP22_2x_0)</f>
        <v>2138.75</v>
      </c>
      <c r="Q33" s="2"/>
      <c r="R33" s="5">
        <f t="shared" si="4"/>
        <v>0</v>
      </c>
      <c r="S33" s="2"/>
      <c r="T33" s="2">
        <f>SUM(OSRRefT22_2x_0)</f>
        <v>1905.31</v>
      </c>
      <c r="U33" s="2"/>
      <c r="V33" s="5">
        <f t="shared" si="5"/>
        <v>0</v>
      </c>
      <c r="W33" s="2"/>
      <c r="X33" s="2">
        <f t="shared" si="6"/>
        <v>233.44000000000005</v>
      </c>
      <c r="Y33" s="2"/>
      <c r="Z33" s="5">
        <f t="shared" si="7"/>
        <v>0.12252074465572535</v>
      </c>
    </row>
    <row r="34" spans="1:26" s="69" customFormat="1" ht="15" hidden="1" customHeight="1" outlineLevel="2" x14ac:dyDescent="0.3">
      <c r="A34" s="21"/>
      <c r="B34" s="9" t="str">
        <f>CONCATENATE("          ","6362"," - ","ADVERTISING EXPENSE")</f>
        <v xml:space="preserve">          6362 - ADVERTISING EXPENSE</v>
      </c>
      <c r="C34" s="9"/>
      <c r="D34" s="6">
        <v>173.21</v>
      </c>
      <c r="E34" s="3"/>
      <c r="F34" s="7">
        <f t="shared" si="0"/>
        <v>0</v>
      </c>
      <c r="G34" s="3"/>
      <c r="H34" s="6">
        <v>173.21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>
        <v>2138.75</v>
      </c>
      <c r="Q34" s="3"/>
      <c r="R34" s="7">
        <f t="shared" si="4"/>
        <v>0</v>
      </c>
      <c r="S34" s="3"/>
      <c r="T34" s="6">
        <v>1905.31</v>
      </c>
      <c r="U34" s="3"/>
      <c r="V34" s="7">
        <f t="shared" si="5"/>
        <v>0</v>
      </c>
      <c r="W34" s="3"/>
      <c r="X34" s="6">
        <f t="shared" si="6"/>
        <v>233.44000000000005</v>
      </c>
      <c r="Y34" s="3"/>
      <c r="Z34" s="7">
        <f t="shared" si="7"/>
        <v>0.12252074465572535</v>
      </c>
    </row>
    <row r="35" spans="1:26" s="68" customFormat="1" ht="15" customHeight="1" outlineLevel="1" collapsed="1" x14ac:dyDescent="0.3">
      <c r="A35" s="20"/>
      <c r="B35" s="11" t="str">
        <f>CONCATENATE("     ","Depreciation                                      ")</f>
        <v xml:space="preserve">     Depreciation                                      </v>
      </c>
      <c r="C35" s="11"/>
      <c r="D35" s="2">
        <f>SUM(OSRRefD22_3x_0)</f>
        <v>0</v>
      </c>
      <c r="E35" s="2"/>
      <c r="F35" s="5">
        <f t="shared" si="0"/>
        <v>0</v>
      </c>
      <c r="G35" s="2"/>
      <c r="H35" s="2">
        <f>SUM(OSRRefH22_3x_0)</f>
        <v>0</v>
      </c>
      <c r="I35" s="2"/>
      <c r="J35" s="5">
        <f t="shared" si="1"/>
        <v>0</v>
      </c>
      <c r="K35" s="2"/>
      <c r="L35" s="2">
        <f t="shared" si="2"/>
        <v>0</v>
      </c>
      <c r="M35" s="2"/>
      <c r="N35" s="5">
        <f t="shared" si="3"/>
        <v>0</v>
      </c>
      <c r="O35" s="11"/>
      <c r="P35" s="2">
        <f>SUM(OSRRefP22_3x_0)</f>
        <v>0</v>
      </c>
      <c r="Q35" s="2"/>
      <c r="R35" s="5">
        <f t="shared" si="4"/>
        <v>0</v>
      </c>
      <c r="S35" s="2"/>
      <c r="T35" s="2">
        <f>SUM(OSRRefT22_3x_0)</f>
        <v>1898.94</v>
      </c>
      <c r="U35" s="2"/>
      <c r="V35" s="5">
        <f t="shared" si="5"/>
        <v>0</v>
      </c>
      <c r="W35" s="2"/>
      <c r="X35" s="2">
        <f t="shared" si="6"/>
        <v>-1898.94</v>
      </c>
      <c r="Y35" s="2"/>
      <c r="Z35" s="5">
        <f t="shared" si="7"/>
        <v>-1</v>
      </c>
    </row>
    <row r="36" spans="1:26" s="69" customFormat="1" ht="15" hidden="1" customHeight="1" outlineLevel="2" x14ac:dyDescent="0.3">
      <c r="A36" s="21"/>
      <c r="B36" s="9" t="str">
        <f>CONCATENATE("          ","6322"," - ","EQUIPMENT DEPRECIATION EXPENSE")</f>
        <v xml:space="preserve">          6322 - EQUIPMENT DEPRECIATION EXPENSE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1898.94</v>
      </c>
      <c r="U36" s="3"/>
      <c r="V36" s="7">
        <f t="shared" si="5"/>
        <v>0</v>
      </c>
      <c r="W36" s="3"/>
      <c r="X36" s="6">
        <f t="shared" si="6"/>
        <v>-1898.94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0"/>
      <c r="B37" s="11" t="str">
        <f>CONCATENATE("     ","Repair and Maintenance                            ")</f>
        <v xml:space="preserve">     Repair and Maintenance                            </v>
      </c>
      <c r="C37" s="11"/>
      <c r="D37" s="2">
        <f>SUM(OSRRefD22_4x_0)</f>
        <v>0</v>
      </c>
      <c r="E37" s="2"/>
      <c r="F37" s="5">
        <f t="shared" si="0"/>
        <v>0</v>
      </c>
      <c r="G37" s="2"/>
      <c r="H37" s="2">
        <f>SUM(OSRRefH22_4x_0)</f>
        <v>0</v>
      </c>
      <c r="I37" s="2"/>
      <c r="J37" s="5">
        <f t="shared" si="1"/>
        <v>0</v>
      </c>
      <c r="K37" s="2"/>
      <c r="L37" s="2">
        <f t="shared" si="2"/>
        <v>0</v>
      </c>
      <c r="M37" s="2"/>
      <c r="N37" s="5">
        <f t="shared" si="3"/>
        <v>0</v>
      </c>
      <c r="O37" s="11"/>
      <c r="P37" s="2">
        <f>SUM(OSRRefP22_4x_0)</f>
        <v>63.36</v>
      </c>
      <c r="Q37" s="2"/>
      <c r="R37" s="5">
        <f t="shared" si="4"/>
        <v>0</v>
      </c>
      <c r="S37" s="2"/>
      <c r="T37" s="2">
        <f>SUM(OSRRefT22_4x_0)</f>
        <v>0</v>
      </c>
      <c r="U37" s="2"/>
      <c r="V37" s="5">
        <f t="shared" si="5"/>
        <v>0</v>
      </c>
      <c r="W37" s="2"/>
      <c r="X37" s="2">
        <f t="shared" si="6"/>
        <v>63.36</v>
      </c>
      <c r="Y37" s="2"/>
      <c r="Z37" s="5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","6375"," - ","OUTSIDE REPAIRS &amp; MAINTENANCE")</f>
        <v xml:space="preserve">          6375 - OUTSIDE REPAIRS &amp; MAINTENANCE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>
        <v>63.36</v>
      </c>
      <c r="Q38" s="3"/>
      <c r="R38" s="7">
        <f t="shared" si="4"/>
        <v>0</v>
      </c>
      <c r="S38" s="3"/>
      <c r="T38" s="6"/>
      <c r="U38" s="3"/>
      <c r="V38" s="7">
        <f t="shared" si="5"/>
        <v>0</v>
      </c>
      <c r="W38" s="3"/>
      <c r="X38" s="6">
        <f t="shared" si="6"/>
        <v>63.36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0"/>
      <c r="B39" s="11" t="str">
        <f>CONCATENATE("     ","Supplies                                          ")</f>
        <v xml:space="preserve">     Supplies                                          </v>
      </c>
      <c r="C39" s="11"/>
      <c r="D39" s="2">
        <f>SUM(OSRRefD22_5x_0)</f>
        <v>181.31</v>
      </c>
      <c r="E39" s="2"/>
      <c r="F39" s="5">
        <f t="shared" si="0"/>
        <v>0</v>
      </c>
      <c r="G39" s="2"/>
      <c r="H39" s="2">
        <f>SUM(OSRRefH22_5x_0)</f>
        <v>0</v>
      </c>
      <c r="I39" s="2"/>
      <c r="J39" s="5">
        <f t="shared" si="1"/>
        <v>0</v>
      </c>
      <c r="K39" s="2"/>
      <c r="L39" s="2">
        <f t="shared" si="2"/>
        <v>181.31</v>
      </c>
      <c r="M39" s="2"/>
      <c r="N39" s="5">
        <f t="shared" si="3"/>
        <v>0</v>
      </c>
      <c r="O39" s="11"/>
      <c r="P39" s="2">
        <f>SUM(OSRRefP22_5x_0)</f>
        <v>251.35</v>
      </c>
      <c r="Q39" s="2"/>
      <c r="R39" s="5">
        <f t="shared" si="4"/>
        <v>0</v>
      </c>
      <c r="S39" s="2"/>
      <c r="T39" s="2">
        <f>SUM(OSRRefT22_5x_0)</f>
        <v>0</v>
      </c>
      <c r="U39" s="2"/>
      <c r="V39" s="5">
        <f t="shared" si="5"/>
        <v>0</v>
      </c>
      <c r="W39" s="2"/>
      <c r="X39" s="2">
        <f t="shared" si="6"/>
        <v>251.35</v>
      </c>
      <c r="Y39" s="2"/>
      <c r="Z39" s="5">
        <f t="shared" si="7"/>
        <v>0</v>
      </c>
    </row>
    <row r="40" spans="1:26" s="69" customFormat="1" ht="15" hidden="1" customHeight="1" outlineLevel="2" x14ac:dyDescent="0.3">
      <c r="A40" s="21"/>
      <c r="B40" s="9" t="str">
        <f>CONCATENATE("          ","6241"," - ","OFFICE EXPENSE")</f>
        <v xml:space="preserve">          6241 - OFFICE EXPENSE</v>
      </c>
      <c r="C40" s="9"/>
      <c r="D40" s="6">
        <v>181.31</v>
      </c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181.31</v>
      </c>
      <c r="M40" s="3"/>
      <c r="N40" s="7">
        <f t="shared" si="3"/>
        <v>0</v>
      </c>
      <c r="O40" s="9"/>
      <c r="P40" s="6">
        <v>251.35</v>
      </c>
      <c r="Q40" s="3"/>
      <c r="R40" s="7">
        <f t="shared" si="4"/>
        <v>0</v>
      </c>
      <c r="S40" s="3"/>
      <c r="T40" s="6"/>
      <c r="U40" s="3"/>
      <c r="V40" s="7">
        <f t="shared" si="5"/>
        <v>0</v>
      </c>
      <c r="W40" s="3"/>
      <c r="X40" s="6">
        <f t="shared" si="6"/>
        <v>251.35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0"/>
      <c r="B41" s="11" t="str">
        <f>CONCATENATE("     ","Telephone/Data Lines                              ")</f>
        <v xml:space="preserve">     Telephone/Data Lines                              </v>
      </c>
      <c r="C41" s="11"/>
      <c r="D41" s="2">
        <f>SUM(OSRRefD22_6x_0)</f>
        <v>36</v>
      </c>
      <c r="E41" s="2"/>
      <c r="F41" s="5">
        <f t="shared" si="0"/>
        <v>0</v>
      </c>
      <c r="G41" s="2"/>
      <c r="H41" s="2">
        <f>SUM(OSRRefH22_6x_0)</f>
        <v>36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SUM(OSRRefP22_6x_0)</f>
        <v>504.4</v>
      </c>
      <c r="Q41" s="2"/>
      <c r="R41" s="5">
        <f t="shared" si="4"/>
        <v>0</v>
      </c>
      <c r="S41" s="2"/>
      <c r="T41" s="2">
        <f>SUM(OSRRefT22_6x_0)</f>
        <v>396.15</v>
      </c>
      <c r="U41" s="2"/>
      <c r="V41" s="5">
        <f t="shared" si="5"/>
        <v>0</v>
      </c>
      <c r="W41" s="2"/>
      <c r="X41" s="2">
        <f t="shared" si="6"/>
        <v>108.25</v>
      </c>
      <c r="Y41" s="2"/>
      <c r="Z41" s="5">
        <f t="shared" si="7"/>
        <v>0.2732550801464092</v>
      </c>
    </row>
    <row r="42" spans="1:26" s="69" customFormat="1" ht="15" hidden="1" customHeight="1" outlineLevel="2" x14ac:dyDescent="0.3">
      <c r="A42" s="21"/>
      <c r="B42" s="9" t="str">
        <f>CONCATENATE("          ","6309"," - ","TELEPHONE")</f>
        <v xml:space="preserve">          6309 - TELEPHONE</v>
      </c>
      <c r="C42" s="9"/>
      <c r="D42" s="6">
        <v>36</v>
      </c>
      <c r="E42" s="3"/>
      <c r="F42" s="7">
        <f t="shared" si="0"/>
        <v>0</v>
      </c>
      <c r="G42" s="3"/>
      <c r="H42" s="6">
        <v>36</v>
      </c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504.4</v>
      </c>
      <c r="Q42" s="3"/>
      <c r="R42" s="7">
        <f t="shared" si="4"/>
        <v>0</v>
      </c>
      <c r="S42" s="3"/>
      <c r="T42" s="6">
        <v>396.15</v>
      </c>
      <c r="U42" s="3"/>
      <c r="V42" s="7">
        <f t="shared" si="5"/>
        <v>0</v>
      </c>
      <c r="W42" s="3"/>
      <c r="X42" s="6">
        <f t="shared" si="6"/>
        <v>108.25</v>
      </c>
      <c r="Y42" s="3"/>
      <c r="Z42" s="7">
        <f t="shared" si="7"/>
        <v>0.2732550801464092</v>
      </c>
    </row>
    <row r="43" spans="1:26" s="64" customFormat="1" ht="15" customHeight="1" x14ac:dyDescent="0.3">
      <c r="A43" s="37"/>
      <c r="B43" s="37"/>
      <c r="C43" s="37"/>
      <c r="D43" s="2"/>
      <c r="E43" s="2"/>
      <c r="F43" s="5"/>
      <c r="G43" s="2"/>
      <c r="H43" s="2"/>
      <c r="I43" s="2"/>
      <c r="J43" s="5"/>
      <c r="K43" s="2"/>
      <c r="L43" s="2"/>
      <c r="M43" s="2"/>
      <c r="N43" s="5"/>
      <c r="O43" s="37"/>
      <c r="P43" s="2"/>
      <c r="Q43" s="2"/>
      <c r="R43" s="5"/>
      <c r="S43" s="2"/>
      <c r="T43" s="2"/>
      <c r="U43" s="2"/>
      <c r="V43" s="5"/>
      <c r="W43" s="2"/>
      <c r="X43" s="2"/>
      <c r="Y43" s="2"/>
      <c r="Z43" s="5"/>
    </row>
    <row r="44" spans="1:26" s="62" customFormat="1" ht="15" customHeight="1" x14ac:dyDescent="0.3">
      <c r="A44" s="13"/>
      <c r="B44" s="27" t="s">
        <v>290</v>
      </c>
      <c r="C44" s="13"/>
      <c r="D44" s="8">
        <f>SUM(0)</f>
        <v>0</v>
      </c>
      <c r="E44" s="8"/>
      <c r="F44" s="14">
        <f>IF(D$12=0,0,D44/D$12)</f>
        <v>0</v>
      </c>
      <c r="G44" s="8"/>
      <c r="H44" s="8">
        <f>SUM(0)</f>
        <v>0</v>
      </c>
      <c r="I44" s="8"/>
      <c r="J44" s="14">
        <f>IF(H$12=0,0,H44/H$12)</f>
        <v>0</v>
      </c>
      <c r="K44" s="8"/>
      <c r="L44" s="8">
        <f>+D44-H44</f>
        <v>0</v>
      </c>
      <c r="M44" s="8"/>
      <c r="N44" s="14">
        <f>IF(H44=0,0,L44/H44)</f>
        <v>0</v>
      </c>
      <c r="O44" s="13"/>
      <c r="P44" s="8">
        <f>SUM(0)</f>
        <v>0</v>
      </c>
      <c r="Q44" s="8"/>
      <c r="R44" s="14">
        <f>IF(P$12=0,0,P44/P$12)</f>
        <v>0</v>
      </c>
      <c r="S44" s="8"/>
      <c r="T44" s="8">
        <f>SUM(0)</f>
        <v>0</v>
      </c>
      <c r="U44" s="8"/>
      <c r="V44" s="14">
        <f>IF(T$12=0,0,T44/T$12)</f>
        <v>0</v>
      </c>
      <c r="W44" s="8"/>
      <c r="X44" s="8">
        <f>+P44-T44</f>
        <v>0</v>
      </c>
      <c r="Y44" s="8"/>
      <c r="Z44" s="14">
        <f>IF(T44=0,0,X44/T44)</f>
        <v>0</v>
      </c>
    </row>
    <row r="45" spans="1:26" ht="15" customHeight="1" x14ac:dyDescent="0.3">
      <c r="A45" s="12"/>
      <c r="B45" s="13"/>
      <c r="C45" s="13"/>
      <c r="D45" s="4"/>
      <c r="E45" s="4"/>
      <c r="F45" s="10"/>
      <c r="G45" s="4"/>
      <c r="H45" s="4"/>
      <c r="I45" s="4"/>
      <c r="J45" s="10"/>
      <c r="K45" s="4"/>
      <c r="L45" s="4"/>
      <c r="M45" s="4"/>
      <c r="N45" s="10"/>
      <c r="O45" s="13"/>
      <c r="P45" s="4"/>
      <c r="Q45" s="4"/>
      <c r="R45" s="10"/>
      <c r="S45" s="4"/>
      <c r="T45" s="4"/>
      <c r="U45" s="4"/>
      <c r="V45" s="10"/>
      <c r="W45" s="4"/>
      <c r="X45" s="4"/>
      <c r="Y45" s="4"/>
      <c r="Z45" s="10"/>
    </row>
    <row r="46" spans="1:26" s="62" customFormat="1" ht="15" customHeight="1" x14ac:dyDescent="0.3">
      <c r="A46" s="13"/>
      <c r="B46" s="28" t="s">
        <v>291</v>
      </c>
      <c r="C46" s="28"/>
      <c r="D46" s="22">
        <f>+D16-D18+D44</f>
        <v>-7774.49</v>
      </c>
      <c r="E46" s="15"/>
      <c r="F46" s="24">
        <f>IF(D$12=0,0,D46/D$12)</f>
        <v>0</v>
      </c>
      <c r="G46" s="15"/>
      <c r="H46" s="22">
        <f>+H16-H18+H44</f>
        <v>-5387.64</v>
      </c>
      <c r="I46" s="15"/>
      <c r="J46" s="24">
        <f>IF(H$12=0,0,H46/H$12)</f>
        <v>0</v>
      </c>
      <c r="K46" s="17"/>
      <c r="L46" s="22">
        <f>+D46-H46</f>
        <v>-2386.8499999999995</v>
      </c>
      <c r="M46" s="17"/>
      <c r="N46" s="24">
        <f>IF(H46=0,0,L46/H46)</f>
        <v>0.4430232903460512</v>
      </c>
      <c r="O46" s="27"/>
      <c r="P46" s="22">
        <f>+P16-P18+P44</f>
        <v>-107399.45</v>
      </c>
      <c r="Q46" s="15"/>
      <c r="R46" s="24">
        <f>IF(P$12=0,0,P46/P$12)</f>
        <v>0</v>
      </c>
      <c r="S46" s="15"/>
      <c r="T46" s="22">
        <f>+T16-T18+T44</f>
        <v>-101285.65</v>
      </c>
      <c r="U46" s="15"/>
      <c r="V46" s="24">
        <f>IF(T$12=0,0,T46/T$12)</f>
        <v>0</v>
      </c>
      <c r="W46" s="17"/>
      <c r="X46" s="22">
        <f>+P46-T46</f>
        <v>-6113.8000000000029</v>
      </c>
      <c r="Y46" s="17"/>
      <c r="Z46" s="24">
        <f>IF(T46=0,0,X46/T46)</f>
        <v>6.0361956506178351E-2</v>
      </c>
    </row>
    <row r="47" spans="1:26" ht="15" customHeight="1" x14ac:dyDescent="0.3">
      <c r="A47" s="12"/>
      <c r="B47" s="13"/>
      <c r="C47" s="12"/>
      <c r="D47" s="4"/>
      <c r="E47" s="4"/>
      <c r="F47" s="10"/>
      <c r="G47" s="4"/>
      <c r="H47" s="4"/>
      <c r="I47" s="4"/>
      <c r="J47" s="10"/>
      <c r="K47" s="4"/>
      <c r="L47" s="4"/>
      <c r="M47" s="4"/>
      <c r="N47" s="10"/>
      <c r="P47" s="4"/>
      <c r="Q47" s="4"/>
      <c r="R47" s="10"/>
      <c r="S47" s="4"/>
      <c r="T47" s="4"/>
      <c r="U47" s="4"/>
      <c r="V47" s="10"/>
      <c r="W47" s="4"/>
      <c r="X47" s="4"/>
      <c r="Y47" s="4"/>
      <c r="Z47" s="10"/>
    </row>
    <row r="48" spans="1:26" s="62" customFormat="1" ht="15" customHeight="1" x14ac:dyDescent="0.3">
      <c r="A48" s="48"/>
      <c r="B48" s="13" t="s">
        <v>292</v>
      </c>
      <c r="C48" s="13"/>
      <c r="D48" s="8"/>
      <c r="E48" s="8"/>
      <c r="F48" s="14">
        <f>IF(D$12=0,0,D48/D$12)</f>
        <v>0</v>
      </c>
      <c r="G48" s="8"/>
      <c r="H48" s="8"/>
      <c r="I48" s="8"/>
      <c r="J48" s="14">
        <f>IF(H$12=0,0,H48/H$12)</f>
        <v>0</v>
      </c>
      <c r="K48" s="8"/>
      <c r="L48" s="8">
        <f>+D48-H48</f>
        <v>0</v>
      </c>
      <c r="M48" s="8"/>
      <c r="N48" s="14">
        <f>IF(H48=0,0,L48/H48)</f>
        <v>0</v>
      </c>
      <c r="O48" s="13"/>
      <c r="P48" s="8"/>
      <c r="Q48" s="8"/>
      <c r="R48" s="14">
        <f>IF(P$12=0,0,P48/P$12)</f>
        <v>0</v>
      </c>
      <c r="S48" s="8"/>
      <c r="T48" s="8"/>
      <c r="U48" s="8"/>
      <c r="V48" s="14">
        <f>IF(T$12=0,0,T48/T$12)</f>
        <v>0</v>
      </c>
      <c r="W48" s="8"/>
      <c r="X48" s="8">
        <f>+P48-T48</f>
        <v>0</v>
      </c>
      <c r="Y48" s="8"/>
      <c r="Z48" s="14">
        <f>IF(T48=0,0,X48/T48)</f>
        <v>0</v>
      </c>
    </row>
    <row r="49" spans="1:26" ht="15" customHeight="1" x14ac:dyDescent="0.3">
      <c r="A49" s="12"/>
      <c r="B49" s="13"/>
      <c r="C49" s="13"/>
      <c r="D49" s="4"/>
      <c r="E49" s="4"/>
      <c r="F49" s="10"/>
      <c r="G49" s="4"/>
      <c r="H49" s="4"/>
      <c r="I49" s="4"/>
      <c r="J49" s="10"/>
      <c r="K49" s="4"/>
      <c r="L49" s="4"/>
      <c r="M49" s="4"/>
      <c r="N49" s="10"/>
      <c r="O49" s="13"/>
      <c r="P49" s="4"/>
      <c r="Q49" s="4"/>
      <c r="R49" s="10"/>
      <c r="S49" s="4"/>
      <c r="T49" s="4"/>
      <c r="U49" s="4"/>
      <c r="V49" s="10"/>
      <c r="W49" s="4"/>
      <c r="X49" s="4"/>
      <c r="Y49" s="4"/>
      <c r="Z49" s="10"/>
    </row>
    <row r="50" spans="1:26" s="62" customFormat="1" ht="15" customHeight="1" x14ac:dyDescent="0.3">
      <c r="A50" s="13"/>
      <c r="B50" s="28" t="s">
        <v>293</v>
      </c>
      <c r="C50" s="28"/>
      <c r="D50" s="29">
        <f>+D46-D48</f>
        <v>-7774.49</v>
      </c>
      <c r="E50" s="15"/>
      <c r="F50" s="31">
        <f>IF(D$12=0,0,D50/D$12)</f>
        <v>0</v>
      </c>
      <c r="G50" s="15"/>
      <c r="H50" s="29">
        <f>+H46-H48</f>
        <v>-5387.64</v>
      </c>
      <c r="I50" s="15"/>
      <c r="J50" s="31">
        <f>IF(H$12=0,0,H50/H$12)</f>
        <v>0</v>
      </c>
      <c r="K50" s="17"/>
      <c r="L50" s="29">
        <f>D50-H50</f>
        <v>-2386.8499999999995</v>
      </c>
      <c r="M50" s="17"/>
      <c r="N50" s="31">
        <f>IF(H50=0,0,L50/H50)</f>
        <v>0.4430232903460512</v>
      </c>
      <c r="O50" s="27"/>
      <c r="P50" s="29">
        <f>+P46-P48</f>
        <v>-107399.45</v>
      </c>
      <c r="Q50" s="15"/>
      <c r="R50" s="31">
        <f>IF(P$12=0,0,P50/P$12)</f>
        <v>0</v>
      </c>
      <c r="S50" s="15"/>
      <c r="T50" s="29">
        <f>+T46-T48</f>
        <v>-101285.65</v>
      </c>
      <c r="U50" s="15"/>
      <c r="V50" s="31">
        <f>IF(T$12=0,0,T50/T$12)</f>
        <v>0</v>
      </c>
      <c r="W50" s="17"/>
      <c r="X50" s="29">
        <f>P50-T50</f>
        <v>-6113.8000000000029</v>
      </c>
      <c r="Y50" s="17"/>
      <c r="Z50" s="31">
        <f>IF(T50=0,0,X50/T50)</f>
        <v>6.0361956506178351E-2</v>
      </c>
    </row>
    <row r="51" spans="1:26" ht="15" customHeight="1" x14ac:dyDescent="0.3">
      <c r="A51" s="12"/>
      <c r="B51" s="12"/>
      <c r="C51" s="12"/>
      <c r="D51" s="4"/>
      <c r="E51" s="4"/>
      <c r="F51" s="10"/>
      <c r="G51" s="4"/>
      <c r="H51" s="4"/>
      <c r="I51" s="4"/>
      <c r="J51" s="10"/>
      <c r="K51" s="4"/>
      <c r="L51" s="4"/>
      <c r="M51" s="4"/>
      <c r="N51" s="10"/>
      <c r="P51" s="4"/>
      <c r="Q51" s="4"/>
      <c r="R51" s="10"/>
      <c r="S51" s="4"/>
      <c r="T51" s="4"/>
      <c r="U51" s="4"/>
      <c r="V51" s="10"/>
      <c r="W51" s="4"/>
      <c r="X51" s="4"/>
      <c r="Y51" s="4"/>
      <c r="Z51" s="10"/>
    </row>
    <row r="52" spans="1:26" ht="15" customHeight="1" x14ac:dyDescent="0.3">
      <c r="A52" s="12"/>
      <c r="B52" s="12"/>
      <c r="C52" s="12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2" customFormat="1" ht="15" customHeight="1" x14ac:dyDescent="0.3">
      <c r="A53" s="13"/>
      <c r="B53" s="28" t="s">
        <v>296</v>
      </c>
      <c r="C53" s="28"/>
      <c r="D53" s="30">
        <f>SUM(D50:D52)</f>
        <v>-7774.49</v>
      </c>
      <c r="E53" s="15"/>
      <c r="F53" s="35">
        <f>IF(D$12=0,0,D53/D$12)</f>
        <v>0</v>
      </c>
      <c r="G53" s="15"/>
      <c r="H53" s="30">
        <f>SUM(H50:H52)</f>
        <v>-5387.64</v>
      </c>
      <c r="I53" s="15"/>
      <c r="J53" s="35">
        <f>IF(H$12=0,0,H53/H$12)</f>
        <v>0</v>
      </c>
      <c r="K53" s="17"/>
      <c r="L53" s="30">
        <f>+D53-H53</f>
        <v>-2386.8499999999995</v>
      </c>
      <c r="M53" s="17"/>
      <c r="N53" s="35">
        <f>IF(H53=0,0,L53/H53)</f>
        <v>0.4430232903460512</v>
      </c>
      <c r="O53" s="27"/>
      <c r="P53" s="30">
        <f>SUM(P50:P52)</f>
        <v>-107399.45</v>
      </c>
      <c r="Q53" s="15"/>
      <c r="R53" s="35">
        <f>IF(P$12=0,0,P53/P$12)</f>
        <v>0</v>
      </c>
      <c r="S53" s="15"/>
      <c r="T53" s="30">
        <f>SUM(T50:T52)</f>
        <v>-101285.65</v>
      </c>
      <c r="U53" s="15"/>
      <c r="V53" s="35">
        <f>IF(T$12=0,0,T53/T$12)</f>
        <v>0</v>
      </c>
      <c r="W53" s="17"/>
      <c r="X53" s="30">
        <f>+P53-T53</f>
        <v>-6113.8000000000029</v>
      </c>
      <c r="Y53" s="17"/>
      <c r="Z53" s="35">
        <f>IF(T53=0,0,X53/T53)</f>
        <v>6.0361956506178351E-2</v>
      </c>
    </row>
    <row r="54" spans="1:26" ht="15" customHeight="1" x14ac:dyDescent="0.3">
      <c r="A54" s="12"/>
      <c r="C54" s="12"/>
      <c r="D54" s="19"/>
      <c r="E54" s="19"/>
      <c r="G54" s="19"/>
      <c r="H54" s="19"/>
      <c r="I54" s="19"/>
      <c r="J54" s="41"/>
      <c r="K54" s="19"/>
      <c r="L54" s="19"/>
      <c r="M54" s="19"/>
      <c r="P54" s="19"/>
      <c r="Q54" s="19"/>
      <c r="R54" s="41"/>
      <c r="S54" s="19"/>
      <c r="T54" s="19"/>
      <c r="U54" s="19"/>
      <c r="V54" s="41"/>
      <c r="W54" s="19"/>
      <c r="X54" s="19"/>
    </row>
    <row r="55" spans="1:26" ht="15" customHeight="1" x14ac:dyDescent="0.3">
      <c r="A55" s="12"/>
      <c r="B55" s="54">
        <v>44767.815885219905</v>
      </c>
      <c r="D55" s="19"/>
      <c r="E55" s="19"/>
      <c r="G55" s="19"/>
      <c r="H55" s="19"/>
      <c r="I55" s="19"/>
      <c r="J55" s="41"/>
      <c r="K55" s="19"/>
      <c r="L55" s="19"/>
      <c r="M55" s="19"/>
      <c r="P55" s="19"/>
      <c r="Q55" s="19"/>
      <c r="R55" s="41"/>
      <c r="S55" s="19"/>
      <c r="T55" s="19"/>
      <c r="U55" s="19"/>
      <c r="V55" s="41"/>
      <c r="W55" s="19"/>
      <c r="X55" s="19"/>
    </row>
    <row r="56" spans="1:26" ht="15" customHeight="1" x14ac:dyDescent="0.3">
      <c r="A56" s="12"/>
      <c r="B56" s="53" t="s">
        <v>297</v>
      </c>
      <c r="D56" s="19"/>
      <c r="E56" s="19"/>
      <c r="G56" s="19"/>
      <c r="H56" s="19"/>
      <c r="I56" s="19"/>
      <c r="J56" s="41"/>
      <c r="K56" s="19"/>
      <c r="L56" s="19"/>
      <c r="M56" s="19"/>
      <c r="P56" s="19"/>
      <c r="Q56" s="19"/>
      <c r="R56" s="41"/>
      <c r="S56" s="19"/>
      <c r="T56" s="19"/>
      <c r="U56" s="19"/>
      <c r="V56" s="41"/>
      <c r="W56" s="19"/>
      <c r="X56" s="19"/>
    </row>
    <row r="57" spans="1:26" ht="15" customHeight="1" x14ac:dyDescent="0.3">
      <c r="A57" s="12"/>
      <c r="B57" s="51"/>
      <c r="D57" s="19"/>
      <c r="E57" s="19"/>
      <c r="G57" s="19"/>
      <c r="H57" s="19"/>
      <c r="I57" s="19"/>
      <c r="J57" s="41"/>
      <c r="K57" s="19"/>
      <c r="L57" s="19"/>
      <c r="M57" s="19"/>
      <c r="P57" s="19"/>
      <c r="Q57" s="19"/>
      <c r="R57" s="41"/>
      <c r="S57" s="19"/>
      <c r="T57" s="19"/>
      <c r="U57" s="19"/>
      <c r="V57" s="41"/>
      <c r="W57" s="19"/>
      <c r="X57" s="19"/>
    </row>
    <row r="58" spans="1:26" ht="15" customHeight="1" x14ac:dyDescent="0.3">
      <c r="D58" s="19"/>
      <c r="E58" s="19"/>
      <c r="G58" s="19"/>
      <c r="H58" s="19"/>
      <c r="I58" s="19"/>
      <c r="J58" s="41"/>
      <c r="K58" s="19"/>
      <c r="L58" s="19"/>
      <c r="M58" s="19"/>
      <c r="P58" s="19"/>
      <c r="Q58" s="19"/>
      <c r="R58" s="41"/>
      <c r="S58" s="19"/>
      <c r="T58" s="19"/>
      <c r="U58" s="19"/>
      <c r="V58" s="41"/>
      <c r="W58" s="19"/>
      <c r="X5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377CD-7E86-C8EF-08D3-B33D4597C6B6}">
  <sheetPr>
    <tabColor rgb="FFFFC000"/>
    <outlinePr summaryBelow="0" summaryRight="0"/>
  </sheetPr>
  <dimension ref="A2:Z25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306970.44999999995</v>
      </c>
      <c r="E12" s="8"/>
      <c r="F12" s="14"/>
      <c r="G12" s="8"/>
      <c r="H12" s="8">
        <f>SUM(OSRRefH13x_0)</f>
        <v>264538.22999999992</v>
      </c>
      <c r="I12" s="8"/>
      <c r="J12" s="14"/>
      <c r="K12" s="8"/>
      <c r="L12" s="8">
        <f t="shared" ref="L12:L43" si="0">+D12-H12</f>
        <v>42432.22000000003</v>
      </c>
      <c r="M12" s="8"/>
      <c r="N12" s="14">
        <f t="shared" ref="N12:N43" si="1">IF(H12=0,0,L12/H12)</f>
        <v>0.16040108834174949</v>
      </c>
      <c r="O12" s="13"/>
      <c r="P12" s="8">
        <f>SUM(OSRRefP13x_0)</f>
        <v>8324246.3100000015</v>
      </c>
      <c r="Q12" s="8"/>
      <c r="R12" s="14"/>
      <c r="S12" s="8"/>
      <c r="T12" s="8">
        <f>SUM(OSRRefT13x_0)</f>
        <v>5476816.9099999983</v>
      </c>
      <c r="U12" s="8"/>
      <c r="V12" s="14"/>
      <c r="W12" s="8"/>
      <c r="X12" s="8">
        <f t="shared" ref="X12:X43" si="2">+P12-T12</f>
        <v>2847429.4000000032</v>
      </c>
      <c r="Y12" s="8"/>
      <c r="Z12" s="14">
        <f t="shared" ref="Z12:Z43" si="3">IF(T12=0,0,X12/T12)</f>
        <v>0.51990589548482902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--300487.33</f>
        <v>300487.33</v>
      </c>
      <c r="E13" s="3"/>
      <c r="F13" s="26"/>
      <c r="G13" s="3"/>
      <c r="H13" s="3">
        <f>-6560.42</f>
        <v>-6560.42</v>
      </c>
      <c r="I13" s="3"/>
      <c r="J13" s="26"/>
      <c r="K13" s="3"/>
      <c r="L13" s="3">
        <f t="shared" si="0"/>
        <v>307047.75</v>
      </c>
      <c r="M13" s="3"/>
      <c r="N13" s="26">
        <f t="shared" si="1"/>
        <v>-46.803062913654919</v>
      </c>
      <c r="O13" s="9"/>
      <c r="P13" s="3">
        <f>--6946690.52</f>
        <v>6946690.5199999996</v>
      </c>
      <c r="Q13" s="3"/>
      <c r="R13" s="26"/>
      <c r="S13" s="3"/>
      <c r="T13" s="3">
        <f>-151009.45</f>
        <v>-151009.45000000001</v>
      </c>
      <c r="U13" s="3"/>
      <c r="V13" s="26"/>
      <c r="W13" s="3"/>
      <c r="X13" s="3">
        <f t="shared" si="2"/>
        <v>7097699.9699999997</v>
      </c>
      <c r="Y13" s="3"/>
      <c r="Z13" s="26">
        <f t="shared" si="3"/>
        <v>-47.001694066166053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--9691.34</f>
        <v>9691.34</v>
      </c>
      <c r="I14" s="3"/>
      <c r="J14" s="26"/>
      <c r="K14" s="3"/>
      <c r="L14" s="3">
        <f t="shared" si="0"/>
        <v>-9691.34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--1308779.9</f>
        <v>1308779.8999999999</v>
      </c>
      <c r="U14" s="3"/>
      <c r="V14" s="26"/>
      <c r="W14" s="3"/>
      <c r="X14" s="3">
        <f t="shared" si="2"/>
        <v>-1308779.8999999999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--6642.8</f>
        <v>6642.8</v>
      </c>
      <c r="I15" s="3"/>
      <c r="J15" s="26"/>
      <c r="K15" s="3"/>
      <c r="L15" s="3">
        <f t="shared" si="0"/>
        <v>-6642.8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--596913.27</f>
        <v>596913.27</v>
      </c>
      <c r="U15" s="3"/>
      <c r="V15" s="26"/>
      <c r="W15" s="3"/>
      <c r="X15" s="3">
        <f t="shared" si="2"/>
        <v>-596913.27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","4026"," - ","TAXABLE SALES-WRITING INSTRUME")</f>
        <v xml:space="preserve">          4026 - TAXABLE SALES-WRITING INSTRUME</v>
      </c>
      <c r="C21" s="9"/>
      <c r="D21" s="3">
        <f>0</f>
        <v>0</v>
      </c>
      <c r="E21" s="3"/>
      <c r="F21" s="26"/>
      <c r="G21" s="3"/>
      <c r="H21" s="3">
        <f>--25.1</f>
        <v>25.1</v>
      </c>
      <c r="I21" s="3"/>
      <c r="J21" s="26"/>
      <c r="K21" s="3"/>
      <c r="L21" s="3">
        <f t="shared" si="0"/>
        <v>-25.1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--547.64</f>
        <v>547.64</v>
      </c>
      <c r="U21" s="3"/>
      <c r="V21" s="26"/>
      <c r="W21" s="3"/>
      <c r="X21" s="3">
        <f t="shared" si="2"/>
        <v>-547.64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","4027"," - ","TAXABLE SALES-SCHOOL SUPPLIES")</f>
        <v xml:space="preserve">          4027 - TAXABLE SALES-SCHOOL SUPPLIES</v>
      </c>
      <c r="C22" s="9"/>
      <c r="D22" s="3">
        <f>0</f>
        <v>0</v>
      </c>
      <c r="E22" s="3"/>
      <c r="F22" s="26"/>
      <c r="G22" s="3"/>
      <c r="H22" s="3">
        <f>--3459.71</f>
        <v>3459.71</v>
      </c>
      <c r="I22" s="3"/>
      <c r="J22" s="26"/>
      <c r="K22" s="3"/>
      <c r="L22" s="3">
        <f t="shared" si="0"/>
        <v>-3459.71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--73564</f>
        <v>73564</v>
      </c>
      <c r="U22" s="3"/>
      <c r="V22" s="26"/>
      <c r="W22" s="3"/>
      <c r="X22" s="3">
        <f t="shared" si="2"/>
        <v>-73564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","4028"," - ","TAXABLE SALES-ART/TECH")</f>
        <v xml:space="preserve">          4028 - TAXABLE SALES-ART/TECH</v>
      </c>
      <c r="C23" s="9"/>
      <c r="D23" s="3">
        <f>0</f>
        <v>0</v>
      </c>
      <c r="E23" s="3"/>
      <c r="F23" s="26"/>
      <c r="G23" s="3"/>
      <c r="H23" s="3">
        <f>--2312.88</f>
        <v>2312.88</v>
      </c>
      <c r="I23" s="3"/>
      <c r="J23" s="26"/>
      <c r="K23" s="3"/>
      <c r="L23" s="3">
        <f t="shared" si="0"/>
        <v>-2312.88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--50708.2</f>
        <v>50708.2</v>
      </c>
      <c r="U23" s="3"/>
      <c r="V23" s="26"/>
      <c r="W23" s="3"/>
      <c r="X23" s="3">
        <f t="shared" si="2"/>
        <v>-50708.2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","4031"," - ","TAXABLE SALES-FOOD")</f>
        <v xml:space="preserve">          4031 - TAXABLE SALES-FOOD</v>
      </c>
      <c r="C24" s="9"/>
      <c r="D24" s="3">
        <f>0</f>
        <v>0</v>
      </c>
      <c r="E24" s="3"/>
      <c r="F24" s="26"/>
      <c r="G24" s="3"/>
      <c r="H24" s="3">
        <f>--380.76</f>
        <v>380.76</v>
      </c>
      <c r="I24" s="3"/>
      <c r="J24" s="26"/>
      <c r="K24" s="3"/>
      <c r="L24" s="3">
        <f t="shared" si="0"/>
        <v>-380.76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--5081.47</f>
        <v>5081.47</v>
      </c>
      <c r="U24" s="3"/>
      <c r="V24" s="26"/>
      <c r="W24" s="3"/>
      <c r="X24" s="3">
        <f t="shared" si="2"/>
        <v>-5081.47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","4032"," - ","TAXABLE SALES-JUICE")</f>
        <v xml:space="preserve">          4032 - TAXABLE SALES-JUICE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--444.59</f>
        <v>444.59</v>
      </c>
      <c r="U25" s="3"/>
      <c r="V25" s="26"/>
      <c r="W25" s="3"/>
      <c r="X25" s="3">
        <f t="shared" si="2"/>
        <v>-444.59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","4034"," - ","TAXABLE SALES-SODA")</f>
        <v xml:space="preserve">          4034 - TAXABLE SALES-SODA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--6.78</f>
        <v>6.78</v>
      </c>
      <c r="U26" s="3"/>
      <c r="V26" s="26"/>
      <c r="W26" s="3"/>
      <c r="X26" s="3">
        <f t="shared" si="2"/>
        <v>-6.78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","4040"," - ","TAXABLE SALES-LOGO CLOTHING")</f>
        <v xml:space="preserve">          4040 - TAXABLE SALES-LOGO CLOTHING</v>
      </c>
      <c r="C27" s="9"/>
      <c r="D27" s="3">
        <f>0</f>
        <v>0</v>
      </c>
      <c r="E27" s="3"/>
      <c r="F27" s="26"/>
      <c r="G27" s="3"/>
      <c r="H27" s="3">
        <f>--109798.76</f>
        <v>109798.76</v>
      </c>
      <c r="I27" s="3"/>
      <c r="J27" s="26"/>
      <c r="K27" s="3"/>
      <c r="L27" s="3">
        <f t="shared" si="0"/>
        <v>-109798.76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--1210378.91</f>
        <v>1210378.9099999999</v>
      </c>
      <c r="U27" s="3"/>
      <c r="V27" s="26"/>
      <c r="W27" s="3"/>
      <c r="X27" s="3">
        <f t="shared" si="2"/>
        <v>-1210378.9099999999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","4041"," - ","TAXABLE SALES-LOGO GIFTS")</f>
        <v xml:space="preserve">          4041 - TAXABLE SALES-LOGO GIFTS</v>
      </c>
      <c r="C28" s="9"/>
      <c r="D28" s="3">
        <f>0</f>
        <v>0</v>
      </c>
      <c r="E28" s="3"/>
      <c r="F28" s="26"/>
      <c r="G28" s="3"/>
      <c r="H28" s="3">
        <f>--80467.62</f>
        <v>80467.62</v>
      </c>
      <c r="I28" s="3"/>
      <c r="J28" s="26"/>
      <c r="K28" s="3"/>
      <c r="L28" s="3">
        <f t="shared" si="0"/>
        <v>-80467.62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--712240.21</f>
        <v>712240.21</v>
      </c>
      <c r="U28" s="3"/>
      <c r="V28" s="26"/>
      <c r="W28" s="3"/>
      <c r="X28" s="3">
        <f t="shared" si="2"/>
        <v>-712240.21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","4042"," - ","TAXABLE SALES-EVERYDAY GIFTS")</f>
        <v xml:space="preserve">          4042 - TAXABLE SALES-EVERYDAY GIFTS</v>
      </c>
      <c r="C29" s="9"/>
      <c r="D29" s="3">
        <f>0</f>
        <v>0</v>
      </c>
      <c r="E29" s="3"/>
      <c r="F29" s="26"/>
      <c r="G29" s="3"/>
      <c r="H29" s="3">
        <f>--7345.28</f>
        <v>7345.28</v>
      </c>
      <c r="I29" s="3"/>
      <c r="J29" s="26"/>
      <c r="K29" s="3"/>
      <c r="L29" s="3">
        <f t="shared" si="0"/>
        <v>-7345.28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--116251.83</f>
        <v>116251.83</v>
      </c>
      <c r="U29" s="3"/>
      <c r="V29" s="26"/>
      <c r="W29" s="3"/>
      <c r="X29" s="3">
        <f t="shared" si="2"/>
        <v>-116251.83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","4043"," - ","TAXABLE SALES-CARDS")</f>
        <v xml:space="preserve">          4043 - TAXABLE SALES-CARDS</v>
      </c>
      <c r="C30" s="9"/>
      <c r="D30" s="3">
        <f>0</f>
        <v>0</v>
      </c>
      <c r="E30" s="3"/>
      <c r="F30" s="26"/>
      <c r="G30" s="3"/>
      <c r="H30" s="3">
        <f>--2949.38</f>
        <v>2949.38</v>
      </c>
      <c r="I30" s="3"/>
      <c r="J30" s="26"/>
      <c r="K30" s="3"/>
      <c r="L30" s="3">
        <f t="shared" si="0"/>
        <v>-2949.38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--147027.05</f>
        <v>147027.04999999999</v>
      </c>
      <c r="U30" s="3"/>
      <c r="V30" s="26"/>
      <c r="W30" s="3"/>
      <c r="X30" s="3">
        <f t="shared" si="2"/>
        <v>-147027.04999999999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","4044"," - ","TAXABLE SALES-ACCESSORIES")</f>
        <v xml:space="preserve">          4044 - TAXABLE SALES-ACCESSORIES</v>
      </c>
      <c r="C31" s="9"/>
      <c r="D31" s="3">
        <f>0</f>
        <v>0</v>
      </c>
      <c r="E31" s="3"/>
      <c r="F31" s="26"/>
      <c r="G31" s="3"/>
      <c r="H31" s="3">
        <f>--2172.33</f>
        <v>2172.33</v>
      </c>
      <c r="I31" s="3"/>
      <c r="J31" s="26"/>
      <c r="K31" s="3"/>
      <c r="L31" s="3">
        <f t="shared" si="0"/>
        <v>-2172.33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--43288.66</f>
        <v>43288.66</v>
      </c>
      <c r="U31" s="3"/>
      <c r="V31" s="26"/>
      <c r="W31" s="3"/>
      <c r="X31" s="3">
        <f t="shared" si="2"/>
        <v>-43288.66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","4045"," - ","TAXABLE SALES-SPECIAL ORDERS")</f>
        <v xml:space="preserve">          4045 - TAXABLE SALES-SPECIAL ORDERS</v>
      </c>
      <c r="C32" s="9"/>
      <c r="D32" s="3">
        <f>0</f>
        <v>0</v>
      </c>
      <c r="E32" s="3"/>
      <c r="F32" s="26"/>
      <c r="G32" s="3"/>
      <c r="H32" s="3">
        <f>--81300.55</f>
        <v>81300.55</v>
      </c>
      <c r="I32" s="3"/>
      <c r="J32" s="26"/>
      <c r="K32" s="3"/>
      <c r="L32" s="3">
        <f t="shared" si="0"/>
        <v>-81300.55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--314878.48</f>
        <v>314878.48</v>
      </c>
      <c r="U32" s="3"/>
      <c r="V32" s="26"/>
      <c r="W32" s="3"/>
      <c r="X32" s="3">
        <f t="shared" si="2"/>
        <v>-314878.48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","4051"," - ","TAXABLE SALES-FOOD")</f>
        <v xml:space="preserve">          4051 - TAXABLE SALES-FOOD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--25.17</f>
        <v>25.17</v>
      </c>
      <c r="Q33" s="3"/>
      <c r="R33" s="26"/>
      <c r="S33" s="3"/>
      <c r="T33" s="3">
        <f>0</f>
        <v>0</v>
      </c>
      <c r="U33" s="3"/>
      <c r="V33" s="26"/>
      <c r="W33" s="3"/>
      <c r="X33" s="3">
        <f t="shared" si="2"/>
        <v>25.17</v>
      </c>
      <c r="Y33" s="3"/>
      <c r="Z33" s="26">
        <f t="shared" si="3"/>
        <v>0</v>
      </c>
    </row>
    <row r="34" spans="1:26" s="69" customFormat="1" ht="15" hidden="1" customHeight="1" outlineLevel="1" x14ac:dyDescent="0.3">
      <c r="A34" s="47"/>
      <c r="B34" s="9" t="str">
        <f>CONCATENATE("          ","4053"," - ","TAXABLE SALES-FOOD")</f>
        <v xml:space="preserve">          4053 - TAXABLE SALES-FOOD</v>
      </c>
      <c r="C34" s="9"/>
      <c r="D34" s="3">
        <f>0</f>
        <v>0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0</v>
      </c>
      <c r="M34" s="3"/>
      <c r="N34" s="26">
        <f t="shared" si="1"/>
        <v>0</v>
      </c>
      <c r="O34" s="9"/>
      <c r="P34" s="3">
        <f>--1827.05</f>
        <v>1827.05</v>
      </c>
      <c r="Q34" s="3"/>
      <c r="R34" s="26"/>
      <c r="S34" s="3"/>
      <c r="T34" s="3">
        <f>0</f>
        <v>0</v>
      </c>
      <c r="U34" s="3"/>
      <c r="V34" s="26"/>
      <c r="W34" s="3"/>
      <c r="X34" s="3">
        <f t="shared" si="2"/>
        <v>1827.05</v>
      </c>
      <c r="Y34" s="3"/>
      <c r="Z34" s="26">
        <f t="shared" si="3"/>
        <v>0</v>
      </c>
    </row>
    <row r="35" spans="1:26" s="69" customFormat="1" ht="15" hidden="1" customHeight="1" outlineLevel="1" x14ac:dyDescent="0.3">
      <c r="A35" s="47"/>
      <c r="B35" s="9" t="str">
        <f>CONCATENATE("          ","4081"," - ","TAXABLE SALES-ELECTRONICS")</f>
        <v xml:space="preserve">          4081 - TAXABLE SALES-ELECTRONICS</v>
      </c>
      <c r="C35" s="9"/>
      <c r="D35" s="3">
        <f>0</f>
        <v>0</v>
      </c>
      <c r="E35" s="3"/>
      <c r="F35" s="26"/>
      <c r="G35" s="3"/>
      <c r="H35" s="3">
        <f>0</f>
        <v>0</v>
      </c>
      <c r="I35" s="3"/>
      <c r="J35" s="26"/>
      <c r="K35" s="3"/>
      <c r="L35" s="3">
        <f t="shared" si="0"/>
        <v>0</v>
      </c>
      <c r="M35" s="3"/>
      <c r="N35" s="26">
        <f t="shared" si="1"/>
        <v>0</v>
      </c>
      <c r="O35" s="9"/>
      <c r="P35" s="3">
        <f>0</f>
        <v>0</v>
      </c>
      <c r="Q35" s="3"/>
      <c r="R35" s="26"/>
      <c r="S35" s="3"/>
      <c r="T35" s="3">
        <f>--71.95</f>
        <v>71.95</v>
      </c>
      <c r="U35" s="3"/>
      <c r="V35" s="26"/>
      <c r="W35" s="3"/>
      <c r="X35" s="3">
        <f t="shared" si="2"/>
        <v>-71.95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","4083"," - ","TAXABLE SALES-COMPUTER EQUIPME")</f>
        <v xml:space="preserve">          4083 - TAXABLE SALES-COMPUTER EQUIPME</v>
      </c>
      <c r="C36" s="9"/>
      <c r="D36" s="3">
        <f>0</f>
        <v>0</v>
      </c>
      <c r="E36" s="3"/>
      <c r="F36" s="26"/>
      <c r="G36" s="3"/>
      <c r="H36" s="3">
        <f>0</f>
        <v>0</v>
      </c>
      <c r="I36" s="3"/>
      <c r="J36" s="26"/>
      <c r="K36" s="3"/>
      <c r="L36" s="3">
        <f t="shared" si="0"/>
        <v>0</v>
      </c>
      <c r="M36" s="3"/>
      <c r="N36" s="26">
        <f t="shared" si="1"/>
        <v>0</v>
      </c>
      <c r="O36" s="9"/>
      <c r="P36" s="3">
        <f>0</f>
        <v>0</v>
      </c>
      <c r="Q36" s="3"/>
      <c r="R36" s="26"/>
      <c r="S36" s="3"/>
      <c r="T36" s="3">
        <f>--9.99</f>
        <v>9.99</v>
      </c>
      <c r="U36" s="3"/>
      <c r="V36" s="26"/>
      <c r="W36" s="3"/>
      <c r="X36" s="3">
        <f t="shared" si="2"/>
        <v>-9.99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","4095"," - ","TAXABLE SALES-CUSTOMER SERVICE")</f>
        <v xml:space="preserve">          4095 - TAXABLE SALES-CUSTOMER SERVICE</v>
      </c>
      <c r="C37" s="9"/>
      <c r="D37" s="3">
        <f>0</f>
        <v>0</v>
      </c>
      <c r="E37" s="3"/>
      <c r="F37" s="26"/>
      <c r="G37" s="3"/>
      <c r="H37" s="3">
        <f>--1688.17</f>
        <v>1688.17</v>
      </c>
      <c r="I37" s="3"/>
      <c r="J37" s="26"/>
      <c r="K37" s="3"/>
      <c r="L37" s="3">
        <f t="shared" si="0"/>
        <v>-1688.17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--15614</f>
        <v>15614</v>
      </c>
      <c r="U37" s="3"/>
      <c r="V37" s="26"/>
      <c r="W37" s="3"/>
      <c r="X37" s="3">
        <f t="shared" si="2"/>
        <v>-15614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","4100"," - ","NON-TAXABLE SALES")</f>
        <v xml:space="preserve">          4100 - NON-TAXABLE SALES</v>
      </c>
      <c r="C38" s="9"/>
      <c r="D38" s="3">
        <f>--35826.86</f>
        <v>35826.86</v>
      </c>
      <c r="E38" s="3"/>
      <c r="F38" s="26"/>
      <c r="G38" s="3"/>
      <c r="H38" s="3">
        <f>-14487.2</f>
        <v>-14487.2</v>
      </c>
      <c r="I38" s="3"/>
      <c r="J38" s="26"/>
      <c r="K38" s="3"/>
      <c r="L38" s="3">
        <f t="shared" si="0"/>
        <v>50314.06</v>
      </c>
      <c r="M38" s="3"/>
      <c r="N38" s="26">
        <f t="shared" si="1"/>
        <v>-3.473000993980893</v>
      </c>
      <c r="O38" s="9"/>
      <c r="P38" s="3">
        <f>--1790618.17</f>
        <v>1790618.17</v>
      </c>
      <c r="Q38" s="3"/>
      <c r="R38" s="26"/>
      <c r="S38" s="3"/>
      <c r="T38" s="3">
        <f>--262897.78</f>
        <v>262897.78000000003</v>
      </c>
      <c r="U38" s="3"/>
      <c r="V38" s="26"/>
      <c r="W38" s="3"/>
      <c r="X38" s="3">
        <f t="shared" si="2"/>
        <v>1527720.39</v>
      </c>
      <c r="Y38" s="3"/>
      <c r="Z38" s="26">
        <f t="shared" si="3"/>
        <v>5.8110813640191248</v>
      </c>
    </row>
    <row r="39" spans="1:26" s="69" customFormat="1" ht="15" hidden="1" customHeight="1" outlineLevel="1" x14ac:dyDescent="0.3">
      <c r="A39" s="47"/>
      <c r="B39" s="9" t="str">
        <f>CONCATENATE("          ","4101"," - ","NON-TAXABLE SALES-NEW TEXT")</f>
        <v xml:space="preserve">          4101 - NON-TAXABLE SALES-NEW TEXT</v>
      </c>
      <c r="C39" s="9"/>
      <c r="D39" s="3">
        <f>0</f>
        <v>0</v>
      </c>
      <c r="E39" s="3"/>
      <c r="F39" s="26"/>
      <c r="G39" s="3"/>
      <c r="H39" s="3">
        <f>--1301.39</f>
        <v>1301.3900000000001</v>
      </c>
      <c r="I39" s="3"/>
      <c r="J39" s="26"/>
      <c r="K39" s="3"/>
      <c r="L39" s="3">
        <f t="shared" si="0"/>
        <v>-1301.3900000000001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--120548.46</f>
        <v>120548.46</v>
      </c>
      <c r="U39" s="3"/>
      <c r="V39" s="26"/>
      <c r="W39" s="3"/>
      <c r="X39" s="3">
        <f t="shared" si="2"/>
        <v>-120548.46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","4102"," - ","NON-TAXABLE SALES-USED TEXT")</f>
        <v xml:space="preserve">          4102 - NON-TAXABLE SALES-USED TEXT</v>
      </c>
      <c r="C40" s="9"/>
      <c r="D40" s="3">
        <f>0</f>
        <v>0</v>
      </c>
      <c r="E40" s="3"/>
      <c r="F40" s="26"/>
      <c r="G40" s="3"/>
      <c r="H40" s="3">
        <f>--540.91</f>
        <v>540.91</v>
      </c>
      <c r="I40" s="3"/>
      <c r="J40" s="26"/>
      <c r="K40" s="3"/>
      <c r="L40" s="3">
        <f t="shared" si="0"/>
        <v>-540.91</v>
      </c>
      <c r="M40" s="3"/>
      <c r="N40" s="26">
        <f t="shared" si="1"/>
        <v>-1</v>
      </c>
      <c r="O40" s="9"/>
      <c r="P40" s="3">
        <f>0</f>
        <v>0</v>
      </c>
      <c r="Q40" s="3"/>
      <c r="R40" s="26"/>
      <c r="S40" s="3"/>
      <c r="T40" s="3">
        <f>--51587.64</f>
        <v>51587.64</v>
      </c>
      <c r="U40" s="3"/>
      <c r="V40" s="26"/>
      <c r="W40" s="3"/>
      <c r="X40" s="3">
        <f t="shared" si="2"/>
        <v>-51587.64</v>
      </c>
      <c r="Y40" s="3"/>
      <c r="Z40" s="26">
        <f t="shared" si="3"/>
        <v>-1</v>
      </c>
    </row>
    <row r="41" spans="1:26" s="69" customFormat="1" ht="15" hidden="1" customHeight="1" outlineLevel="1" x14ac:dyDescent="0.3">
      <c r="A41" s="47"/>
      <c r="B41" s="9" t="str">
        <f>CONCATENATE("          ","4103"," - ","NON-TAXABLE SALES-RENTAL TEXT")</f>
        <v xml:space="preserve">          4103 - NON-TAXABLE SALES-RENTAL TEXT</v>
      </c>
      <c r="C41" s="9"/>
      <c r="D41" s="3">
        <f>0</f>
        <v>0</v>
      </c>
      <c r="E41" s="3"/>
      <c r="F41" s="26"/>
      <c r="G41" s="3"/>
      <c r="H41" s="3">
        <f>0</f>
        <v>0</v>
      </c>
      <c r="I41" s="3"/>
      <c r="J41" s="26"/>
      <c r="K41" s="3"/>
      <c r="L41" s="3">
        <f t="shared" si="0"/>
        <v>0</v>
      </c>
      <c r="M41" s="3"/>
      <c r="N41" s="26">
        <f t="shared" si="1"/>
        <v>0</v>
      </c>
      <c r="O41" s="9"/>
      <c r="P41" s="3">
        <f>0</f>
        <v>0</v>
      </c>
      <c r="Q41" s="3"/>
      <c r="R41" s="26"/>
      <c r="S41" s="3"/>
      <c r="T41" s="3">
        <f>--1138.95</f>
        <v>1138.95</v>
      </c>
      <c r="U41" s="3"/>
      <c r="V41" s="26"/>
      <c r="W41" s="3"/>
      <c r="X41" s="3">
        <f t="shared" si="2"/>
        <v>-1138.95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","4104"," - ","NON-TAXABLE SALES-DIGITAL TEXT")</f>
        <v xml:space="preserve">          4104 - NON-TAXABLE SALES-DIGITAL TEXT</v>
      </c>
      <c r="C42" s="9"/>
      <c r="D42" s="3">
        <f>0</f>
        <v>0</v>
      </c>
      <c r="E42" s="3"/>
      <c r="F42" s="26"/>
      <c r="G42" s="3"/>
      <c r="H42" s="3">
        <f>--695.53</f>
        <v>695.53</v>
      </c>
      <c r="I42" s="3"/>
      <c r="J42" s="26"/>
      <c r="K42" s="3"/>
      <c r="L42" s="3">
        <f t="shared" si="0"/>
        <v>-695.53</v>
      </c>
      <c r="M42" s="3"/>
      <c r="N42" s="26">
        <f t="shared" si="1"/>
        <v>-1</v>
      </c>
      <c r="O42" s="9"/>
      <c r="P42" s="3">
        <f>0</f>
        <v>0</v>
      </c>
      <c r="Q42" s="3"/>
      <c r="R42" s="26"/>
      <c r="S42" s="3"/>
      <c r="T42" s="3">
        <f>--491583.26</f>
        <v>491583.26</v>
      </c>
      <c r="U42" s="3"/>
      <c r="V42" s="26"/>
      <c r="W42" s="3"/>
      <c r="X42" s="3">
        <f t="shared" si="2"/>
        <v>-491583.26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","4113"," - ","NON-TAXABLE SALES-TRADE BOOKS")</f>
        <v xml:space="preserve">          4113 - NON-TAXABLE SALES-TRADE BOOKS</v>
      </c>
      <c r="C43" s="9"/>
      <c r="D43" s="3">
        <f>0</f>
        <v>0</v>
      </c>
      <c r="E43" s="3"/>
      <c r="F43" s="26"/>
      <c r="G43" s="3"/>
      <c r="H43" s="3">
        <f>0</f>
        <v>0</v>
      </c>
      <c r="I43" s="3"/>
      <c r="J43" s="26"/>
      <c r="K43" s="3"/>
      <c r="L43" s="3">
        <f t="shared" si="0"/>
        <v>0</v>
      </c>
      <c r="M43" s="3"/>
      <c r="N43" s="26">
        <f t="shared" si="1"/>
        <v>0</v>
      </c>
      <c r="O43" s="9"/>
      <c r="P43" s="3">
        <f>0</f>
        <v>0</v>
      </c>
      <c r="Q43" s="3"/>
      <c r="R43" s="26"/>
      <c r="S43" s="3"/>
      <c r="T43" s="3">
        <f>--12127.25</f>
        <v>12127.25</v>
      </c>
      <c r="U43" s="3"/>
      <c r="V43" s="26"/>
      <c r="W43" s="3"/>
      <c r="X43" s="3">
        <f t="shared" si="2"/>
        <v>-12127.25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","4118"," - ","NON-TAXABLE SALES-STUDY GUIDES")</f>
        <v xml:space="preserve">          4118 - NON-TAXABLE SALES-STUDY GUIDES</v>
      </c>
      <c r="C44" s="9"/>
      <c r="D44" s="3">
        <f>0</f>
        <v>0</v>
      </c>
      <c r="E44" s="3"/>
      <c r="F44" s="26"/>
      <c r="G44" s="3"/>
      <c r="H44" s="3">
        <f>--594.22</f>
        <v>594.22</v>
      </c>
      <c r="I44" s="3"/>
      <c r="J44" s="26"/>
      <c r="K44" s="3"/>
      <c r="L44" s="3">
        <f t="shared" ref="L44:L75" si="4">+D44-H44</f>
        <v>-594.22</v>
      </c>
      <c r="M44" s="3"/>
      <c r="N44" s="26">
        <f t="shared" ref="N44:N75" si="5">IF(H44=0,0,L44/H44)</f>
        <v>-1</v>
      </c>
      <c r="O44" s="9"/>
      <c r="P44" s="3">
        <f>0</f>
        <v>0</v>
      </c>
      <c r="Q44" s="3"/>
      <c r="R44" s="26"/>
      <c r="S44" s="3"/>
      <c r="T44" s="3">
        <f>--1365.95</f>
        <v>1365.95</v>
      </c>
      <c r="U44" s="3"/>
      <c r="V44" s="26"/>
      <c r="W44" s="3"/>
      <c r="X44" s="3">
        <f t="shared" ref="X44:X75" si="6">+P44-T44</f>
        <v>-1365.95</v>
      </c>
      <c r="Y44" s="3"/>
      <c r="Z44" s="26">
        <f t="shared" ref="Z44:Z75" si="7">IF(T44=0,0,X44/T44)</f>
        <v>-1</v>
      </c>
    </row>
    <row r="45" spans="1:26" s="69" customFormat="1" ht="15" hidden="1" customHeight="1" outlineLevel="1" x14ac:dyDescent="0.3">
      <c r="A45" s="47"/>
      <c r="B45" s="9" t="str">
        <f>CONCATENATE("          ","4126"," - ","NON-TAXABLE SALES-WRITING INST")</f>
        <v xml:space="preserve">          4126 - NON-TAXABLE SALES-WRITING INST</v>
      </c>
      <c r="C45" s="9"/>
      <c r="D45" s="3">
        <f>0</f>
        <v>0</v>
      </c>
      <c r="E45" s="3"/>
      <c r="F45" s="26"/>
      <c r="G45" s="3"/>
      <c r="H45" s="3">
        <f>0</f>
        <v>0</v>
      </c>
      <c r="I45" s="3"/>
      <c r="J45" s="26"/>
      <c r="K45" s="3"/>
      <c r="L45" s="3">
        <f t="shared" si="4"/>
        <v>0</v>
      </c>
      <c r="M45" s="3"/>
      <c r="N45" s="26">
        <f t="shared" si="5"/>
        <v>0</v>
      </c>
      <c r="O45" s="9"/>
      <c r="P45" s="3">
        <f>0</f>
        <v>0</v>
      </c>
      <c r="Q45" s="3"/>
      <c r="R45" s="26"/>
      <c r="S45" s="3"/>
      <c r="T45" s="3">
        <f>--52.68</f>
        <v>52.68</v>
      </c>
      <c r="U45" s="3"/>
      <c r="V45" s="26"/>
      <c r="W45" s="3"/>
      <c r="X45" s="3">
        <f t="shared" si="6"/>
        <v>-52.68</v>
      </c>
      <c r="Y45" s="3"/>
      <c r="Z45" s="26">
        <f t="shared" si="7"/>
        <v>-1</v>
      </c>
    </row>
    <row r="46" spans="1:26" s="69" customFormat="1" ht="15" hidden="1" customHeight="1" outlineLevel="1" x14ac:dyDescent="0.3">
      <c r="A46" s="47"/>
      <c r="B46" s="9" t="str">
        <f>CONCATENATE("          ","4127"," - ","NON-TAXABLE SALES-SCHOOL SUPPL")</f>
        <v xml:space="preserve">          4127 - NON-TAXABLE SALES-SCHOOL SUPPL</v>
      </c>
      <c r="C46" s="9"/>
      <c r="D46" s="3">
        <f>0</f>
        <v>0</v>
      </c>
      <c r="E46" s="3"/>
      <c r="F46" s="26"/>
      <c r="G46" s="3"/>
      <c r="H46" s="3">
        <f>--99.87</f>
        <v>99.87</v>
      </c>
      <c r="I46" s="3"/>
      <c r="J46" s="26"/>
      <c r="K46" s="3"/>
      <c r="L46" s="3">
        <f t="shared" si="4"/>
        <v>-99.87</v>
      </c>
      <c r="M46" s="3"/>
      <c r="N46" s="26">
        <f t="shared" si="5"/>
        <v>-1</v>
      </c>
      <c r="O46" s="9"/>
      <c r="P46" s="3">
        <f>0</f>
        <v>0</v>
      </c>
      <c r="Q46" s="3"/>
      <c r="R46" s="26"/>
      <c r="S46" s="3"/>
      <c r="T46" s="3">
        <f>--7748.6</f>
        <v>7748.6</v>
      </c>
      <c r="U46" s="3"/>
      <c r="V46" s="26"/>
      <c r="W46" s="3"/>
      <c r="X46" s="3">
        <f t="shared" si="6"/>
        <v>-7748.6</v>
      </c>
      <c r="Y46" s="3"/>
      <c r="Z46" s="26">
        <f t="shared" si="7"/>
        <v>-1</v>
      </c>
    </row>
    <row r="47" spans="1:26" s="69" customFormat="1" ht="15" hidden="1" customHeight="1" outlineLevel="1" x14ac:dyDescent="0.3">
      <c r="A47" s="47"/>
      <c r="B47" s="9" t="str">
        <f>CONCATENATE("          ","4128"," - ","NON-TAXABLE SALES-ART/TECH")</f>
        <v xml:space="preserve">          4128 - NON-TAXABLE SALES-ART/TECH</v>
      </c>
      <c r="C47" s="9"/>
      <c r="D47" s="3">
        <f>0</f>
        <v>0</v>
      </c>
      <c r="E47" s="3"/>
      <c r="F47" s="26"/>
      <c r="G47" s="3"/>
      <c r="H47" s="3">
        <f>0</f>
        <v>0</v>
      </c>
      <c r="I47" s="3"/>
      <c r="J47" s="26"/>
      <c r="K47" s="3"/>
      <c r="L47" s="3">
        <f t="shared" si="4"/>
        <v>0</v>
      </c>
      <c r="M47" s="3"/>
      <c r="N47" s="26">
        <f t="shared" si="5"/>
        <v>0</v>
      </c>
      <c r="O47" s="9"/>
      <c r="P47" s="3">
        <f>0</f>
        <v>0</v>
      </c>
      <c r="Q47" s="3"/>
      <c r="R47" s="26"/>
      <c r="S47" s="3"/>
      <c r="T47" s="3">
        <f>--115.91</f>
        <v>115.91</v>
      </c>
      <c r="U47" s="3"/>
      <c r="V47" s="26"/>
      <c r="W47" s="3"/>
      <c r="X47" s="3">
        <f t="shared" si="6"/>
        <v>-115.91</v>
      </c>
      <c r="Y47" s="3"/>
      <c r="Z47" s="26">
        <f t="shared" si="7"/>
        <v>-1</v>
      </c>
    </row>
    <row r="48" spans="1:26" s="69" customFormat="1" ht="15" hidden="1" customHeight="1" outlineLevel="1" x14ac:dyDescent="0.3">
      <c r="A48" s="47"/>
      <c r="B48" s="9" t="str">
        <f>CONCATENATE("          ","4131"," - ","NON-TAXABLE SALES-FOOD")</f>
        <v xml:space="preserve">          4131 - NON-TAXABLE SALES-FOOD</v>
      </c>
      <c r="C48" s="9"/>
      <c r="D48" s="3">
        <f>0</f>
        <v>0</v>
      </c>
      <c r="E48" s="3"/>
      <c r="F48" s="26"/>
      <c r="G48" s="3"/>
      <c r="H48" s="3">
        <f>--540.62</f>
        <v>540.62</v>
      </c>
      <c r="I48" s="3"/>
      <c r="J48" s="26"/>
      <c r="K48" s="3"/>
      <c r="L48" s="3">
        <f t="shared" si="4"/>
        <v>-540.62</v>
      </c>
      <c r="M48" s="3"/>
      <c r="N48" s="26">
        <f t="shared" si="5"/>
        <v>-1</v>
      </c>
      <c r="O48" s="9"/>
      <c r="P48" s="3">
        <f>0</f>
        <v>0</v>
      </c>
      <c r="Q48" s="3"/>
      <c r="R48" s="26"/>
      <c r="S48" s="3"/>
      <c r="T48" s="3">
        <f>--12696.76</f>
        <v>12696.76</v>
      </c>
      <c r="U48" s="3"/>
      <c r="V48" s="26"/>
      <c r="W48" s="3"/>
      <c r="X48" s="3">
        <f t="shared" si="6"/>
        <v>-12696.76</v>
      </c>
      <c r="Y48" s="3"/>
      <c r="Z48" s="26">
        <f t="shared" si="7"/>
        <v>-1</v>
      </c>
    </row>
    <row r="49" spans="1:26" s="69" customFormat="1" ht="15" hidden="1" customHeight="1" outlineLevel="1" x14ac:dyDescent="0.3">
      <c r="A49" s="47"/>
      <c r="B49" s="9" t="str">
        <f>CONCATENATE("          ","4132"," - ","NON-TAXABLE SALES-JUICE")</f>
        <v xml:space="preserve">          4132 - NON-TAXABLE SALES-JUICE</v>
      </c>
      <c r="C49" s="9"/>
      <c r="D49" s="3">
        <f>0</f>
        <v>0</v>
      </c>
      <c r="E49" s="3"/>
      <c r="F49" s="26"/>
      <c r="G49" s="3"/>
      <c r="H49" s="3">
        <f>0</f>
        <v>0</v>
      </c>
      <c r="I49" s="3"/>
      <c r="J49" s="26"/>
      <c r="K49" s="3"/>
      <c r="L49" s="3">
        <f t="shared" si="4"/>
        <v>0</v>
      </c>
      <c r="M49" s="3"/>
      <c r="N49" s="26">
        <f t="shared" si="5"/>
        <v>0</v>
      </c>
      <c r="O49" s="9"/>
      <c r="P49" s="3">
        <f>0</f>
        <v>0</v>
      </c>
      <c r="Q49" s="3"/>
      <c r="R49" s="26"/>
      <c r="S49" s="3"/>
      <c r="T49" s="3">
        <f>--2054.37</f>
        <v>2054.37</v>
      </c>
      <c r="U49" s="3"/>
      <c r="V49" s="26"/>
      <c r="W49" s="3"/>
      <c r="X49" s="3">
        <f t="shared" si="6"/>
        <v>-2054.37</v>
      </c>
      <c r="Y49" s="3"/>
      <c r="Z49" s="26">
        <f t="shared" si="7"/>
        <v>-1</v>
      </c>
    </row>
    <row r="50" spans="1:26" s="69" customFormat="1" ht="15" hidden="1" customHeight="1" outlineLevel="1" x14ac:dyDescent="0.3">
      <c r="A50" s="47"/>
      <c r="B50" s="9" t="str">
        <f>CONCATENATE("          ","4133"," - ","NON-TAXABLE SALES-CANDY")</f>
        <v xml:space="preserve">          4133 - NON-TAXABLE SALES-CANDY</v>
      </c>
      <c r="C50" s="9"/>
      <c r="D50" s="3">
        <f>0</f>
        <v>0</v>
      </c>
      <c r="E50" s="3"/>
      <c r="F50" s="26"/>
      <c r="G50" s="3"/>
      <c r="H50" s="3">
        <f>0</f>
        <v>0</v>
      </c>
      <c r="I50" s="3"/>
      <c r="J50" s="26"/>
      <c r="K50" s="3"/>
      <c r="L50" s="3">
        <f t="shared" si="4"/>
        <v>0</v>
      </c>
      <c r="M50" s="3"/>
      <c r="N50" s="26">
        <f t="shared" si="5"/>
        <v>0</v>
      </c>
      <c r="O50" s="9"/>
      <c r="P50" s="3">
        <f>0</f>
        <v>0</v>
      </c>
      <c r="Q50" s="3"/>
      <c r="R50" s="26"/>
      <c r="S50" s="3"/>
      <c r="T50" s="3">
        <f>--80.71</f>
        <v>80.709999999999994</v>
      </c>
      <c r="U50" s="3"/>
      <c r="V50" s="26"/>
      <c r="W50" s="3"/>
      <c r="X50" s="3">
        <f t="shared" si="6"/>
        <v>-80.709999999999994</v>
      </c>
      <c r="Y50" s="3"/>
      <c r="Z50" s="26">
        <f t="shared" si="7"/>
        <v>-1</v>
      </c>
    </row>
    <row r="51" spans="1:26" s="69" customFormat="1" ht="15" hidden="1" customHeight="1" outlineLevel="1" x14ac:dyDescent="0.3">
      <c r="A51" s="47"/>
      <c r="B51" s="9" t="str">
        <f>CONCATENATE("          ","4134"," - ","NON-TAXABLE SALES-SODA")</f>
        <v xml:space="preserve">          4134 - NON-TAXABLE SALES-SODA</v>
      </c>
      <c r="C51" s="9"/>
      <c r="D51" s="3">
        <f>0</f>
        <v>0</v>
      </c>
      <c r="E51" s="3"/>
      <c r="F51" s="26"/>
      <c r="G51" s="3"/>
      <c r="H51" s="3">
        <f>0</f>
        <v>0</v>
      </c>
      <c r="I51" s="3"/>
      <c r="J51" s="26"/>
      <c r="K51" s="3"/>
      <c r="L51" s="3">
        <f t="shared" si="4"/>
        <v>0</v>
      </c>
      <c r="M51" s="3"/>
      <c r="N51" s="26">
        <f t="shared" si="5"/>
        <v>0</v>
      </c>
      <c r="O51" s="9"/>
      <c r="P51" s="3">
        <f>0</f>
        <v>0</v>
      </c>
      <c r="Q51" s="3"/>
      <c r="R51" s="26"/>
      <c r="S51" s="3"/>
      <c r="T51" s="3">
        <f>--45.53</f>
        <v>45.53</v>
      </c>
      <c r="U51" s="3"/>
      <c r="V51" s="26"/>
      <c r="W51" s="3"/>
      <c r="X51" s="3">
        <f t="shared" si="6"/>
        <v>-45.53</v>
      </c>
      <c r="Y51" s="3"/>
      <c r="Z51" s="26">
        <f t="shared" si="7"/>
        <v>-1</v>
      </c>
    </row>
    <row r="52" spans="1:26" s="69" customFormat="1" ht="15" hidden="1" customHeight="1" outlineLevel="1" x14ac:dyDescent="0.3">
      <c r="A52" s="47"/>
      <c r="B52" s="9" t="str">
        <f>CONCATENATE("          ","4137"," - ","NON-TAXABLE SALES-WATER")</f>
        <v xml:space="preserve">          4137 - NON-TAXABLE SALES-WATER</v>
      </c>
      <c r="C52" s="9"/>
      <c r="D52" s="3">
        <f>0</f>
        <v>0</v>
      </c>
      <c r="E52" s="3"/>
      <c r="F52" s="26"/>
      <c r="G52" s="3"/>
      <c r="H52" s="3">
        <f>0</f>
        <v>0</v>
      </c>
      <c r="I52" s="3"/>
      <c r="J52" s="26"/>
      <c r="K52" s="3"/>
      <c r="L52" s="3">
        <f t="shared" si="4"/>
        <v>0</v>
      </c>
      <c r="M52" s="3"/>
      <c r="N52" s="26">
        <f t="shared" si="5"/>
        <v>0</v>
      </c>
      <c r="O52" s="9"/>
      <c r="P52" s="3">
        <f>0</f>
        <v>0</v>
      </c>
      <c r="Q52" s="3"/>
      <c r="R52" s="26"/>
      <c r="S52" s="3"/>
      <c r="T52" s="3">
        <f>--68.25</f>
        <v>68.25</v>
      </c>
      <c r="U52" s="3"/>
      <c r="V52" s="26"/>
      <c r="W52" s="3"/>
      <c r="X52" s="3">
        <f t="shared" si="6"/>
        <v>-68.25</v>
      </c>
      <c r="Y52" s="3"/>
      <c r="Z52" s="26">
        <f t="shared" si="7"/>
        <v>-1</v>
      </c>
    </row>
    <row r="53" spans="1:26" s="69" customFormat="1" ht="15" hidden="1" customHeight="1" outlineLevel="1" x14ac:dyDescent="0.3">
      <c r="A53" s="47"/>
      <c r="B53" s="9" t="str">
        <f>CONCATENATE("          ","4140"," - ","NON-TAXABLE SALES-LOGO CLOTHIN")</f>
        <v xml:space="preserve">          4140 - NON-TAXABLE SALES-LOGO CLOTHIN</v>
      </c>
      <c r="C53" s="9"/>
      <c r="D53" s="3">
        <f>0</f>
        <v>0</v>
      </c>
      <c r="E53" s="3"/>
      <c r="F53" s="26"/>
      <c r="G53" s="3"/>
      <c r="H53" s="3">
        <f>--9520.45</f>
        <v>9520.4500000000007</v>
      </c>
      <c r="I53" s="3"/>
      <c r="J53" s="26"/>
      <c r="K53" s="3"/>
      <c r="L53" s="3">
        <f t="shared" si="4"/>
        <v>-9520.4500000000007</v>
      </c>
      <c r="M53" s="3"/>
      <c r="N53" s="26">
        <f t="shared" si="5"/>
        <v>-1</v>
      </c>
      <c r="O53" s="9"/>
      <c r="P53" s="3">
        <f>0</f>
        <v>0</v>
      </c>
      <c r="Q53" s="3"/>
      <c r="R53" s="26"/>
      <c r="S53" s="3"/>
      <c r="T53" s="3">
        <f>--181046.21</f>
        <v>181046.21</v>
      </c>
      <c r="U53" s="3"/>
      <c r="V53" s="26"/>
      <c r="W53" s="3"/>
      <c r="X53" s="3">
        <f t="shared" si="6"/>
        <v>-181046.21</v>
      </c>
      <c r="Y53" s="3"/>
      <c r="Z53" s="26">
        <f t="shared" si="7"/>
        <v>-1</v>
      </c>
    </row>
    <row r="54" spans="1:26" s="69" customFormat="1" ht="15" hidden="1" customHeight="1" outlineLevel="1" x14ac:dyDescent="0.3">
      <c r="A54" s="47"/>
      <c r="B54" s="9" t="str">
        <f>CONCATENATE("          ","4141"," - ","NON-TAXABLE SALES-LOGO GIFTS")</f>
        <v xml:space="preserve">          4141 - NON-TAXABLE SALES-LOGO GIFTS</v>
      </c>
      <c r="C54" s="9"/>
      <c r="D54" s="3">
        <f>0</f>
        <v>0</v>
      </c>
      <c r="E54" s="3"/>
      <c r="F54" s="26"/>
      <c r="G54" s="3"/>
      <c r="H54" s="3">
        <f>-25127.54</f>
        <v>-25127.54</v>
      </c>
      <c r="I54" s="3"/>
      <c r="J54" s="26"/>
      <c r="K54" s="3"/>
      <c r="L54" s="3">
        <f t="shared" si="4"/>
        <v>25127.54</v>
      </c>
      <c r="M54" s="3"/>
      <c r="N54" s="26">
        <f t="shared" si="5"/>
        <v>-1</v>
      </c>
      <c r="O54" s="9"/>
      <c r="P54" s="3">
        <f>0</f>
        <v>0</v>
      </c>
      <c r="Q54" s="3"/>
      <c r="R54" s="26"/>
      <c r="S54" s="3"/>
      <c r="T54" s="3">
        <f>--14028.49</f>
        <v>14028.49</v>
      </c>
      <c r="U54" s="3"/>
      <c r="V54" s="26"/>
      <c r="W54" s="3"/>
      <c r="X54" s="3">
        <f t="shared" si="6"/>
        <v>-14028.49</v>
      </c>
      <c r="Y54" s="3"/>
      <c r="Z54" s="26">
        <f t="shared" si="7"/>
        <v>-1</v>
      </c>
    </row>
    <row r="55" spans="1:26" s="69" customFormat="1" ht="15" hidden="1" customHeight="1" outlineLevel="1" x14ac:dyDescent="0.3">
      <c r="A55" s="47"/>
      <c r="B55" s="9" t="str">
        <f>CONCATENATE("          ","4142"," - ","NON-TAXABLE SALES-EVERYDAY GIF")</f>
        <v xml:space="preserve">          4142 - NON-TAXABLE SALES-EVERYDAY GIF</v>
      </c>
      <c r="C55" s="9"/>
      <c r="D55" s="3">
        <f>0</f>
        <v>0</v>
      </c>
      <c r="E55" s="3"/>
      <c r="F55" s="26"/>
      <c r="G55" s="3"/>
      <c r="H55" s="3">
        <f>--54.07</f>
        <v>54.07</v>
      </c>
      <c r="I55" s="3"/>
      <c r="J55" s="26"/>
      <c r="K55" s="3"/>
      <c r="L55" s="3">
        <f t="shared" si="4"/>
        <v>-54.07</v>
      </c>
      <c r="M55" s="3"/>
      <c r="N55" s="26">
        <f t="shared" si="5"/>
        <v>-1</v>
      </c>
      <c r="O55" s="9"/>
      <c r="P55" s="3">
        <f>0</f>
        <v>0</v>
      </c>
      <c r="Q55" s="3"/>
      <c r="R55" s="26"/>
      <c r="S55" s="3"/>
      <c r="T55" s="3">
        <f>--2658.52</f>
        <v>2658.52</v>
      </c>
      <c r="U55" s="3"/>
      <c r="V55" s="26"/>
      <c r="W55" s="3"/>
      <c r="X55" s="3">
        <f t="shared" si="6"/>
        <v>-2658.52</v>
      </c>
      <c r="Y55" s="3"/>
      <c r="Z55" s="26">
        <f t="shared" si="7"/>
        <v>-1</v>
      </c>
    </row>
    <row r="56" spans="1:26" s="69" customFormat="1" ht="15" hidden="1" customHeight="1" outlineLevel="1" x14ac:dyDescent="0.3">
      <c r="A56" s="47"/>
      <c r="B56" s="9" t="str">
        <f>CONCATENATE("          ","4143"," - ","NON-TAXABLE SALES-CARDS")</f>
        <v xml:space="preserve">          4143 - NON-TAXABLE SALES-CARDS</v>
      </c>
      <c r="C56" s="9"/>
      <c r="D56" s="3">
        <f>0</f>
        <v>0</v>
      </c>
      <c r="E56" s="3"/>
      <c r="F56" s="26"/>
      <c r="G56" s="3"/>
      <c r="H56" s="3">
        <f>--9.95</f>
        <v>9.9499999999999993</v>
      </c>
      <c r="I56" s="3"/>
      <c r="J56" s="26"/>
      <c r="K56" s="3"/>
      <c r="L56" s="3">
        <f t="shared" si="4"/>
        <v>-9.9499999999999993</v>
      </c>
      <c r="M56" s="3"/>
      <c r="N56" s="26">
        <f t="shared" si="5"/>
        <v>-1</v>
      </c>
      <c r="O56" s="9"/>
      <c r="P56" s="3">
        <f>0</f>
        <v>0</v>
      </c>
      <c r="Q56" s="3"/>
      <c r="R56" s="26"/>
      <c r="S56" s="3"/>
      <c r="T56" s="3">
        <f>--2562.11</f>
        <v>2562.11</v>
      </c>
      <c r="U56" s="3"/>
      <c r="V56" s="26"/>
      <c r="W56" s="3"/>
      <c r="X56" s="3">
        <f t="shared" si="6"/>
        <v>-2562.11</v>
      </c>
      <c r="Y56" s="3"/>
      <c r="Z56" s="26">
        <f t="shared" si="7"/>
        <v>-1</v>
      </c>
    </row>
    <row r="57" spans="1:26" s="69" customFormat="1" ht="15" hidden="1" customHeight="1" outlineLevel="1" x14ac:dyDescent="0.3">
      <c r="A57" s="47"/>
      <c r="B57" s="9" t="str">
        <f>CONCATENATE("          ","4144"," - ","NON-TAXABLE SALES-ACCESSORIES")</f>
        <v xml:space="preserve">          4144 - NON-TAXABLE SALES-ACCESSORIES</v>
      </c>
      <c r="C57" s="9"/>
      <c r="D57" s="3">
        <f>0</f>
        <v>0</v>
      </c>
      <c r="E57" s="3"/>
      <c r="F57" s="26"/>
      <c r="G57" s="3"/>
      <c r="H57" s="3">
        <f>--129.75</f>
        <v>129.75</v>
      </c>
      <c r="I57" s="3"/>
      <c r="J57" s="26"/>
      <c r="K57" s="3"/>
      <c r="L57" s="3">
        <f t="shared" si="4"/>
        <v>-129.75</v>
      </c>
      <c r="M57" s="3"/>
      <c r="N57" s="26">
        <f t="shared" si="5"/>
        <v>-1</v>
      </c>
      <c r="O57" s="9"/>
      <c r="P57" s="3">
        <f>0</f>
        <v>0</v>
      </c>
      <c r="Q57" s="3"/>
      <c r="R57" s="26"/>
      <c r="S57" s="3"/>
      <c r="T57" s="3">
        <f>--1003.55</f>
        <v>1003.55</v>
      </c>
      <c r="U57" s="3"/>
      <c r="V57" s="26"/>
      <c r="W57" s="3"/>
      <c r="X57" s="3">
        <f t="shared" si="6"/>
        <v>-1003.55</v>
      </c>
      <c r="Y57" s="3"/>
      <c r="Z57" s="26">
        <f t="shared" si="7"/>
        <v>-1</v>
      </c>
    </row>
    <row r="58" spans="1:26" s="69" customFormat="1" ht="15" hidden="1" customHeight="1" outlineLevel="1" x14ac:dyDescent="0.3">
      <c r="A58" s="47"/>
      <c r="B58" s="9" t="str">
        <f>CONCATENATE("          ","4145"," - ","NON-TAXABLE SALES-SPECIAL ORDE")</f>
        <v xml:space="preserve">          4145 - NON-TAXABLE SALES-SPECIAL ORDE</v>
      </c>
      <c r="C58" s="9"/>
      <c r="D58" s="3">
        <f>0</f>
        <v>0</v>
      </c>
      <c r="E58" s="3"/>
      <c r="F58" s="26"/>
      <c r="G58" s="3"/>
      <c r="H58" s="3">
        <f>--30</f>
        <v>30</v>
      </c>
      <c r="I58" s="3"/>
      <c r="J58" s="26"/>
      <c r="K58" s="3"/>
      <c r="L58" s="3">
        <f t="shared" si="4"/>
        <v>-30</v>
      </c>
      <c r="M58" s="3"/>
      <c r="N58" s="26">
        <f t="shared" si="5"/>
        <v>-1</v>
      </c>
      <c r="O58" s="9"/>
      <c r="P58" s="3">
        <f>0</f>
        <v>0</v>
      </c>
      <c r="Q58" s="3"/>
      <c r="R58" s="26"/>
      <c r="S58" s="3"/>
      <c r="T58" s="3">
        <f>--74096.89</f>
        <v>74096.89</v>
      </c>
      <c r="U58" s="3"/>
      <c r="V58" s="26"/>
      <c r="W58" s="3"/>
      <c r="X58" s="3">
        <f t="shared" si="6"/>
        <v>-74096.89</v>
      </c>
      <c r="Y58" s="3"/>
      <c r="Z58" s="26">
        <f t="shared" si="7"/>
        <v>-1</v>
      </c>
    </row>
    <row r="59" spans="1:26" s="69" customFormat="1" ht="15" hidden="1" customHeight="1" outlineLevel="1" x14ac:dyDescent="0.3">
      <c r="A59" s="47"/>
      <c r="B59" s="9" t="str">
        <f>CONCATENATE("          ","4146"," - ","NON-TAXABLE SALES-COIN OP MACH")</f>
        <v xml:space="preserve">          4146 - NON-TAXABLE SALES-COIN OP MACH</v>
      </c>
      <c r="C59" s="9"/>
      <c r="D59" s="3">
        <f>0</f>
        <v>0</v>
      </c>
      <c r="E59" s="3"/>
      <c r="F59" s="26"/>
      <c r="G59" s="3"/>
      <c r="H59" s="3">
        <f>--282.2</f>
        <v>282.2</v>
      </c>
      <c r="I59" s="3"/>
      <c r="J59" s="26"/>
      <c r="K59" s="3"/>
      <c r="L59" s="3">
        <f t="shared" si="4"/>
        <v>-282.2</v>
      </c>
      <c r="M59" s="3"/>
      <c r="N59" s="26">
        <f t="shared" si="5"/>
        <v>-1</v>
      </c>
      <c r="O59" s="9"/>
      <c r="P59" s="3">
        <f>0</f>
        <v>0</v>
      </c>
      <c r="Q59" s="3"/>
      <c r="R59" s="26"/>
      <c r="S59" s="3"/>
      <c r="T59" s="3">
        <f>--668.1</f>
        <v>668.1</v>
      </c>
      <c r="U59" s="3"/>
      <c r="V59" s="26"/>
      <c r="W59" s="3"/>
      <c r="X59" s="3">
        <f t="shared" si="6"/>
        <v>-668.1</v>
      </c>
      <c r="Y59" s="3"/>
      <c r="Z59" s="26">
        <f t="shared" si="7"/>
        <v>-1</v>
      </c>
    </row>
    <row r="60" spans="1:26" s="69" customFormat="1" ht="15" hidden="1" customHeight="1" outlineLevel="1" x14ac:dyDescent="0.3">
      <c r="A60" s="47"/>
      <c r="B60" s="9" t="str">
        <f>CONCATENATE("          ","4147"," - ","NON-TAXABLE SALES-MISC")</f>
        <v xml:space="preserve">          4147 - NON-TAXABLE SALES-MISC</v>
      </c>
      <c r="C60" s="9"/>
      <c r="D60" s="3">
        <f>0</f>
        <v>0</v>
      </c>
      <c r="E60" s="3"/>
      <c r="F60" s="26"/>
      <c r="G60" s="3"/>
      <c r="H60" s="3">
        <f>--4</f>
        <v>4</v>
      </c>
      <c r="I60" s="3"/>
      <c r="J60" s="26"/>
      <c r="K60" s="3"/>
      <c r="L60" s="3">
        <f t="shared" si="4"/>
        <v>-4</v>
      </c>
      <c r="M60" s="3"/>
      <c r="N60" s="26">
        <f t="shared" si="5"/>
        <v>-1</v>
      </c>
      <c r="O60" s="9"/>
      <c r="P60" s="3">
        <f>0</f>
        <v>0</v>
      </c>
      <c r="Q60" s="3"/>
      <c r="R60" s="26"/>
      <c r="S60" s="3"/>
      <c r="T60" s="3">
        <f>--172</f>
        <v>172</v>
      </c>
      <c r="U60" s="3"/>
      <c r="V60" s="26"/>
      <c r="W60" s="3"/>
      <c r="X60" s="3">
        <f t="shared" si="6"/>
        <v>-172</v>
      </c>
      <c r="Y60" s="3"/>
      <c r="Z60" s="26">
        <f t="shared" si="7"/>
        <v>-1</v>
      </c>
    </row>
    <row r="61" spans="1:26" s="69" customFormat="1" ht="15" hidden="1" customHeight="1" outlineLevel="1" x14ac:dyDescent="0.3">
      <c r="A61" s="47"/>
      <c r="B61" s="9" t="str">
        <f>CONCATENATE("          ","4151"," - ","NON-TAXABLE SALES-FOOD")</f>
        <v xml:space="preserve">          4151 - NON-TAXABLE SALES-FOOD</v>
      </c>
      <c r="C61" s="9"/>
      <c r="D61" s="3">
        <f>0</f>
        <v>0</v>
      </c>
      <c r="E61" s="3"/>
      <c r="F61" s="26"/>
      <c r="G61" s="3"/>
      <c r="H61" s="3">
        <f>0</f>
        <v>0</v>
      </c>
      <c r="I61" s="3"/>
      <c r="J61" s="26"/>
      <c r="K61" s="3"/>
      <c r="L61" s="3">
        <f t="shared" si="4"/>
        <v>0</v>
      </c>
      <c r="M61" s="3"/>
      <c r="N61" s="26">
        <f t="shared" si="5"/>
        <v>0</v>
      </c>
      <c r="O61" s="9"/>
      <c r="P61" s="3">
        <f>--206.32</f>
        <v>206.32</v>
      </c>
      <c r="Q61" s="3"/>
      <c r="R61" s="26"/>
      <c r="S61" s="3"/>
      <c r="T61" s="3">
        <f>0</f>
        <v>0</v>
      </c>
      <c r="U61" s="3"/>
      <c r="V61" s="26"/>
      <c r="W61" s="3"/>
      <c r="X61" s="3">
        <f t="shared" si="6"/>
        <v>206.32</v>
      </c>
      <c r="Y61" s="3"/>
      <c r="Z61" s="26">
        <f t="shared" si="7"/>
        <v>0</v>
      </c>
    </row>
    <row r="62" spans="1:26" s="69" customFormat="1" ht="15" hidden="1" customHeight="1" outlineLevel="1" x14ac:dyDescent="0.3">
      <c r="A62" s="47"/>
      <c r="B62" s="9" t="str">
        <f>CONCATENATE("          ","4153"," - ","NON-TAXABLE SALES-FOOD")</f>
        <v xml:space="preserve">          4153 - NON-TAXABLE SALES-FOOD</v>
      </c>
      <c r="C62" s="9"/>
      <c r="D62" s="3">
        <f>0</f>
        <v>0</v>
      </c>
      <c r="E62" s="3"/>
      <c r="F62" s="26"/>
      <c r="G62" s="3"/>
      <c r="H62" s="3">
        <f>--34.05</f>
        <v>34.049999999999997</v>
      </c>
      <c r="I62" s="3"/>
      <c r="J62" s="26"/>
      <c r="K62" s="3"/>
      <c r="L62" s="3">
        <f t="shared" si="4"/>
        <v>-34.049999999999997</v>
      </c>
      <c r="M62" s="3"/>
      <c r="N62" s="26">
        <f t="shared" si="5"/>
        <v>-1</v>
      </c>
      <c r="O62" s="9"/>
      <c r="P62" s="3">
        <f>0</f>
        <v>0</v>
      </c>
      <c r="Q62" s="3"/>
      <c r="R62" s="26"/>
      <c r="S62" s="3"/>
      <c r="T62" s="3">
        <f>--434.5</f>
        <v>434.5</v>
      </c>
      <c r="U62" s="3"/>
      <c r="V62" s="26"/>
      <c r="W62" s="3"/>
      <c r="X62" s="3">
        <f t="shared" si="6"/>
        <v>-434.5</v>
      </c>
      <c r="Y62" s="3"/>
      <c r="Z62" s="26">
        <f t="shared" si="7"/>
        <v>-1</v>
      </c>
    </row>
    <row r="63" spans="1:26" s="69" customFormat="1" ht="15" hidden="1" customHeight="1" outlineLevel="1" x14ac:dyDescent="0.3">
      <c r="A63" s="47"/>
      <c r="B63" s="9" t="str">
        <f>CONCATENATE("          ","4200"," - ","TAXABLE RETURNS")</f>
        <v xml:space="preserve">          4200 - TAXABLE RETURNS</v>
      </c>
      <c r="C63" s="9"/>
      <c r="D63" s="3">
        <f>-20727.59</f>
        <v>-20727.59</v>
      </c>
      <c r="E63" s="3"/>
      <c r="F63" s="26"/>
      <c r="G63" s="3"/>
      <c r="H63" s="3">
        <f>0</f>
        <v>0</v>
      </c>
      <c r="I63" s="3"/>
      <c r="J63" s="26"/>
      <c r="K63" s="3"/>
      <c r="L63" s="3">
        <f t="shared" si="4"/>
        <v>-20727.59</v>
      </c>
      <c r="M63" s="3"/>
      <c r="N63" s="26">
        <f t="shared" si="5"/>
        <v>0</v>
      </c>
      <c r="O63" s="9"/>
      <c r="P63" s="3">
        <f>-236811.43</f>
        <v>-236811.43</v>
      </c>
      <c r="Q63" s="3"/>
      <c r="R63" s="26"/>
      <c r="S63" s="3"/>
      <c r="T63" s="3">
        <f>0</f>
        <v>0</v>
      </c>
      <c r="U63" s="3"/>
      <c r="V63" s="26"/>
      <c r="W63" s="3"/>
      <c r="X63" s="3">
        <f t="shared" si="6"/>
        <v>-236811.43</v>
      </c>
      <c r="Y63" s="3"/>
      <c r="Z63" s="26">
        <f t="shared" si="7"/>
        <v>0</v>
      </c>
    </row>
    <row r="64" spans="1:26" s="69" customFormat="1" ht="15" hidden="1" customHeight="1" outlineLevel="1" x14ac:dyDescent="0.3">
      <c r="A64" s="47"/>
      <c r="B64" s="9" t="str">
        <f>CONCATENATE("          ","4201"," - ","SALES RETURN TAXABLE-NEW TEXT")</f>
        <v xml:space="preserve">          4201 - SALES RETURN TAXABLE-NEW TEXT</v>
      </c>
      <c r="C64" s="9"/>
      <c r="D64" s="3">
        <f>0</f>
        <v>0</v>
      </c>
      <c r="E64" s="3"/>
      <c r="F64" s="26"/>
      <c r="G64" s="3"/>
      <c r="H64" s="3">
        <f>-1101.25</f>
        <v>-1101.25</v>
      </c>
      <c r="I64" s="3"/>
      <c r="J64" s="26"/>
      <c r="K64" s="3"/>
      <c r="L64" s="3">
        <f t="shared" si="4"/>
        <v>1101.25</v>
      </c>
      <c r="M64" s="3"/>
      <c r="N64" s="26">
        <f t="shared" si="5"/>
        <v>-1</v>
      </c>
      <c r="O64" s="9"/>
      <c r="P64" s="3">
        <f>0</f>
        <v>0</v>
      </c>
      <c r="Q64" s="3"/>
      <c r="R64" s="26"/>
      <c r="S64" s="3"/>
      <c r="T64" s="3">
        <f>-53397.67</f>
        <v>-53397.67</v>
      </c>
      <c r="U64" s="3"/>
      <c r="V64" s="26"/>
      <c r="W64" s="3"/>
      <c r="X64" s="3">
        <f t="shared" si="6"/>
        <v>53397.67</v>
      </c>
      <c r="Y64" s="3"/>
      <c r="Z64" s="26">
        <f t="shared" si="7"/>
        <v>-1</v>
      </c>
    </row>
    <row r="65" spans="1:26" s="69" customFormat="1" ht="15" hidden="1" customHeight="1" outlineLevel="1" x14ac:dyDescent="0.3">
      <c r="A65" s="47"/>
      <c r="B65" s="9" t="str">
        <f>CONCATENATE("          ","4202"," - ","SALES RETURN TAXABLE-USED TEXT")</f>
        <v xml:space="preserve">          4202 - SALES RETURN TAXABLE-USED TEXT</v>
      </c>
      <c r="C65" s="9"/>
      <c r="D65" s="3">
        <f>0</f>
        <v>0</v>
      </c>
      <c r="E65" s="3"/>
      <c r="F65" s="26"/>
      <c r="G65" s="3"/>
      <c r="H65" s="3">
        <f>-433.75</f>
        <v>-433.75</v>
      </c>
      <c r="I65" s="3"/>
      <c r="J65" s="26"/>
      <c r="K65" s="3"/>
      <c r="L65" s="3">
        <f t="shared" si="4"/>
        <v>433.75</v>
      </c>
      <c r="M65" s="3"/>
      <c r="N65" s="26">
        <f t="shared" si="5"/>
        <v>-1</v>
      </c>
      <c r="O65" s="9"/>
      <c r="P65" s="3">
        <f>0</f>
        <v>0</v>
      </c>
      <c r="Q65" s="3"/>
      <c r="R65" s="26"/>
      <c r="S65" s="3"/>
      <c r="T65" s="3">
        <f>-20889.41</f>
        <v>-20889.41</v>
      </c>
      <c r="U65" s="3"/>
      <c r="V65" s="26"/>
      <c r="W65" s="3"/>
      <c r="X65" s="3">
        <f t="shared" si="6"/>
        <v>20889.41</v>
      </c>
      <c r="Y65" s="3"/>
      <c r="Z65" s="26">
        <f t="shared" si="7"/>
        <v>-1</v>
      </c>
    </row>
    <row r="66" spans="1:26" s="69" customFormat="1" ht="15" hidden="1" customHeight="1" outlineLevel="1" x14ac:dyDescent="0.3">
      <c r="A66" s="47"/>
      <c r="B66" s="9" t="str">
        <f>CONCATENATE("          ","4204"," - ","SALES RETURN TAXABLE-DIGITAL T")</f>
        <v xml:space="preserve">          4204 - SALES RETURN TAXABLE-DIGITAL T</v>
      </c>
      <c r="C66" s="9"/>
      <c r="D66" s="3">
        <f>0</f>
        <v>0</v>
      </c>
      <c r="E66" s="3"/>
      <c r="F66" s="26"/>
      <c r="G66" s="3"/>
      <c r="H66" s="3">
        <f>0</f>
        <v>0</v>
      </c>
      <c r="I66" s="3"/>
      <c r="J66" s="26"/>
      <c r="K66" s="3"/>
      <c r="L66" s="3">
        <f t="shared" si="4"/>
        <v>0</v>
      </c>
      <c r="M66" s="3"/>
      <c r="N66" s="26">
        <f t="shared" si="5"/>
        <v>0</v>
      </c>
      <c r="O66" s="9"/>
      <c r="P66" s="3">
        <f>0</f>
        <v>0</v>
      </c>
      <c r="Q66" s="3"/>
      <c r="R66" s="26"/>
      <c r="S66" s="3"/>
      <c r="T66" s="3">
        <f>-1763.1</f>
        <v>-1763.1</v>
      </c>
      <c r="U66" s="3"/>
      <c r="V66" s="26"/>
      <c r="W66" s="3"/>
      <c r="X66" s="3">
        <f t="shared" si="6"/>
        <v>1763.1</v>
      </c>
      <c r="Y66" s="3"/>
      <c r="Z66" s="26">
        <f t="shared" si="7"/>
        <v>-1</v>
      </c>
    </row>
    <row r="67" spans="1:26" s="69" customFormat="1" ht="15" hidden="1" customHeight="1" outlineLevel="1" x14ac:dyDescent="0.3">
      <c r="A67" s="47"/>
      <c r="B67" s="9" t="str">
        <f>CONCATENATE("          ","4213"," - ","NON-TAXABLE SALES-TRADE BOOKS")</f>
        <v xml:space="preserve">          4213 - NON-TAXABLE SALES-TRADE BOOKS</v>
      </c>
      <c r="C67" s="9"/>
      <c r="D67" s="3">
        <f>0</f>
        <v>0</v>
      </c>
      <c r="E67" s="3"/>
      <c r="F67" s="26"/>
      <c r="G67" s="3"/>
      <c r="H67" s="3">
        <f>-25</f>
        <v>-25</v>
      </c>
      <c r="I67" s="3"/>
      <c r="J67" s="26"/>
      <c r="K67" s="3"/>
      <c r="L67" s="3">
        <f t="shared" si="4"/>
        <v>25</v>
      </c>
      <c r="M67" s="3"/>
      <c r="N67" s="26">
        <f t="shared" si="5"/>
        <v>-1</v>
      </c>
      <c r="O67" s="9"/>
      <c r="P67" s="3">
        <f>0</f>
        <v>0</v>
      </c>
      <c r="Q67" s="3"/>
      <c r="R67" s="26"/>
      <c r="S67" s="3"/>
      <c r="T67" s="3">
        <f>-103.92</f>
        <v>-103.92</v>
      </c>
      <c r="U67" s="3"/>
      <c r="V67" s="26"/>
      <c r="W67" s="3"/>
      <c r="X67" s="3">
        <f t="shared" si="6"/>
        <v>103.92</v>
      </c>
      <c r="Y67" s="3"/>
      <c r="Z67" s="26">
        <f t="shared" si="7"/>
        <v>-1</v>
      </c>
    </row>
    <row r="68" spans="1:26" s="69" customFormat="1" ht="15" hidden="1" customHeight="1" outlineLevel="1" x14ac:dyDescent="0.3">
      <c r="A68" s="47"/>
      <c r="B68" s="9" t="str">
        <f>CONCATENATE("          ","4218"," - ","SALES RETURN TAXABLE-STUDY GUI")</f>
        <v xml:space="preserve">          4218 - SALES RETURN TAXABLE-STUDY GUI</v>
      </c>
      <c r="C68" s="9"/>
      <c r="D68" s="3">
        <f>0</f>
        <v>0</v>
      </c>
      <c r="E68" s="3"/>
      <c r="F68" s="26"/>
      <c r="G68" s="3"/>
      <c r="H68" s="3">
        <f>-23.44</f>
        <v>-23.44</v>
      </c>
      <c r="I68" s="3"/>
      <c r="J68" s="26"/>
      <c r="K68" s="3"/>
      <c r="L68" s="3">
        <f t="shared" si="4"/>
        <v>23.44</v>
      </c>
      <c r="M68" s="3"/>
      <c r="N68" s="26">
        <f t="shared" si="5"/>
        <v>-1</v>
      </c>
      <c r="O68" s="9"/>
      <c r="P68" s="3">
        <f>0</f>
        <v>0</v>
      </c>
      <c r="Q68" s="3"/>
      <c r="R68" s="26"/>
      <c r="S68" s="3"/>
      <c r="T68" s="3">
        <f>-28.65</f>
        <v>-28.65</v>
      </c>
      <c r="U68" s="3"/>
      <c r="V68" s="26"/>
      <c r="W68" s="3"/>
      <c r="X68" s="3">
        <f t="shared" si="6"/>
        <v>28.65</v>
      </c>
      <c r="Y68" s="3"/>
      <c r="Z68" s="26">
        <f t="shared" si="7"/>
        <v>-1</v>
      </c>
    </row>
    <row r="69" spans="1:26" s="69" customFormat="1" ht="15" hidden="1" customHeight="1" outlineLevel="1" x14ac:dyDescent="0.3">
      <c r="A69" s="47"/>
      <c r="B69" s="9" t="str">
        <f>CONCATENATE("          ","4226"," - ","SALES RETURN TAXABLE-WRITING I")</f>
        <v xml:space="preserve">          4226 - SALES RETURN TAXABLE-WRITING I</v>
      </c>
      <c r="C69" s="9"/>
      <c r="D69" s="3">
        <f>0</f>
        <v>0</v>
      </c>
      <c r="E69" s="3"/>
      <c r="F69" s="26"/>
      <c r="G69" s="3"/>
      <c r="H69" s="3">
        <f>0</f>
        <v>0</v>
      </c>
      <c r="I69" s="3"/>
      <c r="J69" s="26"/>
      <c r="K69" s="3"/>
      <c r="L69" s="3">
        <f t="shared" si="4"/>
        <v>0</v>
      </c>
      <c r="M69" s="3"/>
      <c r="N69" s="26">
        <f t="shared" si="5"/>
        <v>0</v>
      </c>
      <c r="O69" s="9"/>
      <c r="P69" s="3">
        <f>0</f>
        <v>0</v>
      </c>
      <c r="Q69" s="3"/>
      <c r="R69" s="26"/>
      <c r="S69" s="3"/>
      <c r="T69" s="3">
        <f>-35.02</f>
        <v>-35.020000000000003</v>
      </c>
      <c r="U69" s="3"/>
      <c r="V69" s="26"/>
      <c r="W69" s="3"/>
      <c r="X69" s="3">
        <f t="shared" si="6"/>
        <v>35.020000000000003</v>
      </c>
      <c r="Y69" s="3"/>
      <c r="Z69" s="26">
        <f t="shared" si="7"/>
        <v>-1</v>
      </c>
    </row>
    <row r="70" spans="1:26" s="69" customFormat="1" ht="15" hidden="1" customHeight="1" outlineLevel="1" x14ac:dyDescent="0.3">
      <c r="A70" s="47"/>
      <c r="B70" s="9" t="str">
        <f>CONCATENATE("          ","4227"," - ","SALES RETURN TAXABLE-SCHOOL SU")</f>
        <v xml:space="preserve">          4227 - SALES RETURN TAXABLE-SCHOOL SU</v>
      </c>
      <c r="C70" s="9"/>
      <c r="D70" s="3">
        <f>0</f>
        <v>0</v>
      </c>
      <c r="E70" s="3"/>
      <c r="F70" s="26"/>
      <c r="G70" s="3"/>
      <c r="H70" s="3">
        <f>-80.63</f>
        <v>-80.63</v>
      </c>
      <c r="I70" s="3"/>
      <c r="J70" s="26"/>
      <c r="K70" s="3"/>
      <c r="L70" s="3">
        <f t="shared" si="4"/>
        <v>80.63</v>
      </c>
      <c r="M70" s="3"/>
      <c r="N70" s="26">
        <f t="shared" si="5"/>
        <v>-1</v>
      </c>
      <c r="O70" s="9"/>
      <c r="P70" s="3">
        <f>0</f>
        <v>0</v>
      </c>
      <c r="Q70" s="3"/>
      <c r="R70" s="26"/>
      <c r="S70" s="3"/>
      <c r="T70" s="3">
        <f>-1565.11</f>
        <v>-1565.11</v>
      </c>
      <c r="U70" s="3"/>
      <c r="V70" s="26"/>
      <c r="W70" s="3"/>
      <c r="X70" s="3">
        <f t="shared" si="6"/>
        <v>1565.11</v>
      </c>
      <c r="Y70" s="3"/>
      <c r="Z70" s="26">
        <f t="shared" si="7"/>
        <v>-1</v>
      </c>
    </row>
    <row r="71" spans="1:26" s="69" customFormat="1" ht="15" hidden="1" customHeight="1" outlineLevel="1" x14ac:dyDescent="0.3">
      <c r="A71" s="47"/>
      <c r="B71" s="9" t="str">
        <f>CONCATENATE("          ","4228"," - ","SALES RETURN TAXABLE-ART/TECH")</f>
        <v xml:space="preserve">          4228 - SALES RETURN TAXABLE-ART/TECH</v>
      </c>
      <c r="C71" s="9"/>
      <c r="D71" s="3">
        <f>0</f>
        <v>0</v>
      </c>
      <c r="E71" s="3"/>
      <c r="F71" s="26"/>
      <c r="G71" s="3"/>
      <c r="H71" s="3">
        <f>-105.6</f>
        <v>-105.6</v>
      </c>
      <c r="I71" s="3"/>
      <c r="J71" s="26"/>
      <c r="K71" s="3"/>
      <c r="L71" s="3">
        <f t="shared" si="4"/>
        <v>105.6</v>
      </c>
      <c r="M71" s="3"/>
      <c r="N71" s="26">
        <f t="shared" si="5"/>
        <v>-1</v>
      </c>
      <c r="O71" s="9"/>
      <c r="P71" s="3">
        <f>0</f>
        <v>0</v>
      </c>
      <c r="Q71" s="3"/>
      <c r="R71" s="26"/>
      <c r="S71" s="3"/>
      <c r="T71" s="3">
        <f>-13079.33</f>
        <v>-13079.33</v>
      </c>
      <c r="U71" s="3"/>
      <c r="V71" s="26"/>
      <c r="W71" s="3"/>
      <c r="X71" s="3">
        <f t="shared" si="6"/>
        <v>13079.33</v>
      </c>
      <c r="Y71" s="3"/>
      <c r="Z71" s="26">
        <f t="shared" si="7"/>
        <v>-1</v>
      </c>
    </row>
    <row r="72" spans="1:26" s="69" customFormat="1" ht="15" hidden="1" customHeight="1" outlineLevel="1" x14ac:dyDescent="0.3">
      <c r="A72" s="47"/>
      <c r="B72" s="9" t="str">
        <f>CONCATENATE("          ","4240"," - ","SALES RETURN TAXABLE-LOGO CLOT")</f>
        <v xml:space="preserve">          4240 - SALES RETURN TAXABLE-LOGO CLOT</v>
      </c>
      <c r="C72" s="9"/>
      <c r="D72" s="3">
        <f>0</f>
        <v>0</v>
      </c>
      <c r="E72" s="3"/>
      <c r="F72" s="26"/>
      <c r="G72" s="3"/>
      <c r="H72" s="3">
        <f>-4795.71</f>
        <v>-4795.71</v>
      </c>
      <c r="I72" s="3"/>
      <c r="J72" s="26"/>
      <c r="K72" s="3"/>
      <c r="L72" s="3">
        <f t="shared" si="4"/>
        <v>4795.71</v>
      </c>
      <c r="M72" s="3"/>
      <c r="N72" s="26">
        <f t="shared" si="5"/>
        <v>-1</v>
      </c>
      <c r="O72" s="9"/>
      <c r="P72" s="3">
        <f>0</f>
        <v>0</v>
      </c>
      <c r="Q72" s="3"/>
      <c r="R72" s="26"/>
      <c r="S72" s="3"/>
      <c r="T72" s="3">
        <f>-51889.15</f>
        <v>-51889.15</v>
      </c>
      <c r="U72" s="3"/>
      <c r="V72" s="26"/>
      <c r="W72" s="3"/>
      <c r="X72" s="3">
        <f t="shared" si="6"/>
        <v>51889.15</v>
      </c>
      <c r="Y72" s="3"/>
      <c r="Z72" s="26">
        <f t="shared" si="7"/>
        <v>-1</v>
      </c>
    </row>
    <row r="73" spans="1:26" s="69" customFormat="1" ht="15" hidden="1" customHeight="1" outlineLevel="1" x14ac:dyDescent="0.3">
      <c r="A73" s="47"/>
      <c r="B73" s="9" t="str">
        <f>CONCATENATE("          ","4241"," - ","SALES RETURN TAXABLE-LOGO GIFT")</f>
        <v xml:space="preserve">          4241 - SALES RETURN TAXABLE-LOGO GIFT</v>
      </c>
      <c r="C73" s="9"/>
      <c r="D73" s="3">
        <f>0</f>
        <v>0</v>
      </c>
      <c r="E73" s="3"/>
      <c r="F73" s="26"/>
      <c r="G73" s="3"/>
      <c r="H73" s="3">
        <f>-1907.39</f>
        <v>-1907.39</v>
      </c>
      <c r="I73" s="3"/>
      <c r="J73" s="26"/>
      <c r="K73" s="3"/>
      <c r="L73" s="3">
        <f t="shared" si="4"/>
        <v>1907.39</v>
      </c>
      <c r="M73" s="3"/>
      <c r="N73" s="26">
        <f t="shared" si="5"/>
        <v>-1</v>
      </c>
      <c r="O73" s="9"/>
      <c r="P73" s="3">
        <f>0</f>
        <v>0</v>
      </c>
      <c r="Q73" s="3"/>
      <c r="R73" s="26"/>
      <c r="S73" s="3"/>
      <c r="T73" s="3">
        <f>-18587.93</f>
        <v>-18587.93</v>
      </c>
      <c r="U73" s="3"/>
      <c r="V73" s="26"/>
      <c r="W73" s="3"/>
      <c r="X73" s="3">
        <f t="shared" si="6"/>
        <v>18587.93</v>
      </c>
      <c r="Y73" s="3"/>
      <c r="Z73" s="26">
        <f t="shared" si="7"/>
        <v>-1</v>
      </c>
    </row>
    <row r="74" spans="1:26" s="69" customFormat="1" ht="15" hidden="1" customHeight="1" outlineLevel="1" x14ac:dyDescent="0.3">
      <c r="A74" s="47"/>
      <c r="B74" s="9" t="str">
        <f>CONCATENATE("          ","4242"," - ","SALES RETURN TAXABLE-EVERYDAY")</f>
        <v xml:space="preserve">          4242 - SALES RETURN TAXABLE-EVERYDAY</v>
      </c>
      <c r="C74" s="9"/>
      <c r="D74" s="3">
        <f>0</f>
        <v>0</v>
      </c>
      <c r="E74" s="3"/>
      <c r="F74" s="26"/>
      <c r="G74" s="3"/>
      <c r="H74" s="3">
        <f>-131.98</f>
        <v>-131.97999999999999</v>
      </c>
      <c r="I74" s="3"/>
      <c r="J74" s="26"/>
      <c r="K74" s="3"/>
      <c r="L74" s="3">
        <f t="shared" si="4"/>
        <v>131.97999999999999</v>
      </c>
      <c r="M74" s="3"/>
      <c r="N74" s="26">
        <f t="shared" si="5"/>
        <v>-1</v>
      </c>
      <c r="O74" s="9"/>
      <c r="P74" s="3">
        <f>0</f>
        <v>0</v>
      </c>
      <c r="Q74" s="3"/>
      <c r="R74" s="26"/>
      <c r="S74" s="3"/>
      <c r="T74" s="3">
        <f>-2875.07</f>
        <v>-2875.07</v>
      </c>
      <c r="U74" s="3"/>
      <c r="V74" s="26"/>
      <c r="W74" s="3"/>
      <c r="X74" s="3">
        <f t="shared" si="6"/>
        <v>2875.07</v>
      </c>
      <c r="Y74" s="3"/>
      <c r="Z74" s="26">
        <f t="shared" si="7"/>
        <v>-1</v>
      </c>
    </row>
    <row r="75" spans="1:26" s="69" customFormat="1" ht="15" hidden="1" customHeight="1" outlineLevel="1" x14ac:dyDescent="0.3">
      <c r="A75" s="47"/>
      <c r="B75" s="9" t="str">
        <f>CONCATENATE("          ","4243"," - ","SALES RETURN TAXABLE-CARDS")</f>
        <v xml:space="preserve">          4243 - SALES RETURN TAXABLE-CARDS</v>
      </c>
      <c r="C75" s="9"/>
      <c r="D75" s="3">
        <f>0</f>
        <v>0</v>
      </c>
      <c r="E75" s="3"/>
      <c r="F75" s="26"/>
      <c r="G75" s="3"/>
      <c r="H75" s="3">
        <f>-9.99</f>
        <v>-9.99</v>
      </c>
      <c r="I75" s="3"/>
      <c r="J75" s="26"/>
      <c r="K75" s="3"/>
      <c r="L75" s="3">
        <f t="shared" si="4"/>
        <v>9.99</v>
      </c>
      <c r="M75" s="3"/>
      <c r="N75" s="26">
        <f t="shared" si="5"/>
        <v>-1</v>
      </c>
      <c r="O75" s="9"/>
      <c r="P75" s="3">
        <f>0</f>
        <v>0</v>
      </c>
      <c r="Q75" s="3"/>
      <c r="R75" s="26"/>
      <c r="S75" s="3"/>
      <c r="T75" s="3">
        <f>-6228.98</f>
        <v>-6228.98</v>
      </c>
      <c r="U75" s="3"/>
      <c r="V75" s="26"/>
      <c r="W75" s="3"/>
      <c r="X75" s="3">
        <f t="shared" si="6"/>
        <v>6228.98</v>
      </c>
      <c r="Y75" s="3"/>
      <c r="Z75" s="26">
        <f t="shared" si="7"/>
        <v>-1</v>
      </c>
    </row>
    <row r="76" spans="1:26" s="69" customFormat="1" ht="15" hidden="1" customHeight="1" outlineLevel="1" x14ac:dyDescent="0.3">
      <c r="A76" s="47"/>
      <c r="B76" s="9" t="str">
        <f>CONCATENATE("          ","4244"," - ","SALES RETURN TAXABLE-ACCESSORI")</f>
        <v xml:space="preserve">          4244 - SALES RETURN TAXABLE-ACCESSORI</v>
      </c>
      <c r="C76" s="9"/>
      <c r="D76" s="3">
        <f>0</f>
        <v>0</v>
      </c>
      <c r="E76" s="3"/>
      <c r="F76" s="26"/>
      <c r="G76" s="3"/>
      <c r="H76" s="3">
        <f>-34.84</f>
        <v>-34.840000000000003</v>
      </c>
      <c r="I76" s="3"/>
      <c r="J76" s="26"/>
      <c r="K76" s="3"/>
      <c r="L76" s="3">
        <f t="shared" ref="L76:L86" si="8">+D76-H76</f>
        <v>34.840000000000003</v>
      </c>
      <c r="M76" s="3"/>
      <c r="N76" s="26">
        <f t="shared" ref="N76:N86" si="9">IF(H76=0,0,L76/H76)</f>
        <v>-1</v>
      </c>
      <c r="O76" s="9"/>
      <c r="P76" s="3">
        <f>0</f>
        <v>0</v>
      </c>
      <c r="Q76" s="3"/>
      <c r="R76" s="26"/>
      <c r="S76" s="3"/>
      <c r="T76" s="3">
        <f>-1302.75</f>
        <v>-1302.75</v>
      </c>
      <c r="U76" s="3"/>
      <c r="V76" s="26"/>
      <c r="W76" s="3"/>
      <c r="X76" s="3">
        <f t="shared" ref="X76:X86" si="10">+P76-T76</f>
        <v>1302.75</v>
      </c>
      <c r="Y76" s="3"/>
      <c r="Z76" s="26">
        <f t="shared" ref="Z76:Z86" si="11">IF(T76=0,0,X76/T76)</f>
        <v>-1</v>
      </c>
    </row>
    <row r="77" spans="1:26" s="69" customFormat="1" ht="15" hidden="1" customHeight="1" outlineLevel="1" x14ac:dyDescent="0.3">
      <c r="A77" s="47"/>
      <c r="B77" s="9" t="str">
        <f>CONCATENATE("          ","4245"," - ","SALES RETURN TAXABLE-SPECIAL O")</f>
        <v xml:space="preserve">          4245 - SALES RETURN TAXABLE-SPECIAL O</v>
      </c>
      <c r="C77" s="9"/>
      <c r="D77" s="3">
        <f>0</f>
        <v>0</v>
      </c>
      <c r="E77" s="3"/>
      <c r="F77" s="26"/>
      <c r="G77" s="3"/>
      <c r="H77" s="3">
        <f>-3318.4</f>
        <v>-3318.4</v>
      </c>
      <c r="I77" s="3"/>
      <c r="J77" s="26"/>
      <c r="K77" s="3"/>
      <c r="L77" s="3">
        <f t="shared" si="8"/>
        <v>3318.4</v>
      </c>
      <c r="M77" s="3"/>
      <c r="N77" s="26">
        <f t="shared" si="9"/>
        <v>-1</v>
      </c>
      <c r="O77" s="9"/>
      <c r="P77" s="3">
        <f>0</f>
        <v>0</v>
      </c>
      <c r="Q77" s="3"/>
      <c r="R77" s="26"/>
      <c r="S77" s="3"/>
      <c r="T77" s="3">
        <f>-18779.13</f>
        <v>-18779.13</v>
      </c>
      <c r="U77" s="3"/>
      <c r="V77" s="26"/>
      <c r="W77" s="3"/>
      <c r="X77" s="3">
        <f t="shared" si="10"/>
        <v>18779.13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","4300"," - ","NON-TAX RETURNS")</f>
        <v xml:space="preserve">          4300 - NON-TAX RETURNS</v>
      </c>
      <c r="C78" s="9"/>
      <c r="D78" s="3">
        <f>-1514.12</f>
        <v>-1514.12</v>
      </c>
      <c r="E78" s="3"/>
      <c r="F78" s="26"/>
      <c r="G78" s="3"/>
      <c r="H78" s="3">
        <f>0</f>
        <v>0</v>
      </c>
      <c r="I78" s="3"/>
      <c r="J78" s="26"/>
      <c r="K78" s="3"/>
      <c r="L78" s="3">
        <f t="shared" si="8"/>
        <v>-1514.12</v>
      </c>
      <c r="M78" s="3"/>
      <c r="N78" s="26">
        <f t="shared" si="9"/>
        <v>0</v>
      </c>
      <c r="O78" s="9"/>
      <c r="P78" s="3">
        <f>-43285.18</f>
        <v>-43285.18</v>
      </c>
      <c r="Q78" s="3"/>
      <c r="R78" s="26"/>
      <c r="S78" s="3"/>
      <c r="T78" s="3">
        <f>0</f>
        <v>0</v>
      </c>
      <c r="U78" s="3"/>
      <c r="V78" s="26"/>
      <c r="W78" s="3"/>
      <c r="X78" s="3">
        <f t="shared" si="10"/>
        <v>-43285.18</v>
      </c>
      <c r="Y78" s="3"/>
      <c r="Z78" s="26">
        <f t="shared" si="11"/>
        <v>0</v>
      </c>
    </row>
    <row r="79" spans="1:26" s="69" customFormat="1" ht="15" hidden="1" customHeight="1" outlineLevel="1" x14ac:dyDescent="0.3">
      <c r="A79" s="47"/>
      <c r="B79" s="9" t="str">
        <f>CONCATENATE("          ","4301"," - ","SALES RETURN NON TAXABLE-NEW T")</f>
        <v xml:space="preserve">          4301 - SALES RETURN NON TAXABLE-NEW T</v>
      </c>
      <c r="C79" s="9"/>
      <c r="D79" s="3">
        <f>0</f>
        <v>0</v>
      </c>
      <c r="E79" s="3"/>
      <c r="F79" s="26"/>
      <c r="G79" s="3"/>
      <c r="H79" s="3">
        <f>-169.32</f>
        <v>-169.32</v>
      </c>
      <c r="I79" s="3"/>
      <c r="J79" s="26"/>
      <c r="K79" s="3"/>
      <c r="L79" s="3">
        <f t="shared" si="8"/>
        <v>169.32</v>
      </c>
      <c r="M79" s="3"/>
      <c r="N79" s="26">
        <f t="shared" si="9"/>
        <v>-1</v>
      </c>
      <c r="O79" s="9"/>
      <c r="P79" s="3">
        <f>0</f>
        <v>0</v>
      </c>
      <c r="Q79" s="3"/>
      <c r="R79" s="26"/>
      <c r="S79" s="3"/>
      <c r="T79" s="3">
        <f>-4965.68</f>
        <v>-4965.68</v>
      </c>
      <c r="U79" s="3"/>
      <c r="V79" s="26"/>
      <c r="W79" s="3"/>
      <c r="X79" s="3">
        <f t="shared" si="10"/>
        <v>4965.68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","4302"," - ","SALES RETURN NON TAXABLE-TEXT")</f>
        <v xml:space="preserve">          4302 - SALES RETURN NON TAXABLE-TEXT</v>
      </c>
      <c r="C80" s="9"/>
      <c r="D80" s="3">
        <f>0</f>
        <v>0</v>
      </c>
      <c r="E80" s="3"/>
      <c r="F80" s="26"/>
      <c r="G80" s="3"/>
      <c r="H80" s="3">
        <f>-111.43</f>
        <v>-111.43</v>
      </c>
      <c r="I80" s="3"/>
      <c r="J80" s="26"/>
      <c r="K80" s="3"/>
      <c r="L80" s="3">
        <f t="shared" si="8"/>
        <v>111.43</v>
      </c>
      <c r="M80" s="3"/>
      <c r="N80" s="26">
        <f t="shared" si="9"/>
        <v>-1</v>
      </c>
      <c r="O80" s="9"/>
      <c r="P80" s="3">
        <f>0</f>
        <v>0</v>
      </c>
      <c r="Q80" s="3"/>
      <c r="R80" s="26"/>
      <c r="S80" s="3"/>
      <c r="T80" s="3">
        <f>-2688.97</f>
        <v>-2688.97</v>
      </c>
      <c r="U80" s="3"/>
      <c r="V80" s="26"/>
      <c r="W80" s="3"/>
      <c r="X80" s="3">
        <f t="shared" si="10"/>
        <v>2688.97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","4304"," - ","SALES RETURN NON TAXABLE-DIGIT")</f>
        <v xml:space="preserve">          4304 - SALES RETURN NON TAXABLE-DIGIT</v>
      </c>
      <c r="C81" s="9"/>
      <c r="D81" s="3">
        <f>0</f>
        <v>0</v>
      </c>
      <c r="E81" s="3"/>
      <c r="F81" s="26"/>
      <c r="G81" s="3"/>
      <c r="H81" s="3">
        <f>-144.89</f>
        <v>-144.88999999999999</v>
      </c>
      <c r="I81" s="3"/>
      <c r="J81" s="26"/>
      <c r="K81" s="3"/>
      <c r="L81" s="3">
        <f t="shared" si="8"/>
        <v>144.88999999999999</v>
      </c>
      <c r="M81" s="3"/>
      <c r="N81" s="26">
        <f t="shared" si="9"/>
        <v>-1</v>
      </c>
      <c r="O81" s="9"/>
      <c r="P81" s="3">
        <f>0</f>
        <v>0</v>
      </c>
      <c r="Q81" s="3"/>
      <c r="R81" s="26"/>
      <c r="S81" s="3"/>
      <c r="T81" s="3">
        <f>-31026.87</f>
        <v>-31026.87</v>
      </c>
      <c r="U81" s="3"/>
      <c r="V81" s="26"/>
      <c r="W81" s="3"/>
      <c r="X81" s="3">
        <f t="shared" si="10"/>
        <v>31026.87</v>
      </c>
      <c r="Y81" s="3"/>
      <c r="Z81" s="26">
        <f t="shared" si="11"/>
        <v>-1</v>
      </c>
    </row>
    <row r="82" spans="1:26" s="69" customFormat="1" ht="15" hidden="1" customHeight="1" outlineLevel="1" x14ac:dyDescent="0.3">
      <c r="A82" s="47"/>
      <c r="B82" s="9" t="str">
        <f>CONCATENATE("          ","4327"," - ","SALES RETURN NON TAXABLE-SCHOO")</f>
        <v xml:space="preserve">          4327 - SALES RETURN NON TAXABLE-SCHOO</v>
      </c>
      <c r="C82" s="9"/>
      <c r="D82" s="3">
        <f>0</f>
        <v>0</v>
      </c>
      <c r="E82" s="3"/>
      <c r="F82" s="26"/>
      <c r="G82" s="3"/>
      <c r="H82" s="3">
        <f>0</f>
        <v>0</v>
      </c>
      <c r="I82" s="3"/>
      <c r="J82" s="26"/>
      <c r="K82" s="3"/>
      <c r="L82" s="3">
        <f t="shared" si="8"/>
        <v>0</v>
      </c>
      <c r="M82" s="3"/>
      <c r="N82" s="26">
        <f t="shared" si="9"/>
        <v>0</v>
      </c>
      <c r="O82" s="9"/>
      <c r="P82" s="3">
        <f>0</f>
        <v>0</v>
      </c>
      <c r="Q82" s="3"/>
      <c r="R82" s="26"/>
      <c r="S82" s="3"/>
      <c r="T82" s="3">
        <f>-17.41</f>
        <v>-17.41</v>
      </c>
      <c r="U82" s="3"/>
      <c r="V82" s="26"/>
      <c r="W82" s="3"/>
      <c r="X82" s="3">
        <f t="shared" si="10"/>
        <v>17.41</v>
      </c>
      <c r="Y82" s="3"/>
      <c r="Z82" s="26">
        <f t="shared" si="11"/>
        <v>-1</v>
      </c>
    </row>
    <row r="83" spans="1:26" s="69" customFormat="1" ht="15" hidden="1" customHeight="1" outlineLevel="1" x14ac:dyDescent="0.3">
      <c r="A83" s="47"/>
      <c r="B83" s="9" t="str">
        <f>CONCATENATE("          ","4340"," - ","SALES RETURN NON TAXABLE-LOGO")</f>
        <v xml:space="preserve">          4340 - SALES RETURN NON TAXABLE-LOGO</v>
      </c>
      <c r="C83" s="9"/>
      <c r="D83" s="3">
        <f>0</f>
        <v>0</v>
      </c>
      <c r="E83" s="3"/>
      <c r="F83" s="26"/>
      <c r="G83" s="3"/>
      <c r="H83" s="3">
        <f>-286.5</f>
        <v>-286.5</v>
      </c>
      <c r="I83" s="3"/>
      <c r="J83" s="26"/>
      <c r="K83" s="3"/>
      <c r="L83" s="3">
        <f t="shared" si="8"/>
        <v>286.5</v>
      </c>
      <c r="M83" s="3"/>
      <c r="N83" s="26">
        <f t="shared" si="9"/>
        <v>-1</v>
      </c>
      <c r="O83" s="9"/>
      <c r="P83" s="3">
        <f>0</f>
        <v>0</v>
      </c>
      <c r="Q83" s="3"/>
      <c r="R83" s="26"/>
      <c r="S83" s="3"/>
      <c r="T83" s="3">
        <f>-3737.76</f>
        <v>-3737.76</v>
      </c>
      <c r="U83" s="3"/>
      <c r="V83" s="26"/>
      <c r="W83" s="3"/>
      <c r="X83" s="3">
        <f t="shared" si="10"/>
        <v>3737.76</v>
      </c>
      <c r="Y83" s="3"/>
      <c r="Z83" s="26">
        <f t="shared" si="11"/>
        <v>-1</v>
      </c>
    </row>
    <row r="84" spans="1:26" s="69" customFormat="1" ht="15" hidden="1" customHeight="1" outlineLevel="1" x14ac:dyDescent="0.3">
      <c r="A84" s="47"/>
      <c r="B84" s="9" t="str">
        <f>CONCATENATE("          ","4341"," - ","SALES RETURN NON TAXABLE-LOGO")</f>
        <v xml:space="preserve">          4341 - SALES RETURN NON TAXABLE-LOGO</v>
      </c>
      <c r="C84" s="9"/>
      <c r="D84" s="3">
        <f>0</f>
        <v>0</v>
      </c>
      <c r="E84" s="3"/>
      <c r="F84" s="26"/>
      <c r="G84" s="3"/>
      <c r="H84" s="3">
        <f>-20.85</f>
        <v>-20.85</v>
      </c>
      <c r="I84" s="3"/>
      <c r="J84" s="26"/>
      <c r="K84" s="3"/>
      <c r="L84" s="3">
        <f t="shared" si="8"/>
        <v>20.85</v>
      </c>
      <c r="M84" s="3"/>
      <c r="N84" s="26">
        <f t="shared" si="9"/>
        <v>-1</v>
      </c>
      <c r="O84" s="9"/>
      <c r="P84" s="3">
        <f>0</f>
        <v>0</v>
      </c>
      <c r="Q84" s="3"/>
      <c r="R84" s="26"/>
      <c r="S84" s="3"/>
      <c r="T84" s="3">
        <f>-527.59</f>
        <v>-527.59</v>
      </c>
      <c r="U84" s="3"/>
      <c r="V84" s="26"/>
      <c r="W84" s="3"/>
      <c r="X84" s="3">
        <f t="shared" si="10"/>
        <v>527.59</v>
      </c>
      <c r="Y84" s="3"/>
      <c r="Z84" s="26">
        <f t="shared" si="11"/>
        <v>-1</v>
      </c>
    </row>
    <row r="85" spans="1:26" s="69" customFormat="1" ht="15" hidden="1" customHeight="1" outlineLevel="1" x14ac:dyDescent="0.3">
      <c r="A85" s="47"/>
      <c r="B85" s="9" t="str">
        <f>CONCATENATE("          ","4342"," - ","SALES RETURN NON TAXABLE-EVERY")</f>
        <v xml:space="preserve">          4342 - SALES RETURN NON TAXABLE-EVERY</v>
      </c>
      <c r="C85" s="9"/>
      <c r="D85" s="3">
        <f>0</f>
        <v>0</v>
      </c>
      <c r="E85" s="3"/>
      <c r="F85" s="26"/>
      <c r="G85" s="3"/>
      <c r="H85" s="3">
        <f>0</f>
        <v>0</v>
      </c>
      <c r="I85" s="3"/>
      <c r="J85" s="26"/>
      <c r="K85" s="3"/>
      <c r="L85" s="3">
        <f t="shared" si="8"/>
        <v>0</v>
      </c>
      <c r="M85" s="3"/>
      <c r="N85" s="26">
        <f t="shared" si="9"/>
        <v>0</v>
      </c>
      <c r="O85" s="9"/>
      <c r="P85" s="3">
        <f>0</f>
        <v>0</v>
      </c>
      <c r="Q85" s="3"/>
      <c r="R85" s="26"/>
      <c r="S85" s="3"/>
      <c r="T85" s="3">
        <f>-118.7</f>
        <v>-118.7</v>
      </c>
      <c r="U85" s="3"/>
      <c r="V85" s="26"/>
      <c r="W85" s="3"/>
      <c r="X85" s="3">
        <f t="shared" si="10"/>
        <v>118.7</v>
      </c>
      <c r="Y85" s="3"/>
      <c r="Z85" s="26">
        <f t="shared" si="11"/>
        <v>-1</v>
      </c>
    </row>
    <row r="86" spans="1:26" s="69" customFormat="1" ht="15" hidden="1" customHeight="1" outlineLevel="1" x14ac:dyDescent="0.3">
      <c r="A86" s="47"/>
      <c r="B86" s="9" t="str">
        <f>CONCATENATE("          ","4500"," - ","SALES DISCOUNT")</f>
        <v xml:space="preserve">          4500 - SALES DISCOUNT</v>
      </c>
      <c r="C86" s="9"/>
      <c r="D86" s="3">
        <f>-7102.03</f>
        <v>-7102.03</v>
      </c>
      <c r="E86" s="3"/>
      <c r="F86" s="26"/>
      <c r="G86" s="3"/>
      <c r="H86" s="3">
        <f>0</f>
        <v>0</v>
      </c>
      <c r="I86" s="3"/>
      <c r="J86" s="26"/>
      <c r="K86" s="3"/>
      <c r="L86" s="3">
        <f t="shared" si="8"/>
        <v>-7102.03</v>
      </c>
      <c r="M86" s="3"/>
      <c r="N86" s="26">
        <f t="shared" si="9"/>
        <v>0</v>
      </c>
      <c r="O86" s="9"/>
      <c r="P86" s="3">
        <f>-135024.31</f>
        <v>-135024.31</v>
      </c>
      <c r="Q86" s="3"/>
      <c r="R86" s="26"/>
      <c r="S86" s="3"/>
      <c r="T86" s="3">
        <f>0</f>
        <v>0</v>
      </c>
      <c r="U86" s="3"/>
      <c r="V86" s="26"/>
      <c r="W86" s="3"/>
      <c r="X86" s="3">
        <f t="shared" si="10"/>
        <v>-135024.31</v>
      </c>
      <c r="Y86" s="3"/>
      <c r="Z86" s="26">
        <f t="shared" si="11"/>
        <v>0</v>
      </c>
    </row>
    <row r="87" spans="1:26" ht="15" customHeight="1" x14ac:dyDescent="0.3">
      <c r="A87" s="12"/>
      <c r="B87" s="13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s="62" customFormat="1" ht="15" customHeight="1" collapsed="1" x14ac:dyDescent="0.3">
      <c r="A88" s="13"/>
      <c r="B88" s="27" t="s">
        <v>287</v>
      </c>
      <c r="C88" s="13"/>
      <c r="D88" s="8">
        <f>SUM(OSRRefD16x_0)</f>
        <v>455798.39</v>
      </c>
      <c r="E88" s="8"/>
      <c r="F88" s="14">
        <f t="shared" ref="F88:F119" si="12">IF(D$12=0,0,D88/D$12)</f>
        <v>1.4848282302091296</v>
      </c>
      <c r="G88" s="8"/>
      <c r="H88" s="8">
        <f>SUM(OSRRefH16x_0)</f>
        <v>267244.33999999985</v>
      </c>
      <c r="I88" s="8"/>
      <c r="J88" s="14">
        <f t="shared" ref="J88:J119" si="13">IF(H$12=0,0,H88/H$12)</f>
        <v>1.0102295611488741</v>
      </c>
      <c r="K88" s="8"/>
      <c r="L88" s="8">
        <f t="shared" ref="L88:L119" si="14">+D88-H88</f>
        <v>188554.05000000016</v>
      </c>
      <c r="M88" s="8"/>
      <c r="N88" s="14">
        <f t="shared" ref="N88:N119" si="15">IF(H88=0,0,L88/H88)</f>
        <v>0.7055492737470147</v>
      </c>
      <c r="O88" s="13"/>
      <c r="P88" s="8">
        <f>SUM(OSRRefP16x_0)</f>
        <v>4755454.0599999996</v>
      </c>
      <c r="Q88" s="8"/>
      <c r="R88" s="14">
        <f t="shared" ref="R88:R119" si="16">IF(P$12=0,0,P88/P$12)</f>
        <v>0.57127743256314079</v>
      </c>
      <c r="S88" s="8"/>
      <c r="T88" s="8">
        <f>SUM(OSRRefT16x_0)</f>
        <v>3488416.0000000005</v>
      </c>
      <c r="U88" s="8"/>
      <c r="V88" s="14">
        <f t="shared" ref="V88:V119" si="17">IF(T$12=0,0,T88/T$12)</f>
        <v>0.63694223438993902</v>
      </c>
      <c r="W88" s="8"/>
      <c r="X88" s="8">
        <f t="shared" ref="X88:X119" si="18">+P88-T88</f>
        <v>1267038.0599999991</v>
      </c>
      <c r="Y88" s="8"/>
      <c r="Z88" s="14">
        <f t="shared" ref="Z88:Z119" si="19">IF(T88=0,0,X88/T88)</f>
        <v>0.36321300555896974</v>
      </c>
    </row>
    <row r="89" spans="1:26" s="69" customFormat="1" ht="15" hidden="1" customHeight="1" outlineLevel="1" x14ac:dyDescent="0.3">
      <c r="A89" s="47"/>
      <c r="B89" s="9" t="str">
        <f>CONCATENATE("          ","5000"," - ","PURCHASES @ COST")</f>
        <v xml:space="preserve">          5000 - PURCHASES @ COST</v>
      </c>
      <c r="C89" s="9"/>
      <c r="D89" s="3">
        <v>510700.95</v>
      </c>
      <c r="E89" s="3"/>
      <c r="F89" s="26">
        <f t="shared" si="12"/>
        <v>1.663681145856222</v>
      </c>
      <c r="G89" s="3"/>
      <c r="H89" s="3"/>
      <c r="I89" s="3"/>
      <c r="J89" s="26">
        <f t="shared" si="13"/>
        <v>0</v>
      </c>
      <c r="K89" s="3"/>
      <c r="L89" s="3">
        <f t="shared" si="14"/>
        <v>510700.95</v>
      </c>
      <c r="M89" s="3"/>
      <c r="N89" s="26">
        <f t="shared" si="15"/>
        <v>0</v>
      </c>
      <c r="O89" s="9"/>
      <c r="P89" s="3">
        <v>4540852.2699999996</v>
      </c>
      <c r="Q89" s="3"/>
      <c r="R89" s="26">
        <f t="shared" si="16"/>
        <v>0.54549710579143096</v>
      </c>
      <c r="S89" s="3"/>
      <c r="T89" s="3">
        <v>0</v>
      </c>
      <c r="U89" s="3"/>
      <c r="V89" s="26">
        <f t="shared" si="17"/>
        <v>0</v>
      </c>
      <c r="W89" s="3"/>
      <c r="X89" s="3">
        <f t="shared" si="18"/>
        <v>4540852.2699999996</v>
      </c>
      <c r="Y89" s="3"/>
      <c r="Z89" s="26">
        <f t="shared" si="19"/>
        <v>0</v>
      </c>
    </row>
    <row r="90" spans="1:26" s="69" customFormat="1" ht="15" hidden="1" customHeight="1" outlineLevel="1" x14ac:dyDescent="0.3">
      <c r="A90" s="47"/>
      <c r="B90" s="9" t="str">
        <f>CONCATENATE("          ","5001"," - ","PURCHASES @ COST-NEW TEXT")</f>
        <v xml:space="preserve">          5001 - PURCHASES @ COST-NEW TEXT</v>
      </c>
      <c r="C90" s="9"/>
      <c r="D90" s="3"/>
      <c r="E90" s="3"/>
      <c r="F90" s="26">
        <f t="shared" si="12"/>
        <v>0</v>
      </c>
      <c r="G90" s="3"/>
      <c r="H90" s="3">
        <v>142777.26</v>
      </c>
      <c r="I90" s="3"/>
      <c r="J90" s="26">
        <f t="shared" si="13"/>
        <v>0.53972259510468501</v>
      </c>
      <c r="K90" s="3"/>
      <c r="L90" s="3">
        <f t="shared" si="14"/>
        <v>-142777.26</v>
      </c>
      <c r="M90" s="3"/>
      <c r="N90" s="26">
        <f t="shared" si="15"/>
        <v>-1</v>
      </c>
      <c r="O90" s="9"/>
      <c r="P90" s="3">
        <v>0</v>
      </c>
      <c r="Q90" s="3"/>
      <c r="R90" s="26">
        <f t="shared" si="16"/>
        <v>0</v>
      </c>
      <c r="S90" s="3"/>
      <c r="T90" s="3">
        <v>1214343.74</v>
      </c>
      <c r="U90" s="3"/>
      <c r="V90" s="26">
        <f t="shared" si="17"/>
        <v>0.22172436288362254</v>
      </c>
      <c r="W90" s="3"/>
      <c r="X90" s="3">
        <f t="shared" si="18"/>
        <v>-1214343.74</v>
      </c>
      <c r="Y90" s="3"/>
      <c r="Z90" s="26">
        <f t="shared" si="19"/>
        <v>-1</v>
      </c>
    </row>
    <row r="91" spans="1:26" s="69" customFormat="1" ht="15" hidden="1" customHeight="1" outlineLevel="1" x14ac:dyDescent="0.3">
      <c r="A91" s="47"/>
      <c r="B91" s="9" t="str">
        <f>CONCATENATE("          ","5002"," - ","PURCHASES @ COST-USED TEXT")</f>
        <v xml:space="preserve">          5002 - PURCHASES @ COST-USED TEXT</v>
      </c>
      <c r="C91" s="9"/>
      <c r="D91" s="3"/>
      <c r="E91" s="3"/>
      <c r="F91" s="26">
        <f t="shared" si="12"/>
        <v>0</v>
      </c>
      <c r="G91" s="3"/>
      <c r="H91" s="3">
        <v>-17366.759999999998</v>
      </c>
      <c r="I91" s="3"/>
      <c r="J91" s="26">
        <f t="shared" si="13"/>
        <v>-6.5649339227831088E-2</v>
      </c>
      <c r="K91" s="3"/>
      <c r="L91" s="3">
        <f t="shared" si="14"/>
        <v>17366.759999999998</v>
      </c>
      <c r="M91" s="3"/>
      <c r="N91" s="26">
        <f t="shared" si="15"/>
        <v>-1</v>
      </c>
      <c r="O91" s="9"/>
      <c r="P91" s="3">
        <v>0</v>
      </c>
      <c r="Q91" s="3"/>
      <c r="R91" s="26">
        <f t="shared" si="16"/>
        <v>0</v>
      </c>
      <c r="S91" s="3"/>
      <c r="T91" s="3">
        <v>262546.52</v>
      </c>
      <c r="U91" s="3"/>
      <c r="V91" s="26">
        <f t="shared" si="17"/>
        <v>4.7937793852597513E-2</v>
      </c>
      <c r="W91" s="3"/>
      <c r="X91" s="3">
        <f t="shared" si="18"/>
        <v>-262546.52</v>
      </c>
      <c r="Y91" s="3"/>
      <c r="Z91" s="26">
        <f t="shared" si="19"/>
        <v>-1</v>
      </c>
    </row>
    <row r="92" spans="1:26" s="69" customFormat="1" ht="15" hidden="1" customHeight="1" outlineLevel="1" x14ac:dyDescent="0.3">
      <c r="A92" s="47"/>
      <c r="B92" s="9" t="str">
        <f>CONCATENATE("          ","5003"," - ","PURCHASES @ COST-RENTAL TEXT")</f>
        <v xml:space="preserve">          5003 - PURCHASES @ COST-RENTAL TEXT</v>
      </c>
      <c r="C92" s="9"/>
      <c r="D92" s="3"/>
      <c r="E92" s="3"/>
      <c r="F92" s="26">
        <f t="shared" si="12"/>
        <v>0</v>
      </c>
      <c r="G92" s="3"/>
      <c r="H92" s="3">
        <v>6024.36</v>
      </c>
      <c r="I92" s="3"/>
      <c r="J92" s="26">
        <f t="shared" si="13"/>
        <v>2.2773116762745411E-2</v>
      </c>
      <c r="K92" s="3"/>
      <c r="L92" s="3">
        <f t="shared" si="14"/>
        <v>-6024.36</v>
      </c>
      <c r="M92" s="3"/>
      <c r="N92" s="26">
        <f t="shared" si="15"/>
        <v>-1</v>
      </c>
      <c r="O92" s="9"/>
      <c r="P92" s="3"/>
      <c r="Q92" s="3"/>
      <c r="R92" s="26">
        <f t="shared" si="16"/>
        <v>0</v>
      </c>
      <c r="S92" s="3"/>
      <c r="T92" s="3">
        <v>13236.44</v>
      </c>
      <c r="U92" s="3"/>
      <c r="V92" s="26">
        <f t="shared" si="17"/>
        <v>2.4168125788232723E-3</v>
      </c>
      <c r="W92" s="3"/>
      <c r="X92" s="3">
        <f t="shared" si="18"/>
        <v>-13236.44</v>
      </c>
      <c r="Y92" s="3"/>
      <c r="Z92" s="26">
        <f t="shared" si="19"/>
        <v>-1</v>
      </c>
    </row>
    <row r="93" spans="1:26" s="69" customFormat="1" ht="15" hidden="1" customHeight="1" outlineLevel="1" x14ac:dyDescent="0.3">
      <c r="A93" s="47"/>
      <c r="B93" s="9" t="str">
        <f>CONCATENATE("          ","5004"," - ","PURCHASES @ COST-DIGITAL TEXT")</f>
        <v xml:space="preserve">          5004 - PURCHASES @ COST-DIGITAL TEXT</v>
      </c>
      <c r="C93" s="9"/>
      <c r="D93" s="3"/>
      <c r="E93" s="3"/>
      <c r="F93" s="26">
        <f t="shared" si="12"/>
        <v>0</v>
      </c>
      <c r="G93" s="3"/>
      <c r="H93" s="3">
        <v>178285.37</v>
      </c>
      <c r="I93" s="3"/>
      <c r="J93" s="26">
        <f t="shared" si="13"/>
        <v>0.67394935696061797</v>
      </c>
      <c r="K93" s="3"/>
      <c r="L93" s="3">
        <f t="shared" si="14"/>
        <v>-178285.37</v>
      </c>
      <c r="M93" s="3"/>
      <c r="N93" s="26">
        <f t="shared" si="15"/>
        <v>-1</v>
      </c>
      <c r="O93" s="9"/>
      <c r="P93" s="3">
        <v>0</v>
      </c>
      <c r="Q93" s="3"/>
      <c r="R93" s="26">
        <f t="shared" si="16"/>
        <v>0</v>
      </c>
      <c r="S93" s="3"/>
      <c r="T93" s="3">
        <v>377891.8</v>
      </c>
      <c r="U93" s="3"/>
      <c r="V93" s="26">
        <f t="shared" si="17"/>
        <v>6.8998435808583586E-2</v>
      </c>
      <c r="W93" s="3"/>
      <c r="X93" s="3">
        <f t="shared" si="18"/>
        <v>-377891.8</v>
      </c>
      <c r="Y93" s="3"/>
      <c r="Z93" s="26">
        <f t="shared" si="19"/>
        <v>-1</v>
      </c>
    </row>
    <row r="94" spans="1:26" s="69" customFormat="1" ht="15" hidden="1" customHeight="1" outlineLevel="1" x14ac:dyDescent="0.3">
      <c r="A94" s="47"/>
      <c r="B94" s="9" t="str">
        <f>CONCATENATE("          ","5011"," - ","PURCHASES @ COST-NO VALUE TEXT")</f>
        <v xml:space="preserve">          5011 - PURCHASES @ COST-NO VALUE TEXT</v>
      </c>
      <c r="C94" s="9"/>
      <c r="D94" s="3"/>
      <c r="E94" s="3"/>
      <c r="F94" s="26">
        <f t="shared" si="12"/>
        <v>0</v>
      </c>
      <c r="G94" s="3"/>
      <c r="H94" s="3">
        <v>63.17</v>
      </c>
      <c r="I94" s="3"/>
      <c r="J94" s="26">
        <f t="shared" si="13"/>
        <v>2.3879346285790156E-4</v>
      </c>
      <c r="K94" s="3"/>
      <c r="L94" s="3">
        <f t="shared" si="14"/>
        <v>-63.17</v>
      </c>
      <c r="M94" s="3"/>
      <c r="N94" s="26">
        <f t="shared" si="15"/>
        <v>-1</v>
      </c>
      <c r="O94" s="9"/>
      <c r="P94" s="3"/>
      <c r="Q94" s="3"/>
      <c r="R94" s="26">
        <f t="shared" si="16"/>
        <v>0</v>
      </c>
      <c r="S94" s="3"/>
      <c r="T94" s="3">
        <v>130.34</v>
      </c>
      <c r="U94" s="3"/>
      <c r="V94" s="26">
        <f t="shared" si="17"/>
        <v>2.379849502765285E-5</v>
      </c>
      <c r="W94" s="3"/>
      <c r="X94" s="3">
        <f t="shared" si="18"/>
        <v>-130.34</v>
      </c>
      <c r="Y94" s="3"/>
      <c r="Z94" s="26">
        <f t="shared" si="19"/>
        <v>-1</v>
      </c>
    </row>
    <row r="95" spans="1:26" s="69" customFormat="1" ht="15" hidden="1" customHeight="1" outlineLevel="1" x14ac:dyDescent="0.3">
      <c r="A95" s="47"/>
      <c r="B95" s="9" t="str">
        <f>CONCATENATE("          ","5013"," - ","PURCHASES @ COST-TRADE BOOKS")</f>
        <v xml:space="preserve">          5013 - PURCHASES @ COST-TRADE BOOKS</v>
      </c>
      <c r="C95" s="9"/>
      <c r="D95" s="3"/>
      <c r="E95" s="3"/>
      <c r="F95" s="26">
        <f t="shared" si="12"/>
        <v>0</v>
      </c>
      <c r="G95" s="3"/>
      <c r="H95" s="3">
        <v>1964.92</v>
      </c>
      <c r="I95" s="3"/>
      <c r="J95" s="26">
        <f t="shared" si="13"/>
        <v>7.4277354921441817E-3</v>
      </c>
      <c r="K95" s="3"/>
      <c r="L95" s="3">
        <f t="shared" si="14"/>
        <v>-1964.92</v>
      </c>
      <c r="M95" s="3"/>
      <c r="N95" s="26">
        <f t="shared" si="15"/>
        <v>-1</v>
      </c>
      <c r="O95" s="9"/>
      <c r="P95" s="3"/>
      <c r="Q95" s="3"/>
      <c r="R95" s="26">
        <f t="shared" si="16"/>
        <v>0</v>
      </c>
      <c r="S95" s="3"/>
      <c r="T95" s="3">
        <v>11634.94</v>
      </c>
      <c r="U95" s="3"/>
      <c r="V95" s="26">
        <f t="shared" si="17"/>
        <v>2.1243982026779135E-3</v>
      </c>
      <c r="W95" s="3"/>
      <c r="X95" s="3">
        <f t="shared" si="18"/>
        <v>-11634.94</v>
      </c>
      <c r="Y95" s="3"/>
      <c r="Z95" s="26">
        <f t="shared" si="19"/>
        <v>-1</v>
      </c>
    </row>
    <row r="96" spans="1:26" s="69" customFormat="1" ht="15" hidden="1" customHeight="1" outlineLevel="1" x14ac:dyDescent="0.3">
      <c r="A96" s="47"/>
      <c r="B96" s="9" t="str">
        <f>CONCATENATE("          ","5014"," - ","PURCHASES @ COST-REMAINDERS")</f>
        <v xml:space="preserve">          5014 - PURCHASES @ COST-REMAINDERS</v>
      </c>
      <c r="C96" s="9"/>
      <c r="D96" s="3"/>
      <c r="E96" s="3"/>
      <c r="F96" s="26">
        <f t="shared" si="12"/>
        <v>0</v>
      </c>
      <c r="G96" s="3"/>
      <c r="H96" s="3">
        <v>-161.43</v>
      </c>
      <c r="I96" s="3"/>
      <c r="J96" s="26">
        <f t="shared" si="13"/>
        <v>-6.1023315987258268E-4</v>
      </c>
      <c r="K96" s="3"/>
      <c r="L96" s="3">
        <f t="shared" si="14"/>
        <v>161.43</v>
      </c>
      <c r="M96" s="3"/>
      <c r="N96" s="26">
        <f t="shared" si="15"/>
        <v>-1</v>
      </c>
      <c r="O96" s="9"/>
      <c r="P96" s="3"/>
      <c r="Q96" s="3"/>
      <c r="R96" s="26">
        <f t="shared" si="16"/>
        <v>0</v>
      </c>
      <c r="S96" s="3"/>
      <c r="T96" s="3">
        <v>-49.86</v>
      </c>
      <c r="U96" s="3"/>
      <c r="V96" s="26">
        <f t="shared" si="17"/>
        <v>-9.1038281577318622E-6</v>
      </c>
      <c r="W96" s="3"/>
      <c r="X96" s="3">
        <f t="shared" si="18"/>
        <v>49.86</v>
      </c>
      <c r="Y96" s="3"/>
      <c r="Z96" s="26">
        <f t="shared" si="19"/>
        <v>-1</v>
      </c>
    </row>
    <row r="97" spans="1:26" s="69" customFormat="1" ht="15" hidden="1" customHeight="1" outlineLevel="1" x14ac:dyDescent="0.3">
      <c r="A97" s="47"/>
      <c r="B97" s="9" t="str">
        <f>CONCATENATE("          ","5018"," - ","PURCHASES @ COST-STUDY GUIDES")</f>
        <v xml:space="preserve">          5018 - PURCHASES @ COST-STUDY GUIDES</v>
      </c>
      <c r="C97" s="9"/>
      <c r="D97" s="3"/>
      <c r="E97" s="3"/>
      <c r="F97" s="26">
        <f t="shared" si="12"/>
        <v>0</v>
      </c>
      <c r="G97" s="3"/>
      <c r="H97" s="3">
        <v>476.17</v>
      </c>
      <c r="I97" s="3"/>
      <c r="J97" s="26">
        <f t="shared" si="13"/>
        <v>1.8000044832839478E-3</v>
      </c>
      <c r="K97" s="3"/>
      <c r="L97" s="3">
        <f t="shared" si="14"/>
        <v>-476.17</v>
      </c>
      <c r="M97" s="3"/>
      <c r="N97" s="26">
        <f t="shared" si="15"/>
        <v>-1</v>
      </c>
      <c r="O97" s="9"/>
      <c r="P97" s="3"/>
      <c r="Q97" s="3"/>
      <c r="R97" s="26">
        <f t="shared" si="16"/>
        <v>0</v>
      </c>
      <c r="S97" s="3"/>
      <c r="T97" s="3">
        <v>1443.38</v>
      </c>
      <c r="U97" s="3"/>
      <c r="V97" s="26">
        <f t="shared" si="17"/>
        <v>2.6354359178313311E-4</v>
      </c>
      <c r="W97" s="3"/>
      <c r="X97" s="3">
        <f t="shared" si="18"/>
        <v>-1443.38</v>
      </c>
      <c r="Y97" s="3"/>
      <c r="Z97" s="26">
        <f t="shared" si="19"/>
        <v>-1</v>
      </c>
    </row>
    <row r="98" spans="1:26" s="69" customFormat="1" ht="15" hidden="1" customHeight="1" outlineLevel="1" x14ac:dyDescent="0.3">
      <c r="A98" s="47"/>
      <c r="B98" s="9" t="str">
        <f>CONCATENATE("          ","5025"," - ","PURCHASES @ COST-TEST FORMS")</f>
        <v xml:space="preserve">          5025 - PURCHASES @ COST-TEST FORMS</v>
      </c>
      <c r="C98" s="9"/>
      <c r="D98" s="3"/>
      <c r="E98" s="3"/>
      <c r="F98" s="26">
        <f t="shared" si="12"/>
        <v>0</v>
      </c>
      <c r="G98" s="3"/>
      <c r="H98" s="3">
        <v>161</v>
      </c>
      <c r="I98" s="3"/>
      <c r="J98" s="26">
        <f t="shared" si="13"/>
        <v>6.0860768592879764E-4</v>
      </c>
      <c r="K98" s="3"/>
      <c r="L98" s="3">
        <f t="shared" si="14"/>
        <v>-161</v>
      </c>
      <c r="M98" s="3"/>
      <c r="N98" s="26">
        <f t="shared" si="15"/>
        <v>-1</v>
      </c>
      <c r="O98" s="9"/>
      <c r="P98" s="3"/>
      <c r="Q98" s="3"/>
      <c r="R98" s="26">
        <f t="shared" si="16"/>
        <v>0</v>
      </c>
      <c r="S98" s="3"/>
      <c r="T98" s="3">
        <v>760.29</v>
      </c>
      <c r="U98" s="3"/>
      <c r="V98" s="26">
        <f t="shared" si="17"/>
        <v>1.3881968531973441E-4</v>
      </c>
      <c r="W98" s="3"/>
      <c r="X98" s="3">
        <f t="shared" si="18"/>
        <v>-760.29</v>
      </c>
      <c r="Y98" s="3"/>
      <c r="Z98" s="26">
        <f t="shared" si="19"/>
        <v>-1</v>
      </c>
    </row>
    <row r="99" spans="1:26" s="69" customFormat="1" ht="15" hidden="1" customHeight="1" outlineLevel="1" x14ac:dyDescent="0.3">
      <c r="A99" s="47"/>
      <c r="B99" s="9" t="str">
        <f>CONCATENATE("          ","5026"," - ","PURCHASES @ COST-WRITING INSTR")</f>
        <v xml:space="preserve">          5026 - PURCHASES @ COST-WRITING INSTR</v>
      </c>
      <c r="C99" s="9"/>
      <c r="D99" s="3"/>
      <c r="E99" s="3"/>
      <c r="F99" s="26">
        <f t="shared" si="12"/>
        <v>0</v>
      </c>
      <c r="G99" s="3"/>
      <c r="H99" s="3">
        <v>1361.75</v>
      </c>
      <c r="I99" s="3"/>
      <c r="J99" s="26">
        <f t="shared" si="13"/>
        <v>5.1476491696493187E-3</v>
      </c>
      <c r="K99" s="3"/>
      <c r="L99" s="3">
        <f t="shared" si="14"/>
        <v>-1361.75</v>
      </c>
      <c r="M99" s="3"/>
      <c r="N99" s="26">
        <f t="shared" si="15"/>
        <v>-1</v>
      </c>
      <c r="O99" s="9"/>
      <c r="P99" s="3">
        <v>0</v>
      </c>
      <c r="Q99" s="3"/>
      <c r="R99" s="26">
        <f t="shared" si="16"/>
        <v>0</v>
      </c>
      <c r="S99" s="3"/>
      <c r="T99" s="3">
        <v>1944.25</v>
      </c>
      <c r="U99" s="3"/>
      <c r="V99" s="26">
        <f t="shared" si="17"/>
        <v>3.5499634768692688E-4</v>
      </c>
      <c r="W99" s="3"/>
      <c r="X99" s="3">
        <f t="shared" si="18"/>
        <v>-1944.25</v>
      </c>
      <c r="Y99" s="3"/>
      <c r="Z99" s="26">
        <f t="shared" si="19"/>
        <v>-1</v>
      </c>
    </row>
    <row r="100" spans="1:26" s="69" customFormat="1" ht="15" hidden="1" customHeight="1" outlineLevel="1" x14ac:dyDescent="0.3">
      <c r="A100" s="47"/>
      <c r="B100" s="9" t="str">
        <f>CONCATENATE("          ","5027"," - ","PURCHASES @ COST-SCHOOL SUPPLI")</f>
        <v xml:space="preserve">          5027 - PURCHASES @ COST-SCHOOL SUPPLI</v>
      </c>
      <c r="C100" s="9"/>
      <c r="D100" s="3"/>
      <c r="E100" s="3"/>
      <c r="F100" s="26">
        <f t="shared" si="12"/>
        <v>0</v>
      </c>
      <c r="G100" s="3"/>
      <c r="H100" s="3">
        <v>-23546.66</v>
      </c>
      <c r="I100" s="3"/>
      <c r="J100" s="26">
        <f t="shared" si="13"/>
        <v>-8.9010423937591204E-2</v>
      </c>
      <c r="K100" s="3"/>
      <c r="L100" s="3">
        <f t="shared" si="14"/>
        <v>23546.66</v>
      </c>
      <c r="M100" s="3"/>
      <c r="N100" s="26">
        <f t="shared" si="15"/>
        <v>-1</v>
      </c>
      <c r="O100" s="9"/>
      <c r="P100" s="3">
        <v>0</v>
      </c>
      <c r="Q100" s="3"/>
      <c r="R100" s="26">
        <f t="shared" si="16"/>
        <v>0</v>
      </c>
      <c r="S100" s="3"/>
      <c r="T100" s="3">
        <v>188.33</v>
      </c>
      <c r="U100" s="3"/>
      <c r="V100" s="26">
        <f t="shared" si="17"/>
        <v>3.4386762072716447E-5</v>
      </c>
      <c r="W100" s="3"/>
      <c r="X100" s="3">
        <f t="shared" si="18"/>
        <v>-188.33</v>
      </c>
      <c r="Y100" s="3"/>
      <c r="Z100" s="26">
        <f t="shared" si="19"/>
        <v>-1</v>
      </c>
    </row>
    <row r="101" spans="1:26" s="69" customFormat="1" ht="15" hidden="1" customHeight="1" outlineLevel="1" x14ac:dyDescent="0.3">
      <c r="A101" s="47"/>
      <c r="B101" s="9" t="str">
        <f>CONCATENATE("          ","5028"," - ","PURCHASES @ COST-ART/TECH")</f>
        <v xml:space="preserve">          5028 - PURCHASES @ COST-ART/TECH</v>
      </c>
      <c r="C101" s="9"/>
      <c r="D101" s="3"/>
      <c r="E101" s="3"/>
      <c r="F101" s="26">
        <f t="shared" si="12"/>
        <v>0</v>
      </c>
      <c r="G101" s="3"/>
      <c r="H101" s="3">
        <v>4965.34</v>
      </c>
      <c r="I101" s="3"/>
      <c r="J101" s="26">
        <f t="shared" si="13"/>
        <v>1.8769839051240349E-2</v>
      </c>
      <c r="K101" s="3"/>
      <c r="L101" s="3">
        <f t="shared" si="14"/>
        <v>-4965.34</v>
      </c>
      <c r="M101" s="3"/>
      <c r="N101" s="26">
        <f t="shared" si="15"/>
        <v>-1</v>
      </c>
      <c r="O101" s="9"/>
      <c r="P101" s="3">
        <v>0</v>
      </c>
      <c r="Q101" s="3"/>
      <c r="R101" s="26">
        <f t="shared" si="16"/>
        <v>0</v>
      </c>
      <c r="S101" s="3"/>
      <c r="T101" s="3">
        <v>52646.080000000002</v>
      </c>
      <c r="U101" s="3"/>
      <c r="V101" s="26">
        <f t="shared" si="17"/>
        <v>9.612532400686007E-3</v>
      </c>
      <c r="W101" s="3"/>
      <c r="X101" s="3">
        <f t="shared" si="18"/>
        <v>-52646.080000000002</v>
      </c>
      <c r="Y101" s="3"/>
      <c r="Z101" s="26">
        <f t="shared" si="19"/>
        <v>-1</v>
      </c>
    </row>
    <row r="102" spans="1:26" s="69" customFormat="1" ht="15" hidden="1" customHeight="1" outlineLevel="1" x14ac:dyDescent="0.3">
      <c r="A102" s="47"/>
      <c r="B102" s="9" t="str">
        <f>CONCATENATE("          ","5031"," - ","PURCHASES @ COST-FOOD")</f>
        <v xml:space="preserve">          5031 - PURCHASES @ COST-FOOD</v>
      </c>
      <c r="C102" s="9"/>
      <c r="D102" s="3"/>
      <c r="E102" s="3"/>
      <c r="F102" s="26">
        <f t="shared" si="12"/>
        <v>0</v>
      </c>
      <c r="G102" s="3"/>
      <c r="H102" s="3">
        <v>75599.55</v>
      </c>
      <c r="I102" s="3"/>
      <c r="J102" s="26">
        <f t="shared" si="13"/>
        <v>0.28577929927179152</v>
      </c>
      <c r="K102" s="3"/>
      <c r="L102" s="3">
        <f t="shared" si="14"/>
        <v>-75599.55</v>
      </c>
      <c r="M102" s="3"/>
      <c r="N102" s="26">
        <f t="shared" si="15"/>
        <v>-1</v>
      </c>
      <c r="O102" s="9"/>
      <c r="P102" s="3">
        <v>0</v>
      </c>
      <c r="Q102" s="3"/>
      <c r="R102" s="26">
        <f t="shared" si="16"/>
        <v>0</v>
      </c>
      <c r="S102" s="3"/>
      <c r="T102" s="3">
        <v>83665.64</v>
      </c>
      <c r="U102" s="3"/>
      <c r="V102" s="26">
        <f t="shared" si="17"/>
        <v>1.5276325897847118E-2</v>
      </c>
      <c r="W102" s="3"/>
      <c r="X102" s="3">
        <f t="shared" si="18"/>
        <v>-83665.64</v>
      </c>
      <c r="Y102" s="3"/>
      <c r="Z102" s="26">
        <f t="shared" si="19"/>
        <v>-1</v>
      </c>
    </row>
    <row r="103" spans="1:26" s="69" customFormat="1" ht="15" hidden="1" customHeight="1" outlineLevel="1" x14ac:dyDescent="0.3">
      <c r="A103" s="47"/>
      <c r="B103" s="9" t="str">
        <f>CONCATENATE("          ","5032"," - ","PURCHASES @ COST-JUICE")</f>
        <v xml:space="preserve">          5032 - PURCHASES @ COST-JUICE</v>
      </c>
      <c r="C103" s="9"/>
      <c r="D103" s="3"/>
      <c r="E103" s="3"/>
      <c r="F103" s="26">
        <f t="shared" si="12"/>
        <v>0</v>
      </c>
      <c r="G103" s="3"/>
      <c r="H103" s="3">
        <v>291</v>
      </c>
      <c r="I103" s="3"/>
      <c r="J103" s="26">
        <f t="shared" si="13"/>
        <v>1.1000300410265846E-3</v>
      </c>
      <c r="K103" s="3"/>
      <c r="L103" s="3">
        <f t="shared" si="14"/>
        <v>-291</v>
      </c>
      <c r="M103" s="3"/>
      <c r="N103" s="26">
        <f t="shared" si="15"/>
        <v>-1</v>
      </c>
      <c r="O103" s="9"/>
      <c r="P103" s="3"/>
      <c r="Q103" s="3"/>
      <c r="R103" s="26">
        <f t="shared" si="16"/>
        <v>0</v>
      </c>
      <c r="S103" s="3"/>
      <c r="T103" s="3">
        <v>291</v>
      </c>
      <c r="U103" s="3"/>
      <c r="V103" s="26">
        <f t="shared" si="17"/>
        <v>5.3133052424788856E-5</v>
      </c>
      <c r="W103" s="3"/>
      <c r="X103" s="3">
        <f t="shared" si="18"/>
        <v>-291</v>
      </c>
      <c r="Y103" s="3"/>
      <c r="Z103" s="26">
        <f t="shared" si="19"/>
        <v>-1</v>
      </c>
    </row>
    <row r="104" spans="1:26" s="69" customFormat="1" ht="15" hidden="1" customHeight="1" outlineLevel="1" x14ac:dyDescent="0.3">
      <c r="A104" s="47"/>
      <c r="B104" s="9" t="str">
        <f>CONCATENATE("          ","5033"," - ","PURCHASES @ COST-CANDY")</f>
        <v xml:space="preserve">          5033 - PURCHASES @ COST-CANDY</v>
      </c>
      <c r="C104" s="9"/>
      <c r="D104" s="3"/>
      <c r="E104" s="3"/>
      <c r="F104" s="26">
        <f t="shared" si="12"/>
        <v>0</v>
      </c>
      <c r="G104" s="3"/>
      <c r="H104" s="3">
        <v>1266</v>
      </c>
      <c r="I104" s="3"/>
      <c r="J104" s="26">
        <f t="shared" si="13"/>
        <v>4.7856977042599865E-3</v>
      </c>
      <c r="K104" s="3"/>
      <c r="L104" s="3">
        <f t="shared" si="14"/>
        <v>-1266</v>
      </c>
      <c r="M104" s="3"/>
      <c r="N104" s="26">
        <f t="shared" si="15"/>
        <v>-1</v>
      </c>
      <c r="O104" s="9"/>
      <c r="P104" s="3"/>
      <c r="Q104" s="3"/>
      <c r="R104" s="26">
        <f t="shared" si="16"/>
        <v>0</v>
      </c>
      <c r="S104" s="3"/>
      <c r="T104" s="3">
        <v>1266</v>
      </c>
      <c r="U104" s="3"/>
      <c r="V104" s="26">
        <f t="shared" si="17"/>
        <v>2.3115616621918449E-4</v>
      </c>
      <c r="W104" s="3"/>
      <c r="X104" s="3">
        <f t="shared" si="18"/>
        <v>-1266</v>
      </c>
      <c r="Y104" s="3"/>
      <c r="Z104" s="26">
        <f t="shared" si="19"/>
        <v>-1</v>
      </c>
    </row>
    <row r="105" spans="1:26" s="69" customFormat="1" ht="15" hidden="1" customHeight="1" outlineLevel="1" x14ac:dyDescent="0.3">
      <c r="A105" s="47"/>
      <c r="B105" s="9" t="str">
        <f>CONCATENATE("          ","5034"," - ","PURCHASES @ COST-SODA")</f>
        <v xml:space="preserve">          5034 - PURCHASES @ COST-SODA</v>
      </c>
      <c r="C105" s="9"/>
      <c r="D105" s="3"/>
      <c r="E105" s="3"/>
      <c r="F105" s="26">
        <f t="shared" si="12"/>
        <v>0</v>
      </c>
      <c r="G105" s="3"/>
      <c r="H105" s="3">
        <v>567</v>
      </c>
      <c r="I105" s="3"/>
      <c r="J105" s="26">
        <f t="shared" si="13"/>
        <v>2.1433575026188092E-3</v>
      </c>
      <c r="K105" s="3"/>
      <c r="L105" s="3">
        <f t="shared" si="14"/>
        <v>-567</v>
      </c>
      <c r="M105" s="3"/>
      <c r="N105" s="26">
        <f t="shared" si="15"/>
        <v>-1</v>
      </c>
      <c r="O105" s="9"/>
      <c r="P105" s="3"/>
      <c r="Q105" s="3"/>
      <c r="R105" s="26">
        <f t="shared" si="16"/>
        <v>0</v>
      </c>
      <c r="S105" s="3"/>
      <c r="T105" s="3">
        <v>567</v>
      </c>
      <c r="U105" s="3"/>
      <c r="V105" s="26">
        <f t="shared" si="17"/>
        <v>1.0352728771427931E-4</v>
      </c>
      <c r="W105" s="3"/>
      <c r="X105" s="3">
        <f t="shared" si="18"/>
        <v>-567</v>
      </c>
      <c r="Y105" s="3"/>
      <c r="Z105" s="26">
        <f t="shared" si="19"/>
        <v>-1</v>
      </c>
    </row>
    <row r="106" spans="1:26" s="69" customFormat="1" ht="15" hidden="1" customHeight="1" outlineLevel="1" x14ac:dyDescent="0.3">
      <c r="A106" s="47"/>
      <c r="B106" s="9" t="str">
        <f>CONCATENATE("          ","5035"," - ","PURCHASES @ COST-HEALTH &amp; BEAU")</f>
        <v xml:space="preserve">          5035 - PURCHASES @ COST-HEALTH &amp; BEAU</v>
      </c>
      <c r="C106" s="9"/>
      <c r="D106" s="3"/>
      <c r="E106" s="3"/>
      <c r="F106" s="26">
        <f t="shared" si="12"/>
        <v>0</v>
      </c>
      <c r="G106" s="3"/>
      <c r="H106" s="3">
        <v>339</v>
      </c>
      <c r="I106" s="3"/>
      <c r="J106" s="26">
        <f t="shared" si="13"/>
        <v>1.2814782952165367E-3</v>
      </c>
      <c r="K106" s="3"/>
      <c r="L106" s="3">
        <f t="shared" si="14"/>
        <v>-339</v>
      </c>
      <c r="M106" s="3"/>
      <c r="N106" s="26">
        <f t="shared" si="15"/>
        <v>-1</v>
      </c>
      <c r="O106" s="9"/>
      <c r="P106" s="3"/>
      <c r="Q106" s="3"/>
      <c r="R106" s="26">
        <f t="shared" si="16"/>
        <v>0</v>
      </c>
      <c r="S106" s="3"/>
      <c r="T106" s="3">
        <v>339</v>
      </c>
      <c r="U106" s="3"/>
      <c r="V106" s="26">
        <f t="shared" si="17"/>
        <v>6.1897267257743721E-5</v>
      </c>
      <c r="W106" s="3"/>
      <c r="X106" s="3">
        <f t="shared" si="18"/>
        <v>-339</v>
      </c>
      <c r="Y106" s="3"/>
      <c r="Z106" s="26">
        <f t="shared" si="19"/>
        <v>-1</v>
      </c>
    </row>
    <row r="107" spans="1:26" s="69" customFormat="1" ht="15" hidden="1" customHeight="1" outlineLevel="1" x14ac:dyDescent="0.3">
      <c r="A107" s="47"/>
      <c r="B107" s="9" t="str">
        <f>CONCATENATE("          ","5037"," - ","PURCHASES @ COST-WATER")</f>
        <v xml:space="preserve">          5037 - PURCHASES @ COST-WATER</v>
      </c>
      <c r="C107" s="9"/>
      <c r="D107" s="3"/>
      <c r="E107" s="3"/>
      <c r="F107" s="26">
        <f t="shared" si="12"/>
        <v>0</v>
      </c>
      <c r="G107" s="3"/>
      <c r="H107" s="3">
        <v>190.95</v>
      </c>
      <c r="I107" s="3"/>
      <c r="J107" s="26">
        <f t="shared" si="13"/>
        <v>7.2182383619940314E-4</v>
      </c>
      <c r="K107" s="3"/>
      <c r="L107" s="3">
        <f t="shared" si="14"/>
        <v>-190.95</v>
      </c>
      <c r="M107" s="3"/>
      <c r="N107" s="26">
        <f t="shared" si="15"/>
        <v>-1</v>
      </c>
      <c r="O107" s="9"/>
      <c r="P107" s="3"/>
      <c r="Q107" s="3"/>
      <c r="R107" s="26">
        <f t="shared" si="16"/>
        <v>0</v>
      </c>
      <c r="S107" s="3"/>
      <c r="T107" s="3">
        <v>190.95</v>
      </c>
      <c r="U107" s="3"/>
      <c r="V107" s="26">
        <f t="shared" si="17"/>
        <v>3.486514213234856E-5</v>
      </c>
      <c r="W107" s="3"/>
      <c r="X107" s="3">
        <f t="shared" si="18"/>
        <v>-190.95</v>
      </c>
      <c r="Y107" s="3"/>
      <c r="Z107" s="26">
        <f t="shared" si="19"/>
        <v>-1</v>
      </c>
    </row>
    <row r="108" spans="1:26" s="69" customFormat="1" ht="15" hidden="1" customHeight="1" outlineLevel="1" x14ac:dyDescent="0.3">
      <c r="A108" s="47"/>
      <c r="B108" s="9" t="str">
        <f>CONCATENATE("          ","5040"," - ","PURCHASES @ COST-LOGO CLOTHING")</f>
        <v xml:space="preserve">          5040 - PURCHASES @ COST-LOGO CLOTHING</v>
      </c>
      <c r="C108" s="9"/>
      <c r="D108" s="3"/>
      <c r="E108" s="3"/>
      <c r="F108" s="26">
        <f t="shared" si="12"/>
        <v>0</v>
      </c>
      <c r="G108" s="3"/>
      <c r="H108" s="3">
        <v>65486.18</v>
      </c>
      <c r="I108" s="3"/>
      <c r="J108" s="26">
        <f t="shared" si="13"/>
        <v>0.24754902155351996</v>
      </c>
      <c r="K108" s="3"/>
      <c r="L108" s="3">
        <f t="shared" si="14"/>
        <v>-65486.18</v>
      </c>
      <c r="M108" s="3"/>
      <c r="N108" s="26">
        <f t="shared" si="15"/>
        <v>-1</v>
      </c>
      <c r="O108" s="9"/>
      <c r="P108" s="3">
        <v>0</v>
      </c>
      <c r="Q108" s="3"/>
      <c r="R108" s="26">
        <f t="shared" si="16"/>
        <v>0</v>
      </c>
      <c r="S108" s="3"/>
      <c r="T108" s="3">
        <v>392865.16</v>
      </c>
      <c r="U108" s="3"/>
      <c r="V108" s="26">
        <f t="shared" si="17"/>
        <v>7.1732388804649688E-2</v>
      </c>
      <c r="W108" s="3"/>
      <c r="X108" s="3">
        <f t="shared" si="18"/>
        <v>-392865.16</v>
      </c>
      <c r="Y108" s="3"/>
      <c r="Z108" s="26">
        <f t="shared" si="19"/>
        <v>-1</v>
      </c>
    </row>
    <row r="109" spans="1:26" s="69" customFormat="1" ht="15" hidden="1" customHeight="1" outlineLevel="1" x14ac:dyDescent="0.3">
      <c r="A109" s="47"/>
      <c r="B109" s="9" t="str">
        <f>CONCATENATE("          ","5041"," - ","PURCHASES @ COST-LOGO GIFTS")</f>
        <v xml:space="preserve">          5041 - PURCHASES @ COST-LOGO GIFTS</v>
      </c>
      <c r="C109" s="9"/>
      <c r="D109" s="3"/>
      <c r="E109" s="3"/>
      <c r="F109" s="26">
        <f t="shared" si="12"/>
        <v>0</v>
      </c>
      <c r="G109" s="3"/>
      <c r="H109" s="3">
        <v>115476.79</v>
      </c>
      <c r="I109" s="3"/>
      <c r="J109" s="26">
        <f t="shared" si="13"/>
        <v>0.43652212385332745</v>
      </c>
      <c r="K109" s="3"/>
      <c r="L109" s="3">
        <f t="shared" si="14"/>
        <v>-115476.79</v>
      </c>
      <c r="M109" s="3"/>
      <c r="N109" s="26">
        <f t="shared" si="15"/>
        <v>-1</v>
      </c>
      <c r="O109" s="9"/>
      <c r="P109" s="3">
        <v>0</v>
      </c>
      <c r="Q109" s="3"/>
      <c r="R109" s="26">
        <f t="shared" si="16"/>
        <v>0</v>
      </c>
      <c r="S109" s="3"/>
      <c r="T109" s="3">
        <v>221875.64</v>
      </c>
      <c r="U109" s="3"/>
      <c r="V109" s="26">
        <f t="shared" si="17"/>
        <v>4.0511786982486524E-2</v>
      </c>
      <c r="W109" s="3"/>
      <c r="X109" s="3">
        <f t="shared" si="18"/>
        <v>-221875.64</v>
      </c>
      <c r="Y109" s="3"/>
      <c r="Z109" s="26">
        <f t="shared" si="19"/>
        <v>-1</v>
      </c>
    </row>
    <row r="110" spans="1:26" s="69" customFormat="1" ht="15" hidden="1" customHeight="1" outlineLevel="1" x14ac:dyDescent="0.3">
      <c r="A110" s="47"/>
      <c r="B110" s="9" t="str">
        <f>CONCATENATE("          ","5042"," - ","PURCHASES @ COST-EVERYDAY GIFT")</f>
        <v xml:space="preserve">          5042 - PURCHASES @ COST-EVERYDAY GIFT</v>
      </c>
      <c r="C110" s="9"/>
      <c r="D110" s="3"/>
      <c r="E110" s="3"/>
      <c r="F110" s="26">
        <f t="shared" si="12"/>
        <v>0</v>
      </c>
      <c r="G110" s="3"/>
      <c r="H110" s="3">
        <v>-39.200000000000003</v>
      </c>
      <c r="I110" s="3"/>
      <c r="J110" s="26">
        <f t="shared" si="13"/>
        <v>-1.4818274092179423E-4</v>
      </c>
      <c r="K110" s="3"/>
      <c r="L110" s="3">
        <f t="shared" si="14"/>
        <v>39.200000000000003</v>
      </c>
      <c r="M110" s="3"/>
      <c r="N110" s="26">
        <f t="shared" si="15"/>
        <v>-1</v>
      </c>
      <c r="O110" s="9"/>
      <c r="P110" s="3">
        <v>0</v>
      </c>
      <c r="Q110" s="3"/>
      <c r="R110" s="26">
        <f t="shared" si="16"/>
        <v>0</v>
      </c>
      <c r="S110" s="3"/>
      <c r="T110" s="3">
        <v>18708.87</v>
      </c>
      <c r="U110" s="3"/>
      <c r="V110" s="26">
        <f t="shared" si="17"/>
        <v>3.4160115825380049E-3</v>
      </c>
      <c r="W110" s="3"/>
      <c r="X110" s="3">
        <f t="shared" si="18"/>
        <v>-18708.87</v>
      </c>
      <c r="Y110" s="3"/>
      <c r="Z110" s="26">
        <f t="shared" si="19"/>
        <v>-1</v>
      </c>
    </row>
    <row r="111" spans="1:26" s="69" customFormat="1" ht="15" hidden="1" customHeight="1" outlineLevel="1" x14ac:dyDescent="0.3">
      <c r="A111" s="47"/>
      <c r="B111" s="9" t="str">
        <f>CONCATENATE("          ","5043"," - ","PURCHASES @ COST-CARDS")</f>
        <v xml:space="preserve">          5043 - PURCHASES @ COST-CARDS</v>
      </c>
      <c r="C111" s="9"/>
      <c r="D111" s="3"/>
      <c r="E111" s="3"/>
      <c r="F111" s="26">
        <f t="shared" si="12"/>
        <v>0</v>
      </c>
      <c r="G111" s="3"/>
      <c r="H111" s="3">
        <v>-4615.6499999999996</v>
      </c>
      <c r="I111" s="3"/>
      <c r="J111" s="26">
        <f t="shared" si="13"/>
        <v>-1.7447950717746925E-2</v>
      </c>
      <c r="K111" s="3"/>
      <c r="L111" s="3">
        <f t="shared" si="14"/>
        <v>4615.6499999999996</v>
      </c>
      <c r="M111" s="3"/>
      <c r="N111" s="26">
        <f t="shared" si="15"/>
        <v>-1</v>
      </c>
      <c r="O111" s="9"/>
      <c r="P111" s="3">
        <v>0</v>
      </c>
      <c r="Q111" s="3"/>
      <c r="R111" s="26">
        <f t="shared" si="16"/>
        <v>0</v>
      </c>
      <c r="S111" s="3"/>
      <c r="T111" s="3">
        <v>50967.68</v>
      </c>
      <c r="U111" s="3"/>
      <c r="V111" s="26">
        <f t="shared" si="17"/>
        <v>9.3060770220270185E-3</v>
      </c>
      <c r="W111" s="3"/>
      <c r="X111" s="3">
        <f t="shared" si="18"/>
        <v>-50967.68</v>
      </c>
      <c r="Y111" s="3"/>
      <c r="Z111" s="26">
        <f t="shared" si="19"/>
        <v>-1</v>
      </c>
    </row>
    <row r="112" spans="1:26" s="69" customFormat="1" ht="15" hidden="1" customHeight="1" outlineLevel="1" x14ac:dyDescent="0.3">
      <c r="A112" s="47"/>
      <c r="B112" s="9" t="str">
        <f>CONCATENATE("          ","5044"," - ","PURCHASES @ COST-ACCESSORIES")</f>
        <v xml:space="preserve">          5044 - PURCHASES @ COST-ACCESSORIES</v>
      </c>
      <c r="C112" s="9"/>
      <c r="D112" s="3"/>
      <c r="E112" s="3"/>
      <c r="F112" s="26">
        <f t="shared" si="12"/>
        <v>0</v>
      </c>
      <c r="G112" s="3"/>
      <c r="H112" s="3">
        <v>4371.2</v>
      </c>
      <c r="I112" s="3"/>
      <c r="J112" s="26">
        <f t="shared" si="13"/>
        <v>1.6523887681564972E-2</v>
      </c>
      <c r="K112" s="3"/>
      <c r="L112" s="3">
        <f t="shared" si="14"/>
        <v>-4371.2</v>
      </c>
      <c r="M112" s="3"/>
      <c r="N112" s="26">
        <f t="shared" si="15"/>
        <v>-1</v>
      </c>
      <c r="O112" s="9"/>
      <c r="P112" s="3">
        <v>0</v>
      </c>
      <c r="Q112" s="3"/>
      <c r="R112" s="26">
        <f t="shared" si="16"/>
        <v>0</v>
      </c>
      <c r="S112" s="3"/>
      <c r="T112" s="3">
        <v>6926.91</v>
      </c>
      <c r="U112" s="3"/>
      <c r="V112" s="26">
        <f t="shared" si="17"/>
        <v>1.2647693201779868E-3</v>
      </c>
      <c r="W112" s="3"/>
      <c r="X112" s="3">
        <f t="shared" si="18"/>
        <v>-6926.91</v>
      </c>
      <c r="Y112" s="3"/>
      <c r="Z112" s="26">
        <f t="shared" si="19"/>
        <v>-1</v>
      </c>
    </row>
    <row r="113" spans="1:26" s="69" customFormat="1" ht="15" hidden="1" customHeight="1" outlineLevel="1" x14ac:dyDescent="0.3">
      <c r="A113" s="47"/>
      <c r="B113" s="9" t="str">
        <f>CONCATENATE("          ","5045"," - ","PURCHASES @ COST-SPECIAL ORDER")</f>
        <v xml:space="preserve">          5045 - PURCHASES @ COST-SPECIAL ORDER</v>
      </c>
      <c r="C113" s="9"/>
      <c r="D113" s="3"/>
      <c r="E113" s="3"/>
      <c r="F113" s="26">
        <f t="shared" si="12"/>
        <v>0</v>
      </c>
      <c r="G113" s="3"/>
      <c r="H113" s="3">
        <v>33785.81</v>
      </c>
      <c r="I113" s="3"/>
      <c r="J113" s="26">
        <f t="shared" si="13"/>
        <v>0.12771617168527968</v>
      </c>
      <c r="K113" s="3"/>
      <c r="L113" s="3">
        <f t="shared" si="14"/>
        <v>-33785.81</v>
      </c>
      <c r="M113" s="3"/>
      <c r="N113" s="26">
        <f t="shared" si="15"/>
        <v>-1</v>
      </c>
      <c r="O113" s="9"/>
      <c r="P113" s="3">
        <v>0</v>
      </c>
      <c r="Q113" s="3"/>
      <c r="R113" s="26">
        <f t="shared" si="16"/>
        <v>0</v>
      </c>
      <c r="S113" s="3"/>
      <c r="T113" s="3">
        <v>172925.05</v>
      </c>
      <c r="U113" s="3"/>
      <c r="V113" s="26">
        <f t="shared" si="17"/>
        <v>3.1574006004155442E-2</v>
      </c>
      <c r="W113" s="3"/>
      <c r="X113" s="3">
        <f t="shared" si="18"/>
        <v>-172925.05</v>
      </c>
      <c r="Y113" s="3"/>
      <c r="Z113" s="26">
        <f t="shared" si="19"/>
        <v>-1</v>
      </c>
    </row>
    <row r="114" spans="1:26" s="69" customFormat="1" ht="15" hidden="1" customHeight="1" outlineLevel="1" x14ac:dyDescent="0.3">
      <c r="A114" s="47"/>
      <c r="B114" s="9" t="str">
        <f>CONCATENATE("          ","5053"," - ","PURCHASES @ COST-FOOD")</f>
        <v xml:space="preserve">          5053 - PURCHASES @ COST-FOOD</v>
      </c>
      <c r="C114" s="9"/>
      <c r="D114" s="3">
        <v>442.2</v>
      </c>
      <c r="E114" s="3"/>
      <c r="F114" s="26">
        <f t="shared" si="12"/>
        <v>1.4405295363120458E-3</v>
      </c>
      <c r="G114" s="3"/>
      <c r="H114" s="3">
        <v>1487.52</v>
      </c>
      <c r="I114" s="3"/>
      <c r="J114" s="26">
        <f t="shared" si="13"/>
        <v>5.6230813973466159E-3</v>
      </c>
      <c r="K114" s="3"/>
      <c r="L114" s="3">
        <f t="shared" si="14"/>
        <v>-1045.32</v>
      </c>
      <c r="M114" s="3"/>
      <c r="N114" s="26">
        <f t="shared" si="15"/>
        <v>-0.7027266860277509</v>
      </c>
      <c r="O114" s="9"/>
      <c r="P114" s="3">
        <v>47584.83</v>
      </c>
      <c r="Q114" s="3"/>
      <c r="R114" s="26">
        <f t="shared" si="16"/>
        <v>5.7164130214210343E-3</v>
      </c>
      <c r="S114" s="3"/>
      <c r="T114" s="3">
        <v>-1011.63</v>
      </c>
      <c r="U114" s="3"/>
      <c r="V114" s="26">
        <f t="shared" si="17"/>
        <v>-1.8471130523879431E-4</v>
      </c>
      <c r="W114" s="3"/>
      <c r="X114" s="3">
        <f t="shared" si="18"/>
        <v>48596.46</v>
      </c>
      <c r="Y114" s="3"/>
      <c r="Z114" s="26">
        <f t="shared" si="19"/>
        <v>-48.037780611488387</v>
      </c>
    </row>
    <row r="115" spans="1:26" s="69" customFormat="1" ht="15" hidden="1" customHeight="1" outlineLevel="1" x14ac:dyDescent="0.3">
      <c r="A115" s="47"/>
      <c r="B115" s="9" t="str">
        <f>CONCATENATE("          ","5059"," - ","PURCHASES @ COST-FOOD")</f>
        <v xml:space="preserve">          5059 - PURCHASES @ COST-FOOD</v>
      </c>
      <c r="C115" s="9"/>
      <c r="D115" s="3">
        <v>22590.98</v>
      </c>
      <c r="E115" s="3"/>
      <c r="F115" s="26">
        <f t="shared" si="12"/>
        <v>7.3593337730064906E-2</v>
      </c>
      <c r="G115" s="3"/>
      <c r="H115" s="3">
        <v>2462</v>
      </c>
      <c r="I115" s="3"/>
      <c r="J115" s="26">
        <f t="shared" si="13"/>
        <v>9.3067833711596264E-3</v>
      </c>
      <c r="K115" s="3"/>
      <c r="L115" s="3">
        <f t="shared" si="14"/>
        <v>20128.98</v>
      </c>
      <c r="M115" s="3"/>
      <c r="N115" s="26">
        <f t="shared" si="15"/>
        <v>8.1758651502843218</v>
      </c>
      <c r="O115" s="9"/>
      <c r="P115" s="3">
        <v>209527.3</v>
      </c>
      <c r="Q115" s="3"/>
      <c r="R115" s="26">
        <f t="shared" si="16"/>
        <v>2.5170723233921215E-2</v>
      </c>
      <c r="S115" s="3"/>
      <c r="T115" s="3">
        <v>33351.99</v>
      </c>
      <c r="U115" s="3"/>
      <c r="V115" s="26">
        <f t="shared" si="17"/>
        <v>6.0896667805533794E-3</v>
      </c>
      <c r="W115" s="3"/>
      <c r="X115" s="3">
        <f t="shared" si="18"/>
        <v>176175.31</v>
      </c>
      <c r="Y115" s="3"/>
      <c r="Z115" s="26">
        <f t="shared" si="19"/>
        <v>5.2823027951255686</v>
      </c>
    </row>
    <row r="116" spans="1:26" s="69" customFormat="1" ht="15" hidden="1" customHeight="1" outlineLevel="1" x14ac:dyDescent="0.3">
      <c r="A116" s="47"/>
      <c r="B116" s="9" t="str">
        <f>CONCATENATE("          ","5081"," - ","PURCHASES @ COST-ELECTRONICS")</f>
        <v xml:space="preserve">          5081 - PURCHASES @ COST-ELECTRONICS</v>
      </c>
      <c r="C116" s="9"/>
      <c r="D116" s="3"/>
      <c r="E116" s="3"/>
      <c r="F116" s="26">
        <f t="shared" si="12"/>
        <v>0</v>
      </c>
      <c r="G116" s="3"/>
      <c r="H116" s="3">
        <v>227</v>
      </c>
      <c r="I116" s="3"/>
      <c r="J116" s="26">
        <f t="shared" si="13"/>
        <v>8.5809903543998187E-4</v>
      </c>
      <c r="K116" s="3"/>
      <c r="L116" s="3">
        <f t="shared" si="14"/>
        <v>-227</v>
      </c>
      <c r="M116" s="3"/>
      <c r="N116" s="26">
        <f t="shared" si="15"/>
        <v>-1</v>
      </c>
      <c r="O116" s="9"/>
      <c r="P116" s="3"/>
      <c r="Q116" s="3"/>
      <c r="R116" s="26">
        <f t="shared" si="16"/>
        <v>0</v>
      </c>
      <c r="S116" s="3"/>
      <c r="T116" s="3">
        <v>227</v>
      </c>
      <c r="U116" s="3"/>
      <c r="V116" s="26">
        <f t="shared" si="17"/>
        <v>4.1447432647515705E-5</v>
      </c>
      <c r="W116" s="3"/>
      <c r="X116" s="3">
        <f t="shared" si="18"/>
        <v>-227</v>
      </c>
      <c r="Y116" s="3"/>
      <c r="Z116" s="26">
        <f t="shared" si="19"/>
        <v>-1</v>
      </c>
    </row>
    <row r="117" spans="1:26" s="69" customFormat="1" ht="15" hidden="1" customHeight="1" outlineLevel="1" x14ac:dyDescent="0.3">
      <c r="A117" s="47"/>
      <c r="B117" s="9" t="str">
        <f>CONCATENATE("          ","5082"," - ","PURCHASES @ COST-COMPUTER HARD")</f>
        <v xml:space="preserve">          5082 - PURCHASES @ COST-COMPUTER HARD</v>
      </c>
      <c r="C117" s="9"/>
      <c r="D117" s="3"/>
      <c r="E117" s="3"/>
      <c r="F117" s="26">
        <f t="shared" si="12"/>
        <v>0</v>
      </c>
      <c r="G117" s="3"/>
      <c r="H117" s="3">
        <v>972</v>
      </c>
      <c r="I117" s="3"/>
      <c r="J117" s="26">
        <f t="shared" si="13"/>
        <v>3.6743271473465302E-3</v>
      </c>
      <c r="K117" s="3"/>
      <c r="L117" s="3">
        <f t="shared" si="14"/>
        <v>-972</v>
      </c>
      <c r="M117" s="3"/>
      <c r="N117" s="26">
        <f t="shared" si="15"/>
        <v>-1</v>
      </c>
      <c r="O117" s="9"/>
      <c r="P117" s="3"/>
      <c r="Q117" s="3"/>
      <c r="R117" s="26">
        <f t="shared" si="16"/>
        <v>0</v>
      </c>
      <c r="S117" s="3"/>
      <c r="T117" s="3">
        <v>972</v>
      </c>
      <c r="U117" s="3"/>
      <c r="V117" s="26">
        <f t="shared" si="17"/>
        <v>1.7747535036733596E-4</v>
      </c>
      <c r="W117" s="3"/>
      <c r="X117" s="3">
        <f t="shared" si="18"/>
        <v>-972</v>
      </c>
      <c r="Y117" s="3"/>
      <c r="Z117" s="26">
        <f t="shared" si="19"/>
        <v>-1</v>
      </c>
    </row>
    <row r="118" spans="1:26" s="69" customFormat="1" ht="15" hidden="1" customHeight="1" outlineLevel="1" x14ac:dyDescent="0.3">
      <c r="A118" s="47"/>
      <c r="B118" s="9" t="str">
        <f>CONCATENATE("          ","5083"," - ","PURCHASES @ COST-COMPUTER EQUI")</f>
        <v xml:space="preserve">          5083 - PURCHASES @ COST-COMPUTER EQUI</v>
      </c>
      <c r="C118" s="9"/>
      <c r="D118" s="3"/>
      <c r="E118" s="3"/>
      <c r="F118" s="26">
        <f t="shared" si="12"/>
        <v>0</v>
      </c>
      <c r="G118" s="3"/>
      <c r="H118" s="3">
        <v>170</v>
      </c>
      <c r="I118" s="3"/>
      <c r="J118" s="26">
        <f t="shared" si="13"/>
        <v>6.4262923358941368E-4</v>
      </c>
      <c r="K118" s="3"/>
      <c r="L118" s="3">
        <f t="shared" si="14"/>
        <v>-170</v>
      </c>
      <c r="M118" s="3"/>
      <c r="N118" s="26">
        <f t="shared" si="15"/>
        <v>-1</v>
      </c>
      <c r="O118" s="9"/>
      <c r="P118" s="3"/>
      <c r="Q118" s="3"/>
      <c r="R118" s="26">
        <f t="shared" si="16"/>
        <v>0</v>
      </c>
      <c r="S118" s="3"/>
      <c r="T118" s="3">
        <v>170</v>
      </c>
      <c r="U118" s="3"/>
      <c r="V118" s="26">
        <f t="shared" si="17"/>
        <v>3.1039927533381805E-5</v>
      </c>
      <c r="W118" s="3"/>
      <c r="X118" s="3">
        <f t="shared" si="18"/>
        <v>-170</v>
      </c>
      <c r="Y118" s="3"/>
      <c r="Z118" s="26">
        <f t="shared" si="19"/>
        <v>-1</v>
      </c>
    </row>
    <row r="119" spans="1:26" s="69" customFormat="1" ht="15" hidden="1" customHeight="1" outlineLevel="1" x14ac:dyDescent="0.3">
      <c r="A119" s="47"/>
      <c r="B119" s="9" t="str">
        <f>CONCATENATE("          ","5086"," - ","PURCHASES @ COST-COMPUTER SUPP")</f>
        <v xml:space="preserve">          5086 - PURCHASES @ COST-COMPUTER SUPP</v>
      </c>
      <c r="C119" s="9"/>
      <c r="D119" s="3"/>
      <c r="E119" s="3"/>
      <c r="F119" s="26">
        <f t="shared" si="12"/>
        <v>0</v>
      </c>
      <c r="G119" s="3"/>
      <c r="H119" s="3">
        <v>156.21</v>
      </c>
      <c r="I119" s="3"/>
      <c r="J119" s="26">
        <f t="shared" si="13"/>
        <v>5.9050066222942536E-4</v>
      </c>
      <c r="K119" s="3"/>
      <c r="L119" s="3">
        <f t="shared" si="14"/>
        <v>-156.21</v>
      </c>
      <c r="M119" s="3"/>
      <c r="N119" s="26">
        <f t="shared" si="15"/>
        <v>-1</v>
      </c>
      <c r="O119" s="9"/>
      <c r="P119" s="3"/>
      <c r="Q119" s="3"/>
      <c r="R119" s="26">
        <f t="shared" si="16"/>
        <v>0</v>
      </c>
      <c r="S119" s="3"/>
      <c r="T119" s="3">
        <v>169.42</v>
      </c>
      <c r="U119" s="3"/>
      <c r="V119" s="26">
        <f t="shared" si="17"/>
        <v>3.0934026604150265E-5</v>
      </c>
      <c r="W119" s="3"/>
      <c r="X119" s="3">
        <f t="shared" si="18"/>
        <v>-169.42</v>
      </c>
      <c r="Y119" s="3"/>
      <c r="Z119" s="26">
        <f t="shared" si="19"/>
        <v>-1</v>
      </c>
    </row>
    <row r="120" spans="1:26" s="69" customFormat="1" ht="15" hidden="1" customHeight="1" outlineLevel="1" x14ac:dyDescent="0.3">
      <c r="A120" s="47"/>
      <c r="B120" s="9" t="str">
        <f>CONCATENATE("          ","5092"," - ","PURCHASES @ COST-GRAD MERCH")</f>
        <v xml:space="preserve">          5092 - PURCHASES @ COST-GRAD MERCH</v>
      </c>
      <c r="C120" s="9"/>
      <c r="D120" s="3"/>
      <c r="E120" s="3"/>
      <c r="F120" s="26">
        <f t="shared" ref="F120:F139" si="20">IF(D$12=0,0,D120/D$12)</f>
        <v>0</v>
      </c>
      <c r="G120" s="3"/>
      <c r="H120" s="3"/>
      <c r="I120" s="3"/>
      <c r="J120" s="26">
        <f t="shared" ref="J120:J139" si="21">IF(H$12=0,0,H120/H$12)</f>
        <v>0</v>
      </c>
      <c r="K120" s="3"/>
      <c r="L120" s="3">
        <f t="shared" ref="L120:L139" si="22">+D120-H120</f>
        <v>0</v>
      </c>
      <c r="M120" s="3"/>
      <c r="N120" s="26">
        <f t="shared" ref="N120:N139" si="23">IF(H120=0,0,L120/H120)</f>
        <v>0</v>
      </c>
      <c r="O120" s="9"/>
      <c r="P120" s="3"/>
      <c r="Q120" s="3"/>
      <c r="R120" s="26">
        <f t="shared" ref="R120:R139" si="24">IF(P$12=0,0,P120/P$12)</f>
        <v>0</v>
      </c>
      <c r="S120" s="3"/>
      <c r="T120" s="3">
        <v>0</v>
      </c>
      <c r="U120" s="3"/>
      <c r="V120" s="26">
        <f t="shared" ref="V120:V139" si="25">IF(T$12=0,0,T120/T$12)</f>
        <v>0</v>
      </c>
      <c r="W120" s="3"/>
      <c r="X120" s="3">
        <f t="shared" ref="X120:X139" si="26">+P120-T120</f>
        <v>0</v>
      </c>
      <c r="Y120" s="3"/>
      <c r="Z120" s="26">
        <f t="shared" ref="Z120:Z139" si="27">IF(T120=0,0,X120/T120)</f>
        <v>0</v>
      </c>
    </row>
    <row r="121" spans="1:26" s="69" customFormat="1" ht="15" hidden="1" customHeight="1" outlineLevel="1" x14ac:dyDescent="0.3">
      <c r="A121" s="47"/>
      <c r="B121" s="9" t="str">
        <f>CONCATENATE("          ","5200"," - ","PURCHASES OFFSET")</f>
        <v xml:space="preserve">          5200 - PURCHASES OFFSET</v>
      </c>
      <c r="C121" s="9"/>
      <c r="D121" s="3">
        <v>-235304</v>
      </c>
      <c r="E121" s="3"/>
      <c r="F121" s="26">
        <f t="shared" si="20"/>
        <v>-0.7665363229587735</v>
      </c>
      <c r="G121" s="3"/>
      <c r="H121" s="3">
        <v>-486860.31</v>
      </c>
      <c r="I121" s="3"/>
      <c r="J121" s="26">
        <f t="shared" si="21"/>
        <v>-1.8404156934141433</v>
      </c>
      <c r="K121" s="3"/>
      <c r="L121" s="3">
        <f t="shared" si="22"/>
        <v>251556.31</v>
      </c>
      <c r="M121" s="3"/>
      <c r="N121" s="26">
        <f t="shared" si="23"/>
        <v>-0.51669093748882511</v>
      </c>
      <c r="O121" s="9"/>
      <c r="P121" s="3">
        <v>-4166800.4</v>
      </c>
      <c r="Q121" s="3"/>
      <c r="R121" s="26">
        <f t="shared" si="24"/>
        <v>-0.50056188210029062</v>
      </c>
      <c r="S121" s="3"/>
      <c r="T121" s="3">
        <v>-2334827.4700000002</v>
      </c>
      <c r="U121" s="3"/>
      <c r="V121" s="26">
        <f t="shared" si="25"/>
        <v>-0.42631103218675992</v>
      </c>
      <c r="W121" s="3"/>
      <c r="X121" s="3">
        <f t="shared" si="26"/>
        <v>-1831972.9299999997</v>
      </c>
      <c r="Y121" s="3"/>
      <c r="Z121" s="26">
        <f t="shared" si="27"/>
        <v>0.78462882313098692</v>
      </c>
    </row>
    <row r="122" spans="1:26" s="69" customFormat="1" ht="15" hidden="1" customHeight="1" outlineLevel="1" x14ac:dyDescent="0.3">
      <c r="A122" s="47"/>
      <c r="B122" s="9" t="str">
        <f>CONCATENATE("          ","5300"," - ","COG$ OFFSET")</f>
        <v xml:space="preserve">          5300 - COG$ OFFSET</v>
      </c>
      <c r="C122" s="9"/>
      <c r="D122" s="3">
        <v>148138.38</v>
      </c>
      <c r="E122" s="3"/>
      <c r="F122" s="26">
        <f t="shared" si="20"/>
        <v>0.48258189021125658</v>
      </c>
      <c r="G122" s="3"/>
      <c r="H122" s="3">
        <v>155831</v>
      </c>
      <c r="I122" s="3"/>
      <c r="J122" s="26">
        <f t="shared" si="21"/>
        <v>0.58906797705571723</v>
      </c>
      <c r="K122" s="3"/>
      <c r="L122" s="3">
        <f t="shared" si="22"/>
        <v>-7692.6199999999953</v>
      </c>
      <c r="M122" s="3"/>
      <c r="N122" s="26">
        <f t="shared" si="23"/>
        <v>-4.9365145574372209E-2</v>
      </c>
      <c r="O122" s="9"/>
      <c r="P122" s="3">
        <v>3919885.02</v>
      </c>
      <c r="Q122" s="3"/>
      <c r="R122" s="26">
        <f t="shared" si="24"/>
        <v>0.47089969157820361</v>
      </c>
      <c r="S122" s="3"/>
      <c r="T122" s="3">
        <v>2797463</v>
      </c>
      <c r="U122" s="3"/>
      <c r="V122" s="26">
        <f t="shared" si="25"/>
        <v>0.5107826399842168</v>
      </c>
      <c r="W122" s="3"/>
      <c r="X122" s="3">
        <f t="shared" si="26"/>
        <v>1122422.02</v>
      </c>
      <c r="Y122" s="3"/>
      <c r="Z122" s="26">
        <f t="shared" si="27"/>
        <v>0.40122854886731302</v>
      </c>
    </row>
    <row r="123" spans="1:26" s="69" customFormat="1" ht="15" hidden="1" customHeight="1" outlineLevel="1" x14ac:dyDescent="0.3">
      <c r="A123" s="47"/>
      <c r="B123" s="9" t="str">
        <f>CONCATENATE("          ","5500"," - ","FREIGHT-IN")</f>
        <v xml:space="preserve">          5500 - FREIGHT-IN</v>
      </c>
      <c r="C123" s="9"/>
      <c r="D123" s="3">
        <v>9229.8799999999992</v>
      </c>
      <c r="E123" s="3"/>
      <c r="F123" s="26">
        <f t="shared" si="20"/>
        <v>3.0067649834047545E-2</v>
      </c>
      <c r="G123" s="3"/>
      <c r="H123" s="3">
        <v>65</v>
      </c>
      <c r="I123" s="3"/>
      <c r="J123" s="26">
        <f t="shared" si="21"/>
        <v>2.4571117754889347E-4</v>
      </c>
      <c r="K123" s="3"/>
      <c r="L123" s="3">
        <f t="shared" si="22"/>
        <v>9164.8799999999992</v>
      </c>
      <c r="M123" s="3"/>
      <c r="N123" s="26">
        <f t="shared" si="23"/>
        <v>140.99815384615383</v>
      </c>
      <c r="O123" s="9"/>
      <c r="P123" s="3">
        <v>204405.04</v>
      </c>
      <c r="Q123" s="3"/>
      <c r="R123" s="26">
        <f t="shared" si="24"/>
        <v>2.4555381038454636E-2</v>
      </c>
      <c r="S123" s="3"/>
      <c r="T123" s="3">
        <v>65</v>
      </c>
      <c r="U123" s="3"/>
      <c r="V123" s="26">
        <f t="shared" si="25"/>
        <v>1.1868207586293043E-5</v>
      </c>
      <c r="W123" s="3"/>
      <c r="X123" s="3">
        <f t="shared" si="26"/>
        <v>204340.04</v>
      </c>
      <c r="Y123" s="3"/>
      <c r="Z123" s="26">
        <f t="shared" si="27"/>
        <v>3143.6929230769233</v>
      </c>
    </row>
    <row r="124" spans="1:26" s="69" customFormat="1" ht="15" hidden="1" customHeight="1" outlineLevel="1" x14ac:dyDescent="0.3">
      <c r="A124" s="47"/>
      <c r="B124" s="9" t="str">
        <f>CONCATENATE("          ","5501"," - ","FREIGHT-IN-NEW TEXT")</f>
        <v xml:space="preserve">          5501 - FREIGHT-IN-NEW TEXT</v>
      </c>
      <c r="C124" s="9"/>
      <c r="D124" s="3"/>
      <c r="E124" s="3"/>
      <c r="F124" s="26">
        <f t="shared" si="20"/>
        <v>0</v>
      </c>
      <c r="G124" s="3"/>
      <c r="H124" s="3">
        <v>1565.85</v>
      </c>
      <c r="I124" s="3"/>
      <c r="J124" s="26">
        <f t="shared" si="21"/>
        <v>5.9191822671528435E-3</v>
      </c>
      <c r="K124" s="3"/>
      <c r="L124" s="3">
        <f t="shared" si="22"/>
        <v>-1565.85</v>
      </c>
      <c r="M124" s="3"/>
      <c r="N124" s="26">
        <f t="shared" si="23"/>
        <v>-1</v>
      </c>
      <c r="O124" s="9"/>
      <c r="P124" s="3">
        <v>0</v>
      </c>
      <c r="Q124" s="3"/>
      <c r="R124" s="26">
        <f t="shared" si="24"/>
        <v>0</v>
      </c>
      <c r="S124" s="3"/>
      <c r="T124" s="3">
        <v>53401.99</v>
      </c>
      <c r="U124" s="3"/>
      <c r="V124" s="26">
        <f t="shared" si="25"/>
        <v>9.7505523514022328E-3</v>
      </c>
      <c r="W124" s="3"/>
      <c r="X124" s="3">
        <f t="shared" si="26"/>
        <v>-53401.99</v>
      </c>
      <c r="Y124" s="3"/>
      <c r="Z124" s="26">
        <f t="shared" si="27"/>
        <v>-1</v>
      </c>
    </row>
    <row r="125" spans="1:26" s="69" customFormat="1" ht="15" hidden="1" customHeight="1" outlineLevel="1" x14ac:dyDescent="0.3">
      <c r="A125" s="47"/>
      <c r="B125" s="9" t="str">
        <f>CONCATENATE("          ","5502"," - ","FREIGHT-IN-USED TEXT")</f>
        <v xml:space="preserve">          5502 - FREIGHT-IN-USED TEXT</v>
      </c>
      <c r="C125" s="9"/>
      <c r="D125" s="3"/>
      <c r="E125" s="3"/>
      <c r="F125" s="26">
        <f t="shared" si="20"/>
        <v>0</v>
      </c>
      <c r="G125" s="3"/>
      <c r="H125" s="3">
        <v>149.80000000000001</v>
      </c>
      <c r="I125" s="3"/>
      <c r="J125" s="26">
        <f t="shared" si="21"/>
        <v>5.6626975995114227E-4</v>
      </c>
      <c r="K125" s="3"/>
      <c r="L125" s="3">
        <f t="shared" si="22"/>
        <v>-149.80000000000001</v>
      </c>
      <c r="M125" s="3"/>
      <c r="N125" s="26">
        <f t="shared" si="23"/>
        <v>-1</v>
      </c>
      <c r="O125" s="9"/>
      <c r="P125" s="3">
        <v>0</v>
      </c>
      <c r="Q125" s="3"/>
      <c r="R125" s="26">
        <f t="shared" si="24"/>
        <v>0</v>
      </c>
      <c r="S125" s="3"/>
      <c r="T125" s="3">
        <v>18142.669999999998</v>
      </c>
      <c r="U125" s="3"/>
      <c r="V125" s="26">
        <f t="shared" si="25"/>
        <v>3.3126303650709414E-3</v>
      </c>
      <c r="W125" s="3"/>
      <c r="X125" s="3">
        <f t="shared" si="26"/>
        <v>-18142.669999999998</v>
      </c>
      <c r="Y125" s="3"/>
      <c r="Z125" s="26">
        <f t="shared" si="27"/>
        <v>-1</v>
      </c>
    </row>
    <row r="126" spans="1:26" s="69" customFormat="1" ht="15" hidden="1" customHeight="1" outlineLevel="1" x14ac:dyDescent="0.3">
      <c r="A126" s="47"/>
      <c r="B126" s="9" t="str">
        <f>CONCATENATE("          ","5504"," - ","FREIGHT-IN-DIGITAL TEXT")</f>
        <v xml:space="preserve">          5504 - FREIGHT-IN-DIGITAL TEXT</v>
      </c>
      <c r="C126" s="9"/>
      <c r="D126" s="3"/>
      <c r="E126" s="3"/>
      <c r="F126" s="26">
        <f t="shared" si="20"/>
        <v>0</v>
      </c>
      <c r="G126" s="3"/>
      <c r="H126" s="3">
        <v>4.28</v>
      </c>
      <c r="I126" s="3"/>
      <c r="J126" s="26">
        <f t="shared" si="21"/>
        <v>1.6179135998604063E-5</v>
      </c>
      <c r="K126" s="3"/>
      <c r="L126" s="3">
        <f t="shared" si="22"/>
        <v>-4.28</v>
      </c>
      <c r="M126" s="3"/>
      <c r="N126" s="26">
        <f t="shared" si="23"/>
        <v>-1</v>
      </c>
      <c r="O126" s="9"/>
      <c r="P126" s="3"/>
      <c r="Q126" s="3"/>
      <c r="R126" s="26">
        <f t="shared" si="24"/>
        <v>0</v>
      </c>
      <c r="S126" s="3"/>
      <c r="T126" s="3">
        <v>33.200000000000003</v>
      </c>
      <c r="U126" s="3"/>
      <c r="V126" s="26">
        <f t="shared" si="25"/>
        <v>6.061915259460447E-6</v>
      </c>
      <c r="W126" s="3"/>
      <c r="X126" s="3">
        <f t="shared" si="26"/>
        <v>-33.200000000000003</v>
      </c>
      <c r="Y126" s="3"/>
      <c r="Z126" s="26">
        <f t="shared" si="27"/>
        <v>-1</v>
      </c>
    </row>
    <row r="127" spans="1:26" s="69" customFormat="1" ht="15" hidden="1" customHeight="1" outlineLevel="1" x14ac:dyDescent="0.3">
      <c r="A127" s="47"/>
      <c r="B127" s="9" t="str">
        <f>CONCATENATE("          ","5513"," - ","FREIGHT-IN-TRADE BOOKS")</f>
        <v xml:space="preserve">          5513 - FREIGHT-IN-TRADE BOOKS</v>
      </c>
      <c r="C127" s="9"/>
      <c r="D127" s="3"/>
      <c r="E127" s="3"/>
      <c r="F127" s="26">
        <f t="shared" si="20"/>
        <v>0</v>
      </c>
      <c r="G127" s="3"/>
      <c r="H127" s="3"/>
      <c r="I127" s="3"/>
      <c r="J127" s="26">
        <f t="shared" si="21"/>
        <v>0</v>
      </c>
      <c r="K127" s="3"/>
      <c r="L127" s="3">
        <f t="shared" si="22"/>
        <v>0</v>
      </c>
      <c r="M127" s="3"/>
      <c r="N127" s="26">
        <f t="shared" si="23"/>
        <v>0</v>
      </c>
      <c r="O127" s="9"/>
      <c r="P127" s="3"/>
      <c r="Q127" s="3"/>
      <c r="R127" s="26">
        <f t="shared" si="24"/>
        <v>0</v>
      </c>
      <c r="S127" s="3"/>
      <c r="T127" s="3">
        <v>85.28</v>
      </c>
      <c r="U127" s="3"/>
      <c r="V127" s="26">
        <f t="shared" si="25"/>
        <v>1.5571088353216471E-5</v>
      </c>
      <c r="W127" s="3"/>
      <c r="X127" s="3">
        <f t="shared" si="26"/>
        <v>-85.28</v>
      </c>
      <c r="Y127" s="3"/>
      <c r="Z127" s="26">
        <f t="shared" si="27"/>
        <v>-1</v>
      </c>
    </row>
    <row r="128" spans="1:26" s="69" customFormat="1" ht="15" hidden="1" customHeight="1" outlineLevel="1" x14ac:dyDescent="0.3">
      <c r="A128" s="47"/>
      <c r="B128" s="9" t="str">
        <f>CONCATENATE("          ","5518"," - ","FREIGHT-IN-STUDY GUIDES")</f>
        <v xml:space="preserve">          5518 - FREIGHT-IN-STUDY GUIDES</v>
      </c>
      <c r="C128" s="9"/>
      <c r="D128" s="3"/>
      <c r="E128" s="3"/>
      <c r="F128" s="26">
        <f t="shared" si="20"/>
        <v>0</v>
      </c>
      <c r="G128" s="3"/>
      <c r="H128" s="3"/>
      <c r="I128" s="3"/>
      <c r="J128" s="26">
        <f t="shared" si="21"/>
        <v>0</v>
      </c>
      <c r="K128" s="3"/>
      <c r="L128" s="3">
        <f t="shared" si="22"/>
        <v>0</v>
      </c>
      <c r="M128" s="3"/>
      <c r="N128" s="26">
        <f t="shared" si="23"/>
        <v>0</v>
      </c>
      <c r="O128" s="9"/>
      <c r="P128" s="3">
        <v>0</v>
      </c>
      <c r="Q128" s="3"/>
      <c r="R128" s="26">
        <f t="shared" si="24"/>
        <v>0</v>
      </c>
      <c r="S128" s="3"/>
      <c r="T128" s="3"/>
      <c r="U128" s="3"/>
      <c r="V128" s="26">
        <f t="shared" si="25"/>
        <v>0</v>
      </c>
      <c r="W128" s="3"/>
      <c r="X128" s="3">
        <f t="shared" si="26"/>
        <v>0</v>
      </c>
      <c r="Y128" s="3"/>
      <c r="Z128" s="26">
        <f t="shared" si="27"/>
        <v>0</v>
      </c>
    </row>
    <row r="129" spans="1:26" s="69" customFormat="1" ht="15" hidden="1" customHeight="1" outlineLevel="1" x14ac:dyDescent="0.3">
      <c r="A129" s="47"/>
      <c r="B129" s="9" t="str">
        <f>CONCATENATE("          ","5525"," - ","FREIGHT-IN-TEST FORMS")</f>
        <v xml:space="preserve">          5525 - FREIGHT-IN-TEST FORMS</v>
      </c>
      <c r="C129" s="9"/>
      <c r="D129" s="3"/>
      <c r="E129" s="3"/>
      <c r="F129" s="26">
        <f t="shared" si="20"/>
        <v>0</v>
      </c>
      <c r="G129" s="3"/>
      <c r="H129" s="3"/>
      <c r="I129" s="3"/>
      <c r="J129" s="26">
        <f t="shared" si="21"/>
        <v>0</v>
      </c>
      <c r="K129" s="3"/>
      <c r="L129" s="3">
        <f t="shared" si="22"/>
        <v>0</v>
      </c>
      <c r="M129" s="3"/>
      <c r="N129" s="26">
        <f t="shared" si="23"/>
        <v>0</v>
      </c>
      <c r="O129" s="9"/>
      <c r="P129" s="3"/>
      <c r="Q129" s="3"/>
      <c r="R129" s="26">
        <f t="shared" si="24"/>
        <v>0</v>
      </c>
      <c r="S129" s="3"/>
      <c r="T129" s="3">
        <v>48.14</v>
      </c>
      <c r="U129" s="3"/>
      <c r="V129" s="26">
        <f t="shared" si="25"/>
        <v>8.7897771262176472E-6</v>
      </c>
      <c r="W129" s="3"/>
      <c r="X129" s="3">
        <f t="shared" si="26"/>
        <v>-48.14</v>
      </c>
      <c r="Y129" s="3"/>
      <c r="Z129" s="26">
        <f t="shared" si="27"/>
        <v>-1</v>
      </c>
    </row>
    <row r="130" spans="1:26" s="69" customFormat="1" ht="15" hidden="1" customHeight="1" outlineLevel="1" x14ac:dyDescent="0.3">
      <c r="A130" s="47"/>
      <c r="B130" s="9" t="str">
        <f>CONCATENATE("          ","5526"," - ","FREIGHT-IN-WRITING INSTRUMENTS")</f>
        <v xml:space="preserve">          5526 - FREIGHT-IN-WRITING INSTRUMENTS</v>
      </c>
      <c r="C130" s="9"/>
      <c r="D130" s="3"/>
      <c r="E130" s="3"/>
      <c r="F130" s="26">
        <f t="shared" si="20"/>
        <v>0</v>
      </c>
      <c r="G130" s="3"/>
      <c r="H130" s="3"/>
      <c r="I130" s="3"/>
      <c r="J130" s="26">
        <f t="shared" si="21"/>
        <v>0</v>
      </c>
      <c r="K130" s="3"/>
      <c r="L130" s="3">
        <f t="shared" si="22"/>
        <v>0</v>
      </c>
      <c r="M130" s="3"/>
      <c r="N130" s="26">
        <f t="shared" si="23"/>
        <v>0</v>
      </c>
      <c r="O130" s="9"/>
      <c r="P130" s="3"/>
      <c r="Q130" s="3"/>
      <c r="R130" s="26">
        <f t="shared" si="24"/>
        <v>0</v>
      </c>
      <c r="S130" s="3"/>
      <c r="T130" s="3">
        <v>0</v>
      </c>
      <c r="U130" s="3"/>
      <c r="V130" s="26">
        <f t="shared" si="25"/>
        <v>0</v>
      </c>
      <c r="W130" s="3"/>
      <c r="X130" s="3">
        <f t="shared" si="26"/>
        <v>0</v>
      </c>
      <c r="Y130" s="3"/>
      <c r="Z130" s="26">
        <f t="shared" si="27"/>
        <v>0</v>
      </c>
    </row>
    <row r="131" spans="1:26" s="69" customFormat="1" ht="15" hidden="1" customHeight="1" outlineLevel="1" x14ac:dyDescent="0.3">
      <c r="A131" s="47"/>
      <c r="B131" s="9" t="str">
        <f>CONCATENATE("          ","5527"," - ","FREIGHT-IN-SCHOOL SUPPLIES")</f>
        <v xml:space="preserve">          5527 - FREIGHT-IN-SCHOOL SUPPLIES</v>
      </c>
      <c r="C131" s="9"/>
      <c r="D131" s="3"/>
      <c r="E131" s="3"/>
      <c r="F131" s="26">
        <f t="shared" si="20"/>
        <v>0</v>
      </c>
      <c r="G131" s="3"/>
      <c r="H131" s="3">
        <v>58.29</v>
      </c>
      <c r="I131" s="3"/>
      <c r="J131" s="26">
        <f t="shared" si="21"/>
        <v>2.2034622368192309E-4</v>
      </c>
      <c r="K131" s="3"/>
      <c r="L131" s="3">
        <f t="shared" si="22"/>
        <v>-58.29</v>
      </c>
      <c r="M131" s="3"/>
      <c r="N131" s="26">
        <f t="shared" si="23"/>
        <v>-1</v>
      </c>
      <c r="O131" s="9"/>
      <c r="P131" s="3">
        <v>0</v>
      </c>
      <c r="Q131" s="3"/>
      <c r="R131" s="26">
        <f t="shared" si="24"/>
        <v>0</v>
      </c>
      <c r="S131" s="3"/>
      <c r="T131" s="3">
        <v>276.91000000000003</v>
      </c>
      <c r="U131" s="3"/>
      <c r="V131" s="26">
        <f t="shared" si="25"/>
        <v>5.0560390195698564E-5</v>
      </c>
      <c r="W131" s="3"/>
      <c r="X131" s="3">
        <f t="shared" si="26"/>
        <v>-276.91000000000003</v>
      </c>
      <c r="Y131" s="3"/>
      <c r="Z131" s="26">
        <f t="shared" si="27"/>
        <v>-1</v>
      </c>
    </row>
    <row r="132" spans="1:26" s="69" customFormat="1" ht="15" hidden="1" customHeight="1" outlineLevel="1" x14ac:dyDescent="0.3">
      <c r="A132" s="47"/>
      <c r="B132" s="9" t="str">
        <f>CONCATENATE("          ","5528"," - ","FREIGHT-IN-ART/TECH")</f>
        <v xml:space="preserve">          5528 - FREIGHT-IN-ART/TECH</v>
      </c>
      <c r="C132" s="9"/>
      <c r="D132" s="3"/>
      <c r="E132" s="3"/>
      <c r="F132" s="26">
        <f t="shared" si="20"/>
        <v>0</v>
      </c>
      <c r="G132" s="3"/>
      <c r="H132" s="3">
        <v>102.68</v>
      </c>
      <c r="I132" s="3"/>
      <c r="J132" s="26">
        <f t="shared" si="21"/>
        <v>3.8814805708800592E-4</v>
      </c>
      <c r="K132" s="3"/>
      <c r="L132" s="3">
        <f t="shared" si="22"/>
        <v>-102.68</v>
      </c>
      <c r="M132" s="3"/>
      <c r="N132" s="26">
        <f t="shared" si="23"/>
        <v>-1</v>
      </c>
      <c r="O132" s="9"/>
      <c r="P132" s="3">
        <v>0</v>
      </c>
      <c r="Q132" s="3"/>
      <c r="R132" s="26">
        <f t="shared" si="24"/>
        <v>0</v>
      </c>
      <c r="S132" s="3"/>
      <c r="T132" s="3">
        <v>675.64</v>
      </c>
      <c r="U132" s="3"/>
      <c r="V132" s="26">
        <f t="shared" si="25"/>
        <v>1.2336362728620047E-4</v>
      </c>
      <c r="W132" s="3"/>
      <c r="X132" s="3">
        <f t="shared" si="26"/>
        <v>-675.64</v>
      </c>
      <c r="Y132" s="3"/>
      <c r="Z132" s="26">
        <f t="shared" si="27"/>
        <v>-1</v>
      </c>
    </row>
    <row r="133" spans="1:26" s="69" customFormat="1" ht="15" hidden="1" customHeight="1" outlineLevel="1" x14ac:dyDescent="0.3">
      <c r="A133" s="47"/>
      <c r="B133" s="9" t="str">
        <f>CONCATENATE("          ","5540"," - ","FREIGHT-IN-LOGO CLOTHING")</f>
        <v xml:space="preserve">          5540 - FREIGHT-IN-LOGO CLOTHING</v>
      </c>
      <c r="C133" s="9"/>
      <c r="D133" s="3"/>
      <c r="E133" s="3"/>
      <c r="F133" s="26">
        <f t="shared" si="20"/>
        <v>0</v>
      </c>
      <c r="G133" s="3"/>
      <c r="H133" s="3">
        <v>1384.09</v>
      </c>
      <c r="I133" s="3"/>
      <c r="J133" s="26">
        <f t="shared" si="21"/>
        <v>5.2320982112868918E-3</v>
      </c>
      <c r="K133" s="3"/>
      <c r="L133" s="3">
        <f t="shared" si="22"/>
        <v>-1384.09</v>
      </c>
      <c r="M133" s="3"/>
      <c r="N133" s="26">
        <f t="shared" si="23"/>
        <v>-1</v>
      </c>
      <c r="O133" s="9"/>
      <c r="P133" s="3">
        <v>0</v>
      </c>
      <c r="Q133" s="3"/>
      <c r="R133" s="26">
        <f t="shared" si="24"/>
        <v>0</v>
      </c>
      <c r="S133" s="3"/>
      <c r="T133" s="3">
        <v>11883.79</v>
      </c>
      <c r="U133" s="3"/>
      <c r="V133" s="26">
        <f t="shared" si="25"/>
        <v>2.169835178952514E-3</v>
      </c>
      <c r="W133" s="3"/>
      <c r="X133" s="3">
        <f t="shared" si="26"/>
        <v>-11883.79</v>
      </c>
      <c r="Y133" s="3"/>
      <c r="Z133" s="26">
        <f t="shared" si="27"/>
        <v>-1</v>
      </c>
    </row>
    <row r="134" spans="1:26" s="69" customFormat="1" ht="15" hidden="1" customHeight="1" outlineLevel="1" x14ac:dyDescent="0.3">
      <c r="A134" s="47"/>
      <c r="B134" s="9" t="str">
        <f>CONCATENATE("          ","5541"," - ","FREIGHT-IN-LOGO GIFTS")</f>
        <v xml:space="preserve">          5541 - FREIGHT-IN-LOGO GIFTS</v>
      </c>
      <c r="C134" s="9"/>
      <c r="D134" s="3"/>
      <c r="E134" s="3"/>
      <c r="F134" s="26">
        <f t="shared" si="20"/>
        <v>0</v>
      </c>
      <c r="G134" s="3"/>
      <c r="H134" s="3">
        <v>1606.81</v>
      </c>
      <c r="I134" s="3"/>
      <c r="J134" s="26">
        <f t="shared" si="21"/>
        <v>6.074018110728269E-3</v>
      </c>
      <c r="K134" s="3"/>
      <c r="L134" s="3">
        <f t="shared" si="22"/>
        <v>-1606.81</v>
      </c>
      <c r="M134" s="3"/>
      <c r="N134" s="26">
        <f t="shared" si="23"/>
        <v>-1</v>
      </c>
      <c r="O134" s="9"/>
      <c r="P134" s="3">
        <v>0</v>
      </c>
      <c r="Q134" s="3"/>
      <c r="R134" s="26">
        <f t="shared" si="24"/>
        <v>0</v>
      </c>
      <c r="S134" s="3"/>
      <c r="T134" s="3">
        <v>7584.01</v>
      </c>
      <c r="U134" s="3"/>
      <c r="V134" s="26">
        <f t="shared" si="25"/>
        <v>1.3847477694849586E-3</v>
      </c>
      <c r="W134" s="3"/>
      <c r="X134" s="3">
        <f t="shared" si="26"/>
        <v>-7584.01</v>
      </c>
      <c r="Y134" s="3"/>
      <c r="Z134" s="26">
        <f t="shared" si="27"/>
        <v>-1</v>
      </c>
    </row>
    <row r="135" spans="1:26" s="69" customFormat="1" ht="15" hidden="1" customHeight="1" outlineLevel="1" x14ac:dyDescent="0.3">
      <c r="A135" s="47"/>
      <c r="B135" s="9" t="str">
        <f>CONCATENATE("          ","5542"," - ","FREIGHT-IN-EVERYDAY GIFTS")</f>
        <v xml:space="preserve">          5542 - FREIGHT-IN-EVERYDAY GIFTS</v>
      </c>
      <c r="C135" s="9"/>
      <c r="D135" s="3"/>
      <c r="E135" s="3"/>
      <c r="F135" s="26">
        <f t="shared" si="20"/>
        <v>0</v>
      </c>
      <c r="G135" s="3"/>
      <c r="H135" s="3"/>
      <c r="I135" s="3"/>
      <c r="J135" s="26">
        <f t="shared" si="21"/>
        <v>0</v>
      </c>
      <c r="K135" s="3"/>
      <c r="L135" s="3">
        <f t="shared" si="22"/>
        <v>0</v>
      </c>
      <c r="M135" s="3"/>
      <c r="N135" s="26">
        <f t="shared" si="23"/>
        <v>0</v>
      </c>
      <c r="O135" s="9"/>
      <c r="P135" s="3">
        <v>0</v>
      </c>
      <c r="Q135" s="3"/>
      <c r="R135" s="26">
        <f t="shared" si="24"/>
        <v>0</v>
      </c>
      <c r="S135" s="3"/>
      <c r="T135" s="3">
        <v>681.72</v>
      </c>
      <c r="U135" s="3"/>
      <c r="V135" s="26">
        <f t="shared" si="25"/>
        <v>1.2447376116504145E-4</v>
      </c>
      <c r="W135" s="3"/>
      <c r="X135" s="3">
        <f t="shared" si="26"/>
        <v>-681.72</v>
      </c>
      <c r="Y135" s="3"/>
      <c r="Z135" s="26">
        <f t="shared" si="27"/>
        <v>-1</v>
      </c>
    </row>
    <row r="136" spans="1:26" s="69" customFormat="1" ht="15" hidden="1" customHeight="1" outlineLevel="1" x14ac:dyDescent="0.3">
      <c r="A136" s="47"/>
      <c r="B136" s="9" t="str">
        <f>CONCATENATE("          ","5543"," - ","FREIGHT-IN-CARDS")</f>
        <v xml:space="preserve">          5543 - FREIGHT-IN-CARDS</v>
      </c>
      <c r="C136" s="9"/>
      <c r="D136" s="3"/>
      <c r="E136" s="3"/>
      <c r="F136" s="26">
        <f t="shared" si="20"/>
        <v>0</v>
      </c>
      <c r="G136" s="3"/>
      <c r="H136" s="3"/>
      <c r="I136" s="3"/>
      <c r="J136" s="26">
        <f t="shared" si="21"/>
        <v>0</v>
      </c>
      <c r="K136" s="3"/>
      <c r="L136" s="3">
        <f t="shared" si="22"/>
        <v>0</v>
      </c>
      <c r="M136" s="3"/>
      <c r="N136" s="26">
        <f t="shared" si="23"/>
        <v>0</v>
      </c>
      <c r="O136" s="9"/>
      <c r="P136" s="3"/>
      <c r="Q136" s="3"/>
      <c r="R136" s="26">
        <f t="shared" si="24"/>
        <v>0</v>
      </c>
      <c r="S136" s="3"/>
      <c r="T136" s="3">
        <v>9110.5300000000007</v>
      </c>
      <c r="U136" s="3"/>
      <c r="V136" s="26">
        <f t="shared" si="25"/>
        <v>1.6634717117100055E-3</v>
      </c>
      <c r="W136" s="3"/>
      <c r="X136" s="3">
        <f t="shared" si="26"/>
        <v>-9110.5300000000007</v>
      </c>
      <c r="Y136" s="3"/>
      <c r="Z136" s="26">
        <f t="shared" si="27"/>
        <v>-1</v>
      </c>
    </row>
    <row r="137" spans="1:26" s="69" customFormat="1" ht="15" hidden="1" customHeight="1" outlineLevel="1" x14ac:dyDescent="0.3">
      <c r="A137" s="47"/>
      <c r="B137" s="9" t="str">
        <f>CONCATENATE("          ","5544"," - ","FREIGHT-IN-ACCESSORIES")</f>
        <v xml:space="preserve">          5544 - FREIGHT-IN-ACCESSORIES</v>
      </c>
      <c r="C137" s="9"/>
      <c r="D137" s="3"/>
      <c r="E137" s="3"/>
      <c r="F137" s="26">
        <f t="shared" si="20"/>
        <v>0</v>
      </c>
      <c r="G137" s="3"/>
      <c r="H137" s="3">
        <v>48.59</v>
      </c>
      <c r="I137" s="3"/>
      <c r="J137" s="26">
        <f t="shared" si="21"/>
        <v>1.836785556477036E-4</v>
      </c>
      <c r="K137" s="3"/>
      <c r="L137" s="3">
        <f t="shared" si="22"/>
        <v>-48.59</v>
      </c>
      <c r="M137" s="3"/>
      <c r="N137" s="26">
        <f t="shared" si="23"/>
        <v>-1</v>
      </c>
      <c r="O137" s="9"/>
      <c r="P137" s="3">
        <v>0</v>
      </c>
      <c r="Q137" s="3"/>
      <c r="R137" s="26">
        <f t="shared" si="24"/>
        <v>0</v>
      </c>
      <c r="S137" s="3"/>
      <c r="T137" s="3">
        <v>48.59</v>
      </c>
      <c r="U137" s="3"/>
      <c r="V137" s="26">
        <f t="shared" si="25"/>
        <v>8.8719416402766003E-6</v>
      </c>
      <c r="W137" s="3"/>
      <c r="X137" s="3">
        <f t="shared" si="26"/>
        <v>-48.59</v>
      </c>
      <c r="Y137" s="3"/>
      <c r="Z137" s="26">
        <f t="shared" si="27"/>
        <v>-1</v>
      </c>
    </row>
    <row r="138" spans="1:26" s="69" customFormat="1" ht="15" hidden="1" customHeight="1" outlineLevel="1" x14ac:dyDescent="0.3">
      <c r="A138" s="47"/>
      <c r="B138" s="9" t="str">
        <f>CONCATENATE("          ","5545"," - ","FREIGHT-IN-SPECIAL ORDERS")</f>
        <v xml:space="preserve">          5545 - FREIGHT-IN-SPECIAL ORDERS</v>
      </c>
      <c r="C138" s="9"/>
      <c r="D138" s="3"/>
      <c r="E138" s="3"/>
      <c r="F138" s="26">
        <f t="shared" si="20"/>
        <v>0</v>
      </c>
      <c r="G138" s="3"/>
      <c r="H138" s="3">
        <v>90.41</v>
      </c>
      <c r="I138" s="3"/>
      <c r="J138" s="26">
        <f t="shared" si="21"/>
        <v>3.4176534711069935E-4</v>
      </c>
      <c r="K138" s="3"/>
      <c r="L138" s="3">
        <f t="shared" si="22"/>
        <v>-90.41</v>
      </c>
      <c r="M138" s="3"/>
      <c r="N138" s="26">
        <f t="shared" si="23"/>
        <v>-1</v>
      </c>
      <c r="O138" s="9"/>
      <c r="P138" s="3">
        <v>0</v>
      </c>
      <c r="Q138" s="3"/>
      <c r="R138" s="26">
        <f t="shared" si="24"/>
        <v>0</v>
      </c>
      <c r="S138" s="3"/>
      <c r="T138" s="3">
        <v>2559.0700000000002</v>
      </c>
      <c r="U138" s="3"/>
      <c r="V138" s="26">
        <f t="shared" si="25"/>
        <v>4.672549844285375E-4</v>
      </c>
      <c r="W138" s="3"/>
      <c r="X138" s="3">
        <f t="shared" si="26"/>
        <v>-2559.0700000000002</v>
      </c>
      <c r="Y138" s="3"/>
      <c r="Z138" s="26">
        <f t="shared" si="27"/>
        <v>-1</v>
      </c>
    </row>
    <row r="139" spans="1:26" s="69" customFormat="1" ht="15" hidden="1" customHeight="1" outlineLevel="1" x14ac:dyDescent="0.3">
      <c r="A139" s="47"/>
      <c r="B139" s="9" t="str">
        <f>CONCATENATE("          ","5592"," - ","FREIGHT-IN-GRAD MERCH")</f>
        <v xml:space="preserve">          5592 - FREIGHT-IN-GRAD MERCH</v>
      </c>
      <c r="C139" s="9"/>
      <c r="D139" s="3"/>
      <c r="E139" s="3"/>
      <c r="F139" s="26">
        <f t="shared" si="20"/>
        <v>0</v>
      </c>
      <c r="G139" s="3"/>
      <c r="H139" s="3"/>
      <c r="I139" s="3"/>
      <c r="J139" s="26">
        <f t="shared" si="21"/>
        <v>0</v>
      </c>
      <c r="K139" s="3"/>
      <c r="L139" s="3">
        <f t="shared" si="22"/>
        <v>0</v>
      </c>
      <c r="M139" s="3"/>
      <c r="N139" s="26">
        <f t="shared" si="23"/>
        <v>0</v>
      </c>
      <c r="O139" s="9"/>
      <c r="P139" s="3"/>
      <c r="Q139" s="3"/>
      <c r="R139" s="26">
        <f t="shared" si="24"/>
        <v>0</v>
      </c>
      <c r="S139" s="3"/>
      <c r="T139" s="3">
        <v>0</v>
      </c>
      <c r="U139" s="3"/>
      <c r="V139" s="26">
        <f t="shared" si="25"/>
        <v>0</v>
      </c>
      <c r="W139" s="3"/>
      <c r="X139" s="3">
        <f t="shared" si="26"/>
        <v>0</v>
      </c>
      <c r="Y139" s="3"/>
      <c r="Z139" s="26">
        <f t="shared" si="27"/>
        <v>0</v>
      </c>
    </row>
    <row r="140" spans="1:26" ht="15" customHeight="1" x14ac:dyDescent="0.3">
      <c r="A140" s="12"/>
      <c r="B140" s="13"/>
      <c r="C140" s="13"/>
      <c r="D140" s="4"/>
      <c r="E140" s="4"/>
      <c r="F140" s="10"/>
      <c r="G140" s="4"/>
      <c r="H140" s="4"/>
      <c r="I140" s="4"/>
      <c r="J140" s="10"/>
      <c r="K140" s="4"/>
      <c r="L140" s="4"/>
      <c r="M140" s="4"/>
      <c r="N140" s="10"/>
      <c r="O140" s="13"/>
      <c r="P140" s="4"/>
      <c r="Q140" s="4"/>
      <c r="R140" s="10"/>
      <c r="S140" s="4"/>
      <c r="T140" s="4"/>
      <c r="U140" s="4"/>
      <c r="V140" s="10"/>
      <c r="W140" s="4"/>
      <c r="X140" s="4"/>
      <c r="Y140" s="4"/>
      <c r="Z140" s="10"/>
    </row>
    <row r="141" spans="1:26" s="62" customFormat="1" ht="15" customHeight="1" x14ac:dyDescent="0.3">
      <c r="A141" s="13"/>
      <c r="B141" s="28" t="s">
        <v>288</v>
      </c>
      <c r="C141" s="28"/>
      <c r="D141" s="22">
        <f>D12-D88</f>
        <v>-148827.94000000006</v>
      </c>
      <c r="E141" s="15"/>
      <c r="F141" s="24">
        <f>IF(D$12=0,0,D141/D$12)</f>
        <v>-0.48482823020912952</v>
      </c>
      <c r="G141" s="15"/>
      <c r="H141" s="22">
        <f>H12-H88</f>
        <v>-2706.1099999999278</v>
      </c>
      <c r="I141" s="15"/>
      <c r="J141" s="24">
        <f>IF(H$12=0,0,H141/H$12)</f>
        <v>-1.022956114887413E-2</v>
      </c>
      <c r="K141" s="17"/>
      <c r="L141" s="22">
        <f>+D141-H141</f>
        <v>-146121.83000000013</v>
      </c>
      <c r="M141" s="17"/>
      <c r="N141" s="24">
        <f>IF(H141=0,0,L141/H141)</f>
        <v>53.997003078220779</v>
      </c>
      <c r="O141" s="27"/>
      <c r="P141" s="22">
        <f>P12-P88</f>
        <v>3568792.2500000019</v>
      </c>
      <c r="Q141" s="15"/>
      <c r="R141" s="24">
        <f>IF(P$12=0,0,P141/P$12)</f>
        <v>0.42872256743685916</v>
      </c>
      <c r="S141" s="15"/>
      <c r="T141" s="22">
        <f>T12-T88</f>
        <v>1988400.9099999978</v>
      </c>
      <c r="U141" s="15"/>
      <c r="V141" s="24">
        <f>IF(T$12=0,0,T141/T$12)</f>
        <v>0.36305776561006098</v>
      </c>
      <c r="W141" s="17"/>
      <c r="X141" s="22">
        <f>+P141-T141</f>
        <v>1580391.340000004</v>
      </c>
      <c r="Y141" s="17"/>
      <c r="Z141" s="24">
        <f>IF(T141=0,0,X141/T141)</f>
        <v>0.79480517839835718</v>
      </c>
    </row>
    <row r="142" spans="1:26" ht="15" customHeight="1" x14ac:dyDescent="0.3">
      <c r="A142" s="12"/>
      <c r="B142" s="13"/>
      <c r="C142" s="12"/>
      <c r="D142" s="2"/>
      <c r="E142" s="2"/>
      <c r="F142" s="5"/>
      <c r="G142" s="2"/>
      <c r="H142" s="2"/>
      <c r="I142" s="2"/>
      <c r="J142" s="5"/>
      <c r="K142" s="2"/>
      <c r="L142" s="2"/>
      <c r="M142" s="2"/>
      <c r="N142" s="5"/>
      <c r="O142" s="37"/>
      <c r="P142" s="2"/>
      <c r="Q142" s="2"/>
      <c r="R142" s="5"/>
      <c r="S142" s="2"/>
      <c r="T142" s="2"/>
      <c r="U142" s="2"/>
      <c r="V142" s="5"/>
      <c r="W142" s="2"/>
      <c r="X142" s="2"/>
      <c r="Y142" s="2"/>
      <c r="Z142" s="5"/>
    </row>
    <row r="143" spans="1:26" s="62" customFormat="1" ht="15" customHeight="1" x14ac:dyDescent="0.3">
      <c r="A143" s="13"/>
      <c r="B143" s="27" t="s">
        <v>289</v>
      </c>
      <c r="C143" s="13"/>
      <c r="D143" s="23" cm="1">
        <f t="array" ref="D143">SUM(OSRRefD22x_0)</f>
        <v>272793.52000000008</v>
      </c>
      <c r="E143" s="23"/>
      <c r="F143" s="34">
        <f t="shared" ref="F143:F174" si="28">IF(D$12=0,0,D143/D$12)</f>
        <v>0.88866377854936895</v>
      </c>
      <c r="G143" s="23"/>
      <c r="H143" s="23" cm="1">
        <f t="array" ref="H143">SUM(OSRRefH22x_0)</f>
        <v>256966.23999999996</v>
      </c>
      <c r="I143" s="23"/>
      <c r="J143" s="34">
        <f t="shared" ref="J143:J174" si="29">IF(H$12=0,0,H143/H$12)</f>
        <v>0.97137657570325486</v>
      </c>
      <c r="K143" s="8"/>
      <c r="L143" s="23">
        <f t="shared" ref="L143:L174" si="30">+D143-H143</f>
        <v>15827.280000000115</v>
      </c>
      <c r="M143" s="8"/>
      <c r="N143" s="34">
        <f t="shared" ref="N143:N174" si="31">IF(H143=0,0,L143/H143)</f>
        <v>6.1592838031953603E-2</v>
      </c>
      <c r="O143" s="13"/>
      <c r="P143" s="23" cm="1">
        <f t="array" ref="P143">SUM(OSRRefP22x_0)</f>
        <v>4181476.9700000007</v>
      </c>
      <c r="Q143" s="23"/>
      <c r="R143" s="34">
        <f t="shared" ref="R143:R174" si="32">IF(P$12=0,0,P143/P$12)</f>
        <v>0.50232499307195533</v>
      </c>
      <c r="S143" s="23"/>
      <c r="T143" s="23" cm="1">
        <f t="array" ref="T143">SUM(OSRRefT22x_0)</f>
        <v>3374060.5100000016</v>
      </c>
      <c r="U143" s="23"/>
      <c r="V143" s="34">
        <f t="shared" ref="V143:V174" si="33">IF(T$12=0,0,T143/T$12)</f>
        <v>0.6160623160214429</v>
      </c>
      <c r="W143" s="8"/>
      <c r="X143" s="23">
        <f t="shared" ref="X143:X174" si="34">+P143-T143</f>
        <v>807416.45999999903</v>
      </c>
      <c r="Y143" s="8"/>
      <c r="Z143" s="34">
        <f t="shared" ref="Z143:Z174" si="35">IF(T143=0,0,X143/T143)</f>
        <v>0.23930112029911363</v>
      </c>
    </row>
    <row r="144" spans="1:26" s="68" customFormat="1" ht="15" customHeight="1" outlineLevel="1" collapsed="1" x14ac:dyDescent="0.3">
      <c r="A144" s="20"/>
      <c r="B144" s="11" t="str">
        <f>CONCATENATE("     ","*Benefits                                         ")</f>
        <v xml:space="preserve">     *Benefits                                         </v>
      </c>
      <c r="C144" s="11"/>
      <c r="D144" s="2">
        <f>SUM(OSRRefD22_0x_0)</f>
        <v>33347.519999999997</v>
      </c>
      <c r="E144" s="2"/>
      <c r="F144" s="5">
        <f t="shared" si="28"/>
        <v>0.1086343001419192</v>
      </c>
      <c r="G144" s="2"/>
      <c r="H144" s="2">
        <f>SUM(OSRRefH22_0x_0)</f>
        <v>53691.33</v>
      </c>
      <c r="I144" s="2"/>
      <c r="J144" s="5">
        <f t="shared" si="29"/>
        <v>0.20296246028409587</v>
      </c>
      <c r="K144" s="2"/>
      <c r="L144" s="2">
        <f t="shared" si="30"/>
        <v>-20343.810000000005</v>
      </c>
      <c r="M144" s="2"/>
      <c r="N144" s="5">
        <f t="shared" si="31"/>
        <v>-0.37890307429523545</v>
      </c>
      <c r="O144" s="11"/>
      <c r="P144" s="2">
        <f>SUM(OSRRefP22_0x_0)</f>
        <v>588007.27000000014</v>
      </c>
      <c r="Q144" s="2"/>
      <c r="R144" s="5">
        <f t="shared" si="32"/>
        <v>7.0637898988358983E-2</v>
      </c>
      <c r="S144" s="2"/>
      <c r="T144" s="2">
        <f>SUM(OSRRefT22_0x_0)</f>
        <v>600219.56000000006</v>
      </c>
      <c r="U144" s="2"/>
      <c r="V144" s="5">
        <f t="shared" si="33"/>
        <v>0.10959277439128419</v>
      </c>
      <c r="W144" s="2"/>
      <c r="X144" s="2">
        <f t="shared" si="34"/>
        <v>-12212.289999999921</v>
      </c>
      <c r="Y144" s="2"/>
      <c r="Z144" s="5">
        <f t="shared" si="35"/>
        <v>-2.034637125121334E-2</v>
      </c>
    </row>
    <row r="145" spans="1:26" s="69" customFormat="1" ht="15" hidden="1" customHeight="1" outlineLevel="2" x14ac:dyDescent="0.3">
      <c r="A145" s="21"/>
      <c r="B145" s="9" t="str">
        <f>CONCATENATE("          ","6111"," - ","F.I.C.A.")</f>
        <v xml:space="preserve">          6111 - F.I.C.A.</v>
      </c>
      <c r="C145" s="9"/>
      <c r="D145" s="6">
        <v>12225.61</v>
      </c>
      <c r="E145" s="3"/>
      <c r="F145" s="7">
        <f t="shared" si="28"/>
        <v>3.9826667355115135E-2</v>
      </c>
      <c r="G145" s="3"/>
      <c r="H145" s="6">
        <v>9383.11</v>
      </c>
      <c r="I145" s="3"/>
      <c r="J145" s="7">
        <f t="shared" si="29"/>
        <v>3.5469769341089204E-2</v>
      </c>
      <c r="K145" s="3"/>
      <c r="L145" s="6">
        <f t="shared" si="30"/>
        <v>2842.5</v>
      </c>
      <c r="M145" s="3"/>
      <c r="N145" s="7">
        <f t="shared" si="31"/>
        <v>0.30293793848734585</v>
      </c>
      <c r="O145" s="9"/>
      <c r="P145" s="6">
        <v>115745.60000000001</v>
      </c>
      <c r="Q145" s="3"/>
      <c r="R145" s="7">
        <f t="shared" si="32"/>
        <v>1.3904634208259029E-2</v>
      </c>
      <c r="S145" s="3"/>
      <c r="T145" s="6">
        <v>110770.73</v>
      </c>
      <c r="U145" s="3"/>
      <c r="V145" s="7">
        <f t="shared" si="33"/>
        <v>2.0225384894234127E-2</v>
      </c>
      <c r="W145" s="3"/>
      <c r="X145" s="6">
        <f t="shared" si="34"/>
        <v>4974.8700000000099</v>
      </c>
      <c r="Y145" s="3"/>
      <c r="Z145" s="7">
        <f t="shared" si="35"/>
        <v>4.4911412969834273E-2</v>
      </c>
    </row>
    <row r="146" spans="1:26" s="69" customFormat="1" ht="15" hidden="1" customHeight="1" outlineLevel="2" x14ac:dyDescent="0.3">
      <c r="A146" s="21"/>
      <c r="B146" s="9" t="str">
        <f>CONCATENATE("          ","6112"," - ","COMPENSATION INSURANCE")</f>
        <v xml:space="preserve">          6112 - COMPENSATION INSURANCE</v>
      </c>
      <c r="C146" s="9"/>
      <c r="D146" s="6">
        <v>-17062.560000000001</v>
      </c>
      <c r="E146" s="3"/>
      <c r="F146" s="7">
        <f t="shared" si="28"/>
        <v>-5.5583721495016877E-2</v>
      </c>
      <c r="G146" s="3"/>
      <c r="H146" s="6">
        <v>1986.74</v>
      </c>
      <c r="I146" s="3"/>
      <c r="J146" s="7">
        <f t="shared" si="29"/>
        <v>7.5102188443613637E-3</v>
      </c>
      <c r="K146" s="3"/>
      <c r="L146" s="6">
        <f t="shared" si="30"/>
        <v>-19049.300000000003</v>
      </c>
      <c r="M146" s="3"/>
      <c r="N146" s="7">
        <f t="shared" si="31"/>
        <v>-9.5882198979232331</v>
      </c>
      <c r="O146" s="9"/>
      <c r="P146" s="6">
        <v>13531.16</v>
      </c>
      <c r="Q146" s="3"/>
      <c r="R146" s="7">
        <f t="shared" si="32"/>
        <v>1.6255117275596326E-3</v>
      </c>
      <c r="S146" s="3"/>
      <c r="T146" s="6">
        <v>27109.43</v>
      </c>
      <c r="U146" s="3"/>
      <c r="V146" s="7">
        <f t="shared" si="33"/>
        <v>4.9498514274781569E-3</v>
      </c>
      <c r="W146" s="3"/>
      <c r="X146" s="6">
        <f t="shared" si="34"/>
        <v>-13578.27</v>
      </c>
      <c r="Y146" s="3"/>
      <c r="Z146" s="7">
        <f t="shared" si="35"/>
        <v>-0.50086888584525757</v>
      </c>
    </row>
    <row r="147" spans="1:26" s="69" customFormat="1" ht="15" hidden="1" customHeight="1" outlineLevel="2" x14ac:dyDescent="0.3">
      <c r="A147" s="21"/>
      <c r="B147" s="9" t="str">
        <f>CONCATENATE("          ","6113"," - ","GROUP INSURANCE")</f>
        <v xml:space="preserve">          6113 - GROUP INSURANCE</v>
      </c>
      <c r="C147" s="9"/>
      <c r="D147" s="6">
        <v>17898.29</v>
      </c>
      <c r="E147" s="3"/>
      <c r="F147" s="7">
        <f t="shared" si="28"/>
        <v>5.8306231104655201E-2</v>
      </c>
      <c r="G147" s="3"/>
      <c r="H147" s="6">
        <v>18284.05</v>
      </c>
      <c r="I147" s="3"/>
      <c r="J147" s="7">
        <f t="shared" si="29"/>
        <v>6.9116853167120698E-2</v>
      </c>
      <c r="K147" s="3"/>
      <c r="L147" s="6">
        <f t="shared" si="30"/>
        <v>-385.7599999999984</v>
      </c>
      <c r="M147" s="3"/>
      <c r="N147" s="7">
        <f t="shared" si="31"/>
        <v>-2.109817026315277E-2</v>
      </c>
      <c r="O147" s="9"/>
      <c r="P147" s="6">
        <v>211921.2</v>
      </c>
      <c r="Q147" s="3"/>
      <c r="R147" s="7">
        <f t="shared" si="32"/>
        <v>2.5458304825196839E-2</v>
      </c>
      <c r="S147" s="3"/>
      <c r="T147" s="6">
        <v>219505.96</v>
      </c>
      <c r="U147" s="3"/>
      <c r="V147" s="7">
        <f t="shared" si="33"/>
        <v>4.0079112303208264E-2</v>
      </c>
      <c r="W147" s="3"/>
      <c r="X147" s="6">
        <f t="shared" si="34"/>
        <v>-7584.7599999999802</v>
      </c>
      <c r="Y147" s="3"/>
      <c r="Z147" s="7">
        <f t="shared" si="35"/>
        <v>-3.4553777036395644E-2</v>
      </c>
    </row>
    <row r="148" spans="1:26" s="69" customFormat="1" ht="15" hidden="1" customHeight="1" outlineLevel="2" x14ac:dyDescent="0.3">
      <c r="A148" s="21"/>
      <c r="B148" s="9" t="str">
        <f>CONCATENATE("          ","6114"," - ","STATE UNEMPLOYMENT INSURANCE")</f>
        <v xml:space="preserve">          6114 - STATE UNEMPLOYMENT INSURANCE</v>
      </c>
      <c r="C148" s="9"/>
      <c r="D148" s="6"/>
      <c r="E148" s="3"/>
      <c r="F148" s="7">
        <f t="shared" si="28"/>
        <v>0</v>
      </c>
      <c r="G148" s="3"/>
      <c r="H148" s="6">
        <v>346.7</v>
      </c>
      <c r="I148" s="3"/>
      <c r="J148" s="7">
        <f t="shared" si="29"/>
        <v>1.3105856193261749E-3</v>
      </c>
      <c r="K148" s="3"/>
      <c r="L148" s="6">
        <f t="shared" si="30"/>
        <v>-346.7</v>
      </c>
      <c r="M148" s="3"/>
      <c r="N148" s="7">
        <f t="shared" si="31"/>
        <v>-1</v>
      </c>
      <c r="O148" s="9"/>
      <c r="P148" s="6">
        <v>5478.3</v>
      </c>
      <c r="Q148" s="3"/>
      <c r="R148" s="7">
        <f t="shared" si="32"/>
        <v>6.5811363527516753E-4</v>
      </c>
      <c r="S148" s="3"/>
      <c r="T148" s="6">
        <v>4493.8500000000004</v>
      </c>
      <c r="U148" s="3"/>
      <c r="V148" s="7">
        <f t="shared" si="33"/>
        <v>8.2052222556404603E-4</v>
      </c>
      <c r="W148" s="3"/>
      <c r="X148" s="6">
        <f t="shared" si="34"/>
        <v>984.44999999999982</v>
      </c>
      <c r="Y148" s="3"/>
      <c r="Z148" s="7">
        <f t="shared" si="35"/>
        <v>0.21906605694449074</v>
      </c>
    </row>
    <row r="149" spans="1:26" s="69" customFormat="1" ht="15" hidden="1" customHeight="1" outlineLevel="2" x14ac:dyDescent="0.3">
      <c r="A149" s="21"/>
      <c r="B149" s="9" t="str">
        <f>CONCATENATE("          ","6115"," - ","P.E.R.S.")</f>
        <v xml:space="preserve">          6115 - P.E.R.S.</v>
      </c>
      <c r="C149" s="9"/>
      <c r="D149" s="6">
        <v>5501.09</v>
      </c>
      <c r="E149" s="3"/>
      <c r="F149" s="7">
        <f t="shared" si="28"/>
        <v>1.7920584864113145E-2</v>
      </c>
      <c r="G149" s="3"/>
      <c r="H149" s="6">
        <v>11653.4</v>
      </c>
      <c r="I149" s="3"/>
      <c r="J149" s="7">
        <f t="shared" si="29"/>
        <v>4.4051855945358077E-2</v>
      </c>
      <c r="K149" s="3"/>
      <c r="L149" s="6">
        <f t="shared" si="30"/>
        <v>-6152.3099999999995</v>
      </c>
      <c r="M149" s="3"/>
      <c r="N149" s="7">
        <f t="shared" si="31"/>
        <v>-0.52794120170937231</v>
      </c>
      <c r="O149" s="9"/>
      <c r="P149" s="6">
        <v>80274.78</v>
      </c>
      <c r="Q149" s="3"/>
      <c r="R149" s="7">
        <f t="shared" si="32"/>
        <v>9.6434892734451032E-3</v>
      </c>
      <c r="S149" s="3"/>
      <c r="T149" s="6">
        <v>91879.33</v>
      </c>
      <c r="U149" s="3"/>
      <c r="V149" s="7">
        <f t="shared" si="33"/>
        <v>1.6776045558915723E-2</v>
      </c>
      <c r="W149" s="3"/>
      <c r="X149" s="6">
        <f t="shared" si="34"/>
        <v>-11604.550000000003</v>
      </c>
      <c r="Y149" s="3"/>
      <c r="Z149" s="7">
        <f t="shared" si="35"/>
        <v>-0.12630207468861607</v>
      </c>
    </row>
    <row r="150" spans="1:26" s="69" customFormat="1" ht="15" hidden="1" customHeight="1" outlineLevel="2" x14ac:dyDescent="0.3">
      <c r="A150" s="21"/>
      <c r="B150" s="9" t="str">
        <f>CONCATENATE("          ","6116"," - ","EDUCATIONAL BENEFITS")</f>
        <v xml:space="preserve">          6116 - EDUCATIONAL BENEFITS</v>
      </c>
      <c r="C150" s="9"/>
      <c r="D150" s="6"/>
      <c r="E150" s="3"/>
      <c r="F150" s="7">
        <f t="shared" si="28"/>
        <v>0</v>
      </c>
      <c r="G150" s="3"/>
      <c r="H150" s="6"/>
      <c r="I150" s="3"/>
      <c r="J150" s="7">
        <f t="shared" si="29"/>
        <v>0</v>
      </c>
      <c r="K150" s="3"/>
      <c r="L150" s="6">
        <f t="shared" si="30"/>
        <v>0</v>
      </c>
      <c r="M150" s="3"/>
      <c r="N150" s="7">
        <f t="shared" si="31"/>
        <v>0</v>
      </c>
      <c r="O150" s="9"/>
      <c r="P150" s="6"/>
      <c r="Q150" s="3"/>
      <c r="R150" s="7">
        <f t="shared" si="32"/>
        <v>0</v>
      </c>
      <c r="S150" s="3"/>
      <c r="T150" s="6">
        <v>0</v>
      </c>
      <c r="U150" s="3"/>
      <c r="V150" s="7">
        <f t="shared" si="33"/>
        <v>0</v>
      </c>
      <c r="W150" s="3"/>
      <c r="X150" s="6">
        <f t="shared" si="34"/>
        <v>0</v>
      </c>
      <c r="Y150" s="3"/>
      <c r="Z150" s="7">
        <f t="shared" si="35"/>
        <v>0</v>
      </c>
    </row>
    <row r="151" spans="1:26" s="69" customFormat="1" ht="15" hidden="1" customHeight="1" outlineLevel="2" x14ac:dyDescent="0.3">
      <c r="A151" s="21"/>
      <c r="B151" s="9" t="str">
        <f>CONCATENATE("          ","6117"," - ","RETIREMENT STAFF HOURLY")</f>
        <v xml:space="preserve">          6117 - RETIREMENT STAFF HOURLY</v>
      </c>
      <c r="C151" s="9"/>
      <c r="D151" s="6">
        <v>855.96</v>
      </c>
      <c r="E151" s="3"/>
      <c r="F151" s="7">
        <f t="shared" si="28"/>
        <v>2.78841171845694E-3</v>
      </c>
      <c r="G151" s="3"/>
      <c r="H151" s="6">
        <v>530.78</v>
      </c>
      <c r="I151" s="3"/>
      <c r="J151" s="7">
        <f t="shared" si="29"/>
        <v>2.0064396741446412E-3</v>
      </c>
      <c r="K151" s="3"/>
      <c r="L151" s="6">
        <f t="shared" si="30"/>
        <v>325.18000000000006</v>
      </c>
      <c r="M151" s="3"/>
      <c r="N151" s="7">
        <f t="shared" si="31"/>
        <v>0.61264554052526488</v>
      </c>
      <c r="O151" s="9"/>
      <c r="P151" s="6">
        <v>9572.7099999999991</v>
      </c>
      <c r="Q151" s="3"/>
      <c r="R151" s="7">
        <f t="shared" si="32"/>
        <v>1.1499791865240948E-3</v>
      </c>
      <c r="S151" s="3"/>
      <c r="T151" s="6">
        <v>4769.1000000000004</v>
      </c>
      <c r="U151" s="3"/>
      <c r="V151" s="7">
        <f t="shared" si="33"/>
        <v>8.7077951999677157E-4</v>
      </c>
      <c r="W151" s="3"/>
      <c r="X151" s="6">
        <f t="shared" si="34"/>
        <v>4803.6099999999988</v>
      </c>
      <c r="Y151" s="3"/>
      <c r="Z151" s="7">
        <f t="shared" si="35"/>
        <v>1.0072361661529425</v>
      </c>
    </row>
    <row r="152" spans="1:26" s="69" customFormat="1" ht="15" hidden="1" customHeight="1" outlineLevel="2" x14ac:dyDescent="0.3">
      <c r="A152" s="21"/>
      <c r="B152" s="9" t="str">
        <f>CONCATENATE("          ","6118"," - ","VACATION")</f>
        <v xml:space="preserve">          6118 - VACATION</v>
      </c>
      <c r="C152" s="9"/>
      <c r="D152" s="6">
        <v>5953.81</v>
      </c>
      <c r="E152" s="3"/>
      <c r="F152" s="7">
        <f t="shared" si="28"/>
        <v>1.9395384800067892E-2</v>
      </c>
      <c r="G152" s="3"/>
      <c r="H152" s="6">
        <v>5732.87</v>
      </c>
      <c r="I152" s="3"/>
      <c r="J152" s="7">
        <f t="shared" si="29"/>
        <v>2.1671234437457308E-2</v>
      </c>
      <c r="K152" s="3"/>
      <c r="L152" s="6">
        <f t="shared" si="30"/>
        <v>220.94000000000051</v>
      </c>
      <c r="M152" s="3"/>
      <c r="N152" s="7">
        <f t="shared" si="31"/>
        <v>3.8539161013593629E-2</v>
      </c>
      <c r="O152" s="9"/>
      <c r="P152" s="6">
        <v>78316.539999999994</v>
      </c>
      <c r="Q152" s="3"/>
      <c r="R152" s="7">
        <f t="shared" si="32"/>
        <v>9.4082439518779672E-3</v>
      </c>
      <c r="S152" s="3"/>
      <c r="T152" s="6">
        <v>72243.600000000006</v>
      </c>
      <c r="U152" s="3"/>
      <c r="V152" s="7">
        <f t="shared" si="33"/>
        <v>1.319080063970954E-2</v>
      </c>
      <c r="W152" s="3"/>
      <c r="X152" s="6">
        <f t="shared" si="34"/>
        <v>6072.9399999999878</v>
      </c>
      <c r="Y152" s="3"/>
      <c r="Z152" s="7">
        <f t="shared" si="35"/>
        <v>8.4061979192620345E-2</v>
      </c>
    </row>
    <row r="153" spans="1:26" s="69" customFormat="1" ht="15" hidden="1" customHeight="1" outlineLevel="2" x14ac:dyDescent="0.3">
      <c r="A153" s="21"/>
      <c r="B153" s="9" t="str">
        <f>CONCATENATE("          ","6119"," - ","SICK LEAVE")</f>
        <v xml:space="preserve">          6119 - SICK LEAVE</v>
      </c>
      <c r="C153" s="9"/>
      <c r="D153" s="6">
        <v>4147.1400000000003</v>
      </c>
      <c r="E153" s="3"/>
      <c r="F153" s="7">
        <f t="shared" si="28"/>
        <v>1.3509899731391087E-2</v>
      </c>
      <c r="G153" s="3"/>
      <c r="H153" s="6">
        <v>4267.55</v>
      </c>
      <c r="I153" s="3"/>
      <c r="J153" s="7">
        <f t="shared" si="29"/>
        <v>1.6132072857673544E-2</v>
      </c>
      <c r="K153" s="3"/>
      <c r="L153" s="6">
        <f t="shared" si="30"/>
        <v>-120.40999999999985</v>
      </c>
      <c r="M153" s="3"/>
      <c r="N153" s="7">
        <f t="shared" si="31"/>
        <v>-2.8215252311044943E-2</v>
      </c>
      <c r="O153" s="9"/>
      <c r="P153" s="6">
        <v>34932.81</v>
      </c>
      <c r="Q153" s="3"/>
      <c r="R153" s="7">
        <f t="shared" si="32"/>
        <v>4.1965132576669267E-3</v>
      </c>
      <c r="S153" s="3"/>
      <c r="T153" s="6">
        <v>51243.31</v>
      </c>
      <c r="U153" s="3"/>
      <c r="V153" s="7">
        <f t="shared" si="33"/>
        <v>9.3564036998271712E-3</v>
      </c>
      <c r="W153" s="3"/>
      <c r="X153" s="6">
        <f t="shared" si="34"/>
        <v>-16310.5</v>
      </c>
      <c r="Y153" s="3"/>
      <c r="Z153" s="7">
        <f t="shared" si="35"/>
        <v>-0.31829520770613767</v>
      </c>
    </row>
    <row r="154" spans="1:26" s="69" customFormat="1" ht="15" hidden="1" customHeight="1" outlineLevel="2" x14ac:dyDescent="0.3">
      <c r="A154" s="21"/>
      <c r="B154" s="9" t="str">
        <f>CONCATENATE("          ","6156"," - ","EMPLOYEE MEALS")</f>
        <v xml:space="preserve">          6156 - EMPLOYEE MEALS</v>
      </c>
      <c r="C154" s="9"/>
      <c r="D154" s="6">
        <v>3828.18</v>
      </c>
      <c r="E154" s="3"/>
      <c r="F154" s="7">
        <f t="shared" si="28"/>
        <v>1.2470842063136697E-2</v>
      </c>
      <c r="G154" s="3"/>
      <c r="H154" s="6">
        <v>1506.13</v>
      </c>
      <c r="I154" s="3"/>
      <c r="J154" s="7">
        <f t="shared" si="29"/>
        <v>5.6934303975648458E-3</v>
      </c>
      <c r="K154" s="3"/>
      <c r="L154" s="6">
        <f t="shared" si="30"/>
        <v>2322.0499999999997</v>
      </c>
      <c r="M154" s="3"/>
      <c r="N154" s="7">
        <f t="shared" si="31"/>
        <v>1.5417327853505338</v>
      </c>
      <c r="O154" s="9"/>
      <c r="P154" s="6">
        <v>38234.17</v>
      </c>
      <c r="Q154" s="3"/>
      <c r="R154" s="7">
        <f t="shared" si="32"/>
        <v>4.5931089225542138E-3</v>
      </c>
      <c r="S154" s="3"/>
      <c r="T154" s="6">
        <v>18204.25</v>
      </c>
      <c r="U154" s="3"/>
      <c r="V154" s="7">
        <f t="shared" si="33"/>
        <v>3.3238741223503864E-3</v>
      </c>
      <c r="W154" s="3"/>
      <c r="X154" s="6">
        <f t="shared" si="34"/>
        <v>20029.919999999998</v>
      </c>
      <c r="Y154" s="3"/>
      <c r="Z154" s="7">
        <f t="shared" si="35"/>
        <v>1.1002881195325267</v>
      </c>
    </row>
    <row r="155" spans="1:26" s="68" customFormat="1" ht="15" customHeight="1" outlineLevel="1" collapsed="1" x14ac:dyDescent="0.3">
      <c r="A155" s="20"/>
      <c r="B155" s="11" t="str">
        <f>CONCATENATE("     ","*Payroll                                          ")</f>
        <v xml:space="preserve">     *Payroll                                          </v>
      </c>
      <c r="C155" s="11"/>
      <c r="D155" s="2">
        <f>SUM(OSRRefD22_1x_0)</f>
        <v>147499.60999999999</v>
      </c>
      <c r="E155" s="2"/>
      <c r="F155" s="5">
        <f t="shared" si="28"/>
        <v>0.48050100587857891</v>
      </c>
      <c r="G155" s="2"/>
      <c r="H155" s="2">
        <f>SUM(OSRRefH22_1x_0)</f>
        <v>126856.57</v>
      </c>
      <c r="I155" s="2"/>
      <c r="J155" s="5">
        <f t="shared" si="29"/>
        <v>0.4795396491463636</v>
      </c>
      <c r="K155" s="2"/>
      <c r="L155" s="2">
        <f t="shared" si="30"/>
        <v>20643.039999999979</v>
      </c>
      <c r="M155" s="2"/>
      <c r="N155" s="5">
        <f t="shared" si="31"/>
        <v>0.16272740150549536</v>
      </c>
      <c r="O155" s="11"/>
      <c r="P155" s="2">
        <f>SUM(OSRRefP22_1x_0)</f>
        <v>2150479.9000000004</v>
      </c>
      <c r="Q155" s="2"/>
      <c r="R155" s="5">
        <f t="shared" si="32"/>
        <v>0.25833929222115964</v>
      </c>
      <c r="S155" s="2"/>
      <c r="T155" s="2">
        <f>SUM(OSRRefT22_1x_0)</f>
        <v>1540187.6600000001</v>
      </c>
      <c r="U155" s="2"/>
      <c r="V155" s="5">
        <f t="shared" si="33"/>
        <v>0.28121949031887589</v>
      </c>
      <c r="W155" s="2"/>
      <c r="X155" s="2">
        <f t="shared" si="34"/>
        <v>610292.24000000022</v>
      </c>
      <c r="Y155" s="2"/>
      <c r="Z155" s="5">
        <f t="shared" si="35"/>
        <v>0.39624537700814988</v>
      </c>
    </row>
    <row r="156" spans="1:26" s="69" customFormat="1" ht="15" hidden="1" customHeight="1" outlineLevel="2" x14ac:dyDescent="0.3">
      <c r="A156" s="21"/>
      <c r="B156" s="9" t="str">
        <f>CONCATENATE("          ","6001"," - ","ADMINISTRATIVE SALARIES")</f>
        <v xml:space="preserve">          6001 - ADMINISTRATIVE SALARIES</v>
      </c>
      <c r="C156" s="9"/>
      <c r="D156" s="6">
        <v>5124.17</v>
      </c>
      <c r="E156" s="3"/>
      <c r="F156" s="7">
        <f t="shared" si="28"/>
        <v>1.6692714233568738E-2</v>
      </c>
      <c r="G156" s="3"/>
      <c r="H156" s="6">
        <v>3583.28</v>
      </c>
      <c r="I156" s="3"/>
      <c r="J156" s="7">
        <f t="shared" si="29"/>
        <v>1.3545414589036908E-2</v>
      </c>
      <c r="K156" s="3"/>
      <c r="L156" s="6">
        <f t="shared" si="30"/>
        <v>1540.8899999999999</v>
      </c>
      <c r="M156" s="3"/>
      <c r="N156" s="7">
        <f t="shared" si="31"/>
        <v>0.43002221428411952</v>
      </c>
      <c r="O156" s="9"/>
      <c r="P156" s="6">
        <v>56517.3</v>
      </c>
      <c r="Q156" s="3"/>
      <c r="R156" s="7">
        <f t="shared" si="32"/>
        <v>6.7894795390791357E-3</v>
      </c>
      <c r="S156" s="3"/>
      <c r="T156" s="6">
        <v>50981.81</v>
      </c>
      <c r="U156" s="3"/>
      <c r="V156" s="7">
        <f t="shared" si="33"/>
        <v>9.3086569877684697E-3</v>
      </c>
      <c r="W156" s="3"/>
      <c r="X156" s="6">
        <f t="shared" si="34"/>
        <v>5535.4900000000052</v>
      </c>
      <c r="Y156" s="3"/>
      <c r="Z156" s="7">
        <f t="shared" si="35"/>
        <v>0.10857774567046571</v>
      </c>
    </row>
    <row r="157" spans="1:26" s="69" customFormat="1" ht="15" hidden="1" customHeight="1" outlineLevel="2" x14ac:dyDescent="0.3">
      <c r="A157" s="21"/>
      <c r="B157" s="9" t="str">
        <f>CONCATENATE("          ","6002"," - ","STAFF SALARIES")</f>
        <v xml:space="preserve">          6002 - STAFF SALARIES</v>
      </c>
      <c r="C157" s="9"/>
      <c r="D157" s="6">
        <v>40444.89</v>
      </c>
      <c r="E157" s="3"/>
      <c r="F157" s="7">
        <f t="shared" si="28"/>
        <v>0.13175499465828064</v>
      </c>
      <c r="G157" s="3"/>
      <c r="H157" s="6">
        <v>56900.92</v>
      </c>
      <c r="I157" s="3"/>
      <c r="J157" s="7">
        <f t="shared" si="29"/>
        <v>0.21509526241254437</v>
      </c>
      <c r="K157" s="3"/>
      <c r="L157" s="6">
        <f t="shared" si="30"/>
        <v>-16456.03</v>
      </c>
      <c r="M157" s="3"/>
      <c r="N157" s="7">
        <f t="shared" si="31"/>
        <v>-0.28920499000719141</v>
      </c>
      <c r="O157" s="9"/>
      <c r="P157" s="6">
        <v>682493.39</v>
      </c>
      <c r="Q157" s="3"/>
      <c r="R157" s="7">
        <f t="shared" si="32"/>
        <v>8.1988610690209129E-2</v>
      </c>
      <c r="S157" s="3"/>
      <c r="T157" s="6">
        <v>763460.06</v>
      </c>
      <c r="U157" s="3"/>
      <c r="V157" s="7">
        <f t="shared" si="33"/>
        <v>0.13939849962959602</v>
      </c>
      <c r="W157" s="3"/>
      <c r="X157" s="6">
        <f t="shared" si="34"/>
        <v>-80966.670000000042</v>
      </c>
      <c r="Y157" s="3"/>
      <c r="Z157" s="7">
        <f t="shared" si="35"/>
        <v>-0.10605226683370972</v>
      </c>
    </row>
    <row r="158" spans="1:26" s="69" customFormat="1" ht="15" hidden="1" customHeight="1" outlineLevel="2" x14ac:dyDescent="0.3">
      <c r="A158" s="21"/>
      <c r="B158" s="9" t="str">
        <f>CONCATENATE("          ","6004"," - ","STAFF HOURLY")</f>
        <v xml:space="preserve">          6004 - STAFF HOURLY</v>
      </c>
      <c r="C158" s="9"/>
      <c r="D158" s="6">
        <v>28456.720000000001</v>
      </c>
      <c r="E158" s="3"/>
      <c r="F158" s="7">
        <f t="shared" si="28"/>
        <v>9.270182195061448E-2</v>
      </c>
      <c r="G158" s="3"/>
      <c r="H158" s="6">
        <v>17280.169999999998</v>
      </c>
      <c r="I158" s="3"/>
      <c r="J158" s="7">
        <f t="shared" si="29"/>
        <v>6.5322014137616347E-2</v>
      </c>
      <c r="K158" s="3"/>
      <c r="L158" s="6">
        <f t="shared" si="30"/>
        <v>11176.550000000003</v>
      </c>
      <c r="M158" s="3"/>
      <c r="N158" s="7">
        <f t="shared" si="31"/>
        <v>0.64678472491879446</v>
      </c>
      <c r="O158" s="9"/>
      <c r="P158" s="6">
        <v>329847.59000000003</v>
      </c>
      <c r="Q158" s="3"/>
      <c r="R158" s="7">
        <f t="shared" si="32"/>
        <v>3.9624919508178272E-2</v>
      </c>
      <c r="S158" s="3"/>
      <c r="T158" s="6">
        <v>185624.67</v>
      </c>
      <c r="U158" s="3"/>
      <c r="V158" s="7">
        <f t="shared" si="33"/>
        <v>3.3892801795340655E-2</v>
      </c>
      <c r="W158" s="3"/>
      <c r="X158" s="6">
        <f t="shared" si="34"/>
        <v>144222.92000000001</v>
      </c>
      <c r="Y158" s="3"/>
      <c r="Z158" s="7">
        <f t="shared" si="35"/>
        <v>0.77695987284448775</v>
      </c>
    </row>
    <row r="159" spans="1:26" s="69" customFormat="1" ht="15" hidden="1" customHeight="1" outlineLevel="2" x14ac:dyDescent="0.3">
      <c r="A159" s="21"/>
      <c r="B159" s="9" t="str">
        <f>CONCATENATE("          ","6005"," - ","TEMPORARY WAGES-HOURLY")</f>
        <v xml:space="preserve">          6005 - TEMPORARY WAGES-HOURLY</v>
      </c>
      <c r="C159" s="9"/>
      <c r="D159" s="6">
        <v>5572.59</v>
      </c>
      <c r="E159" s="3"/>
      <c r="F159" s="7">
        <f t="shared" si="28"/>
        <v>1.8153506306551659E-2</v>
      </c>
      <c r="G159" s="3"/>
      <c r="H159" s="6">
        <v>9126.32</v>
      </c>
      <c r="I159" s="3"/>
      <c r="J159" s="7">
        <f t="shared" si="29"/>
        <v>3.4499058982892579E-2</v>
      </c>
      <c r="K159" s="3"/>
      <c r="L159" s="6">
        <f t="shared" si="30"/>
        <v>-3553.7299999999996</v>
      </c>
      <c r="M159" s="3"/>
      <c r="N159" s="7">
        <f t="shared" si="31"/>
        <v>-0.38939353430517443</v>
      </c>
      <c r="O159" s="9"/>
      <c r="P159" s="6">
        <v>115567.36</v>
      </c>
      <c r="Q159" s="3"/>
      <c r="R159" s="7">
        <f t="shared" si="32"/>
        <v>1.388322205953562E-2</v>
      </c>
      <c r="S159" s="3"/>
      <c r="T159" s="6">
        <v>171098.04</v>
      </c>
      <c r="U159" s="3"/>
      <c r="V159" s="7">
        <f t="shared" si="33"/>
        <v>3.124041625119801E-2</v>
      </c>
      <c r="W159" s="3"/>
      <c r="X159" s="6">
        <f t="shared" si="34"/>
        <v>-55530.680000000008</v>
      </c>
      <c r="Y159" s="3"/>
      <c r="Z159" s="7">
        <f t="shared" si="35"/>
        <v>-0.32455474066213735</v>
      </c>
    </row>
    <row r="160" spans="1:26" s="69" customFormat="1" ht="15" hidden="1" customHeight="1" outlineLevel="2" x14ac:dyDescent="0.3">
      <c r="A160" s="21"/>
      <c r="B160" s="9" t="str">
        <f>CONCATENATE("          ","6006"," - ","TEMPORARY PART TIME")</f>
        <v xml:space="preserve">          6006 - TEMPORARY PART TIME</v>
      </c>
      <c r="C160" s="9"/>
      <c r="D160" s="6">
        <v>4148.8900000000003</v>
      </c>
      <c r="E160" s="3"/>
      <c r="F160" s="7">
        <f t="shared" si="28"/>
        <v>1.3515600605856364E-2</v>
      </c>
      <c r="G160" s="3"/>
      <c r="H160" s="6">
        <v>4232.72</v>
      </c>
      <c r="I160" s="3"/>
      <c r="J160" s="7">
        <f t="shared" si="29"/>
        <v>1.6000409468226961E-2</v>
      </c>
      <c r="K160" s="3"/>
      <c r="L160" s="6">
        <f t="shared" si="30"/>
        <v>-83.829999999999927</v>
      </c>
      <c r="M160" s="3"/>
      <c r="N160" s="7">
        <f t="shared" si="31"/>
        <v>-1.9805231624109302E-2</v>
      </c>
      <c r="O160" s="9"/>
      <c r="P160" s="6">
        <v>30294.87</v>
      </c>
      <c r="Q160" s="3"/>
      <c r="R160" s="7">
        <f t="shared" si="32"/>
        <v>3.6393529061731949E-3</v>
      </c>
      <c r="S160" s="3"/>
      <c r="T160" s="6">
        <v>23949.45</v>
      </c>
      <c r="U160" s="3"/>
      <c r="V160" s="7">
        <f t="shared" si="33"/>
        <v>4.3728776027314757E-3</v>
      </c>
      <c r="W160" s="3"/>
      <c r="X160" s="6">
        <f t="shared" si="34"/>
        <v>6345.4199999999983</v>
      </c>
      <c r="Y160" s="3"/>
      <c r="Z160" s="7">
        <f t="shared" si="35"/>
        <v>0.26495055210036128</v>
      </c>
    </row>
    <row r="161" spans="1:26" s="69" customFormat="1" ht="15" hidden="1" customHeight="1" outlineLevel="2" x14ac:dyDescent="0.3">
      <c r="A161" s="21"/>
      <c r="B161" s="9" t="str">
        <f>CONCATENATE("          ","6007"," - ","STUDENT HOURLY")</f>
        <v xml:space="preserve">          6007 - STUDENT HOURLY</v>
      </c>
      <c r="C161" s="9"/>
      <c r="D161" s="6">
        <v>56195.05</v>
      </c>
      <c r="E161" s="3"/>
      <c r="F161" s="7">
        <f t="shared" si="28"/>
        <v>0.18306338606859393</v>
      </c>
      <c r="G161" s="3"/>
      <c r="H161" s="6">
        <v>28915.24</v>
      </c>
      <c r="I161" s="3"/>
      <c r="J161" s="7">
        <f t="shared" si="29"/>
        <v>0.10930457953090565</v>
      </c>
      <c r="K161" s="3"/>
      <c r="L161" s="6">
        <f t="shared" si="30"/>
        <v>27279.81</v>
      </c>
      <c r="M161" s="3"/>
      <c r="N161" s="7">
        <f t="shared" si="31"/>
        <v>0.94344055245607505</v>
      </c>
      <c r="O161" s="9"/>
      <c r="P161" s="6">
        <v>802101.63</v>
      </c>
      <c r="Q161" s="3"/>
      <c r="R161" s="7">
        <f t="shared" si="32"/>
        <v>9.6357267688778891E-2</v>
      </c>
      <c r="S161" s="3"/>
      <c r="T161" s="6">
        <v>325714.3</v>
      </c>
      <c r="U161" s="3"/>
      <c r="V161" s="7">
        <f t="shared" si="33"/>
        <v>5.9471460403448119E-2</v>
      </c>
      <c r="W161" s="3"/>
      <c r="X161" s="6">
        <f t="shared" si="34"/>
        <v>476387.33</v>
      </c>
      <c r="Y161" s="3"/>
      <c r="Z161" s="7">
        <f t="shared" si="35"/>
        <v>1.4625926156757625</v>
      </c>
    </row>
    <row r="162" spans="1:26" s="69" customFormat="1" ht="15" hidden="1" customHeight="1" outlineLevel="2" x14ac:dyDescent="0.3">
      <c r="A162" s="21"/>
      <c r="B162" s="9" t="str">
        <f>CONCATENATE("          ","6008"," - ","STUDENT HOURLY-FICA EXEMPT")</f>
        <v xml:space="preserve">          6008 - STUDENT HOURLY-FICA EXEMPT</v>
      </c>
      <c r="C162" s="9"/>
      <c r="D162" s="6">
        <v>7557.3</v>
      </c>
      <c r="E162" s="3"/>
      <c r="F162" s="7">
        <f t="shared" si="28"/>
        <v>2.4618982055113127E-2</v>
      </c>
      <c r="G162" s="3"/>
      <c r="H162" s="6">
        <v>6817.92</v>
      </c>
      <c r="I162" s="3"/>
      <c r="J162" s="7">
        <f t="shared" si="29"/>
        <v>2.5772910025140799E-2</v>
      </c>
      <c r="K162" s="3"/>
      <c r="L162" s="6">
        <f t="shared" si="30"/>
        <v>739.38000000000011</v>
      </c>
      <c r="M162" s="3"/>
      <c r="N162" s="7">
        <f t="shared" si="31"/>
        <v>0.10844656434807098</v>
      </c>
      <c r="O162" s="9"/>
      <c r="P162" s="6">
        <v>133657.76</v>
      </c>
      <c r="Q162" s="3"/>
      <c r="R162" s="7">
        <f t="shared" si="32"/>
        <v>1.6056439829205387E-2</v>
      </c>
      <c r="S162" s="3"/>
      <c r="T162" s="6">
        <v>19359.330000000002</v>
      </c>
      <c r="U162" s="3"/>
      <c r="V162" s="7">
        <f t="shared" si="33"/>
        <v>3.5347776487930846E-3</v>
      </c>
      <c r="W162" s="3"/>
      <c r="X162" s="6">
        <f t="shared" si="34"/>
        <v>114298.43000000001</v>
      </c>
      <c r="Y162" s="3"/>
      <c r="Z162" s="7">
        <f t="shared" si="35"/>
        <v>5.9040488487979692</v>
      </c>
    </row>
    <row r="163" spans="1:26" s="68" customFormat="1" ht="15" customHeight="1" outlineLevel="1" collapsed="1" x14ac:dyDescent="0.3">
      <c r="A163" s="20"/>
      <c r="B163" s="11" t="str">
        <f>CONCATENATE("     ","Advertising/Promo                                 ")</f>
        <v xml:space="preserve">     Advertising/Promo                                 </v>
      </c>
      <c r="C163" s="11"/>
      <c r="D163" s="2">
        <f>SUM(OSRRefD22_2x_0)</f>
        <v>6464.7</v>
      </c>
      <c r="E163" s="2"/>
      <c r="F163" s="5">
        <f t="shared" si="28"/>
        <v>2.1059681803248492E-2</v>
      </c>
      <c r="G163" s="2"/>
      <c r="H163" s="2">
        <f>SUM(OSRRefH22_2x_0)</f>
        <v>1324.8</v>
      </c>
      <c r="I163" s="2"/>
      <c r="J163" s="5">
        <f t="shared" si="29"/>
        <v>5.0079718156426783E-3</v>
      </c>
      <c r="K163" s="2"/>
      <c r="L163" s="2">
        <f t="shared" si="30"/>
        <v>5139.8999999999996</v>
      </c>
      <c r="M163" s="2"/>
      <c r="N163" s="5">
        <f t="shared" si="31"/>
        <v>3.8797554347826084</v>
      </c>
      <c r="O163" s="11"/>
      <c r="P163" s="2">
        <f>SUM(OSRRefP22_2x_0)</f>
        <v>20575.03</v>
      </c>
      <c r="Q163" s="2"/>
      <c r="R163" s="5">
        <f t="shared" si="32"/>
        <v>2.4716988462106181E-3</v>
      </c>
      <c r="S163" s="2"/>
      <c r="T163" s="2">
        <f>SUM(OSRRefT22_2x_0)</f>
        <v>18868.32</v>
      </c>
      <c r="U163" s="2"/>
      <c r="V163" s="5">
        <f t="shared" si="33"/>
        <v>3.4451252086862266E-3</v>
      </c>
      <c r="W163" s="2"/>
      <c r="X163" s="2">
        <f t="shared" si="34"/>
        <v>1706.7099999999991</v>
      </c>
      <c r="Y163" s="2"/>
      <c r="Z163" s="5">
        <f t="shared" si="35"/>
        <v>9.0453734089733437E-2</v>
      </c>
    </row>
    <row r="164" spans="1:26" s="69" customFormat="1" ht="15" hidden="1" customHeight="1" outlineLevel="2" x14ac:dyDescent="0.3">
      <c r="A164" s="21"/>
      <c r="B164" s="9" t="str">
        <f>CONCATENATE("          ","6362"," - ","ADVERTISING EXPENSE")</f>
        <v xml:space="preserve">          6362 - ADVERTISING EXPENSE</v>
      </c>
      <c r="C164" s="9"/>
      <c r="D164" s="6">
        <v>6464.7</v>
      </c>
      <c r="E164" s="3"/>
      <c r="F164" s="7">
        <f t="shared" si="28"/>
        <v>2.1059681803248492E-2</v>
      </c>
      <c r="G164" s="3"/>
      <c r="H164" s="6">
        <v>1324.8</v>
      </c>
      <c r="I164" s="3"/>
      <c r="J164" s="7">
        <f t="shared" si="29"/>
        <v>5.0079718156426783E-3</v>
      </c>
      <c r="K164" s="3"/>
      <c r="L164" s="6">
        <f t="shared" si="30"/>
        <v>5139.8999999999996</v>
      </c>
      <c r="M164" s="3"/>
      <c r="N164" s="7">
        <f t="shared" si="31"/>
        <v>3.8797554347826084</v>
      </c>
      <c r="O164" s="9"/>
      <c r="P164" s="6">
        <v>20575.03</v>
      </c>
      <c r="Q164" s="3"/>
      <c r="R164" s="7">
        <f t="shared" si="32"/>
        <v>2.4716988462106181E-3</v>
      </c>
      <c r="S164" s="3"/>
      <c r="T164" s="6">
        <v>18868.32</v>
      </c>
      <c r="U164" s="3"/>
      <c r="V164" s="7">
        <f t="shared" si="33"/>
        <v>3.4451252086862266E-3</v>
      </c>
      <c r="W164" s="3"/>
      <c r="X164" s="6">
        <f t="shared" si="34"/>
        <v>1706.7099999999991</v>
      </c>
      <c r="Y164" s="3"/>
      <c r="Z164" s="7">
        <f t="shared" si="35"/>
        <v>9.0453734089733437E-2</v>
      </c>
    </row>
    <row r="165" spans="1:26" s="68" customFormat="1" ht="15" customHeight="1" outlineLevel="1" collapsed="1" x14ac:dyDescent="0.3">
      <c r="A165" s="20"/>
      <c r="B165" s="11" t="str">
        <f>CONCATENATE("     ","Bad Debts/Over/Short                              ")</f>
        <v xml:space="preserve">     Bad Debts/Over/Short                              </v>
      </c>
      <c r="C165" s="11"/>
      <c r="D165" s="2">
        <f>SUM(OSRRefD22_3x_0)</f>
        <v>-39.18</v>
      </c>
      <c r="E165" s="2"/>
      <c r="F165" s="5">
        <f t="shared" si="28"/>
        <v>-1.2763443517120298E-4</v>
      </c>
      <c r="G165" s="2"/>
      <c r="H165" s="2">
        <f>SUM(OSRRefH22_3x_0)</f>
        <v>10.39</v>
      </c>
      <c r="I165" s="2"/>
      <c r="J165" s="5">
        <f t="shared" si="29"/>
        <v>3.9275986688200049E-5</v>
      </c>
      <c r="K165" s="2"/>
      <c r="L165" s="2">
        <f t="shared" si="30"/>
        <v>-49.57</v>
      </c>
      <c r="M165" s="2"/>
      <c r="N165" s="5">
        <f t="shared" si="31"/>
        <v>-4.7709335899903751</v>
      </c>
      <c r="O165" s="11"/>
      <c r="P165" s="2">
        <f>SUM(OSRRefP22_3x_0)</f>
        <v>-34.299999999999997</v>
      </c>
      <c r="Q165" s="2"/>
      <c r="R165" s="5">
        <f t="shared" si="32"/>
        <v>-4.1204931621010614E-6</v>
      </c>
      <c r="S165" s="2"/>
      <c r="T165" s="2">
        <f>SUM(OSRRefT22_3x_0)</f>
        <v>5217.96</v>
      </c>
      <c r="U165" s="2"/>
      <c r="V165" s="5">
        <f t="shared" si="33"/>
        <v>9.5273588395344074E-4</v>
      </c>
      <c r="W165" s="2"/>
      <c r="X165" s="2">
        <f t="shared" si="34"/>
        <v>-5252.26</v>
      </c>
      <c r="Y165" s="2"/>
      <c r="Z165" s="5">
        <f t="shared" si="35"/>
        <v>-1.0065734501605992</v>
      </c>
    </row>
    <row r="166" spans="1:26" s="69" customFormat="1" ht="15" hidden="1" customHeight="1" outlineLevel="2" x14ac:dyDescent="0.3">
      <c r="A166" s="21"/>
      <c r="B166" s="9" t="str">
        <f>CONCATENATE("          ","6272"," - ","CASH (OVER/SHORT)")</f>
        <v xml:space="preserve">          6272 - CASH (OVER/SHORT)</v>
      </c>
      <c r="C166" s="9"/>
      <c r="D166" s="6">
        <v>-39.18</v>
      </c>
      <c r="E166" s="3"/>
      <c r="F166" s="7">
        <f t="shared" si="28"/>
        <v>-1.2763443517120298E-4</v>
      </c>
      <c r="G166" s="3"/>
      <c r="H166" s="6">
        <v>10.39</v>
      </c>
      <c r="I166" s="3"/>
      <c r="J166" s="7">
        <f t="shared" si="29"/>
        <v>3.9275986688200049E-5</v>
      </c>
      <c r="K166" s="3"/>
      <c r="L166" s="6">
        <f t="shared" si="30"/>
        <v>-49.57</v>
      </c>
      <c r="M166" s="3"/>
      <c r="N166" s="7">
        <f t="shared" si="31"/>
        <v>-4.7709335899903751</v>
      </c>
      <c r="O166" s="9"/>
      <c r="P166" s="6">
        <v>-34.299999999999997</v>
      </c>
      <c r="Q166" s="3"/>
      <c r="R166" s="7">
        <f t="shared" si="32"/>
        <v>-4.1204931621010614E-6</v>
      </c>
      <c r="S166" s="3"/>
      <c r="T166" s="6">
        <v>-131.46</v>
      </c>
      <c r="U166" s="3"/>
      <c r="V166" s="7">
        <f t="shared" si="33"/>
        <v>-2.4002993373755129E-5</v>
      </c>
      <c r="W166" s="3"/>
      <c r="X166" s="6">
        <f t="shared" si="34"/>
        <v>97.160000000000011</v>
      </c>
      <c r="Y166" s="3"/>
      <c r="Z166" s="7">
        <f t="shared" si="35"/>
        <v>-0.73908413205537815</v>
      </c>
    </row>
    <row r="167" spans="1:26" s="69" customFormat="1" ht="15" hidden="1" customHeight="1" outlineLevel="2" x14ac:dyDescent="0.3">
      <c r="A167" s="21"/>
      <c r="B167" s="9" t="str">
        <f>CONCATENATE("          ","6342"," - ","BAD DEBT")</f>
        <v xml:space="preserve">          6342 - BAD DEBT</v>
      </c>
      <c r="C167" s="9"/>
      <c r="D167" s="6"/>
      <c r="E167" s="3"/>
      <c r="F167" s="7">
        <f t="shared" si="28"/>
        <v>0</v>
      </c>
      <c r="G167" s="3"/>
      <c r="H167" s="6"/>
      <c r="I167" s="3"/>
      <c r="J167" s="7">
        <f t="shared" si="29"/>
        <v>0</v>
      </c>
      <c r="K167" s="3"/>
      <c r="L167" s="6">
        <f t="shared" si="30"/>
        <v>0</v>
      </c>
      <c r="M167" s="3"/>
      <c r="N167" s="7">
        <f t="shared" si="31"/>
        <v>0</v>
      </c>
      <c r="O167" s="9"/>
      <c r="P167" s="6"/>
      <c r="Q167" s="3"/>
      <c r="R167" s="7">
        <f t="shared" si="32"/>
        <v>0</v>
      </c>
      <c r="S167" s="3"/>
      <c r="T167" s="6">
        <v>5349.42</v>
      </c>
      <c r="U167" s="3"/>
      <c r="V167" s="7">
        <f t="shared" si="33"/>
        <v>9.7673887732719592E-4</v>
      </c>
      <c r="W167" s="3"/>
      <c r="X167" s="6">
        <f t="shared" si="34"/>
        <v>-5349.42</v>
      </c>
      <c r="Y167" s="3"/>
      <c r="Z167" s="7">
        <f t="shared" si="35"/>
        <v>-1</v>
      </c>
    </row>
    <row r="168" spans="1:26" s="68" customFormat="1" ht="15" customHeight="1" outlineLevel="1" collapsed="1" x14ac:dyDescent="0.3">
      <c r="A168" s="20"/>
      <c r="B168" s="11" t="str">
        <f>CONCATENATE("     ","Bank/card Fees                                    ")</f>
        <v xml:space="preserve">     Bank/card Fees                                    </v>
      </c>
      <c r="C168" s="11"/>
      <c r="D168" s="2">
        <f>SUM(OSRRefD22_4x_0)</f>
        <v>6997.75</v>
      </c>
      <c r="E168" s="2"/>
      <c r="F168" s="5">
        <f t="shared" si="28"/>
        <v>2.2796168165372274E-2</v>
      </c>
      <c r="G168" s="2"/>
      <c r="H168" s="2">
        <f>SUM(OSRRefH22_4x_0)</f>
        <v>10372.459999999999</v>
      </c>
      <c r="I168" s="2"/>
      <c r="J168" s="5">
        <f t="shared" si="29"/>
        <v>3.920968247198147E-2</v>
      </c>
      <c r="K168" s="2"/>
      <c r="L168" s="2">
        <f t="shared" si="30"/>
        <v>-3374.7099999999991</v>
      </c>
      <c r="M168" s="2"/>
      <c r="N168" s="5">
        <f t="shared" si="31"/>
        <v>-0.32535290567522068</v>
      </c>
      <c r="O168" s="11"/>
      <c r="P168" s="2">
        <f>SUM(OSRRefP22_4x_0)</f>
        <v>171740.52</v>
      </c>
      <c r="Q168" s="2"/>
      <c r="R168" s="5">
        <f t="shared" si="32"/>
        <v>2.0631359717658327E-2</v>
      </c>
      <c r="S168" s="2"/>
      <c r="T168" s="2">
        <f>SUM(OSRRefT22_4x_0)</f>
        <v>91443.71</v>
      </c>
      <c r="U168" s="2"/>
      <c r="V168" s="5">
        <f t="shared" si="33"/>
        <v>1.6696506657550479E-2</v>
      </c>
      <c r="W168" s="2"/>
      <c r="X168" s="2">
        <f t="shared" si="34"/>
        <v>80296.809999999983</v>
      </c>
      <c r="Y168" s="2"/>
      <c r="Z168" s="5">
        <f t="shared" si="35"/>
        <v>0.87810096506364388</v>
      </c>
    </row>
    <row r="169" spans="1:26" s="69" customFormat="1" ht="15" hidden="1" customHeight="1" outlineLevel="2" x14ac:dyDescent="0.3">
      <c r="A169" s="21"/>
      <c r="B169" s="9" t="str">
        <f>CONCATENATE("          ","6381"," - ","BANK/CREDIT CARD FEES")</f>
        <v xml:space="preserve">          6381 - BANK/CREDIT CARD FEES</v>
      </c>
      <c r="C169" s="9"/>
      <c r="D169" s="6">
        <v>6997.75</v>
      </c>
      <c r="E169" s="3"/>
      <c r="F169" s="7">
        <f t="shared" si="28"/>
        <v>2.2796168165372274E-2</v>
      </c>
      <c r="G169" s="3"/>
      <c r="H169" s="6">
        <v>10372.459999999999</v>
      </c>
      <c r="I169" s="3"/>
      <c r="J169" s="7">
        <f t="shared" si="29"/>
        <v>3.920968247198147E-2</v>
      </c>
      <c r="K169" s="3"/>
      <c r="L169" s="6">
        <f t="shared" si="30"/>
        <v>-3374.7099999999991</v>
      </c>
      <c r="M169" s="3"/>
      <c r="N169" s="7">
        <f t="shared" si="31"/>
        <v>-0.32535290567522068</v>
      </c>
      <c r="O169" s="9"/>
      <c r="P169" s="6">
        <v>171740.52</v>
      </c>
      <c r="Q169" s="3"/>
      <c r="R169" s="7">
        <f t="shared" si="32"/>
        <v>2.0631359717658327E-2</v>
      </c>
      <c r="S169" s="3"/>
      <c r="T169" s="6">
        <v>91443.71</v>
      </c>
      <c r="U169" s="3"/>
      <c r="V169" s="7">
        <f t="shared" si="33"/>
        <v>1.6696506657550479E-2</v>
      </c>
      <c r="W169" s="3"/>
      <c r="X169" s="6">
        <f t="shared" si="34"/>
        <v>80296.809999999983</v>
      </c>
      <c r="Y169" s="3"/>
      <c r="Z169" s="7">
        <f t="shared" si="35"/>
        <v>0.87810096506364388</v>
      </c>
    </row>
    <row r="170" spans="1:26" s="68" customFormat="1" ht="15" customHeight="1" outlineLevel="1" collapsed="1" x14ac:dyDescent="0.3">
      <c r="A170" s="20"/>
      <c r="B170" s="11" t="str">
        <f>CONCATENATE("     ","Depreciation                                      ")</f>
        <v xml:space="preserve">     Depreciation                                      </v>
      </c>
      <c r="C170" s="11"/>
      <c r="D170" s="2">
        <f>SUM(OSRRefD22_5x_0)</f>
        <v>22546.45</v>
      </c>
      <c r="E170" s="2"/>
      <c r="F170" s="5">
        <f t="shared" si="28"/>
        <v>7.3448274907242719E-2</v>
      </c>
      <c r="G170" s="2"/>
      <c r="H170" s="2">
        <f>SUM(OSRRefH22_5x_0)</f>
        <v>37979.25</v>
      </c>
      <c r="I170" s="2"/>
      <c r="J170" s="5">
        <f t="shared" si="29"/>
        <v>0.14356809599882789</v>
      </c>
      <c r="K170" s="2"/>
      <c r="L170" s="2">
        <f t="shared" si="30"/>
        <v>-15432.8</v>
      </c>
      <c r="M170" s="2"/>
      <c r="N170" s="5">
        <f t="shared" si="31"/>
        <v>-0.40634820329522042</v>
      </c>
      <c r="O170" s="11"/>
      <c r="P170" s="2">
        <f>SUM(OSRRefP22_5x_0)</f>
        <v>394747.68999999994</v>
      </c>
      <c r="Q170" s="2"/>
      <c r="R170" s="5">
        <f t="shared" si="32"/>
        <v>4.7421433160355374E-2</v>
      </c>
      <c r="S170" s="2"/>
      <c r="T170" s="2">
        <f>SUM(OSRRefT22_5x_0)</f>
        <v>477223.36</v>
      </c>
      <c r="U170" s="2"/>
      <c r="V170" s="5">
        <f t="shared" si="33"/>
        <v>8.7135167715511622E-2</v>
      </c>
      <c r="W170" s="2"/>
      <c r="X170" s="2">
        <f t="shared" si="34"/>
        <v>-82475.670000000042</v>
      </c>
      <c r="Y170" s="2"/>
      <c r="Z170" s="5">
        <f t="shared" si="35"/>
        <v>-0.17282404197481038</v>
      </c>
    </row>
    <row r="171" spans="1:26" s="69" customFormat="1" ht="15" hidden="1" customHeight="1" outlineLevel="2" x14ac:dyDescent="0.3">
      <c r="A171" s="21"/>
      <c r="B171" s="9" t="str">
        <f>CONCATENATE("          ","6321"," - ","BUILDING DEPRECIATION")</f>
        <v xml:space="preserve">          6321 - BUILDING DEPRECIATION</v>
      </c>
      <c r="C171" s="9"/>
      <c r="D171" s="6">
        <v>18401.95</v>
      </c>
      <c r="E171" s="3"/>
      <c r="F171" s="7">
        <f t="shared" si="28"/>
        <v>5.994697535218782E-2</v>
      </c>
      <c r="G171" s="3"/>
      <c r="H171" s="6">
        <v>21476.73</v>
      </c>
      <c r="I171" s="3"/>
      <c r="J171" s="7">
        <f t="shared" si="29"/>
        <v>8.1185732587686882E-2</v>
      </c>
      <c r="K171" s="3"/>
      <c r="L171" s="6">
        <f t="shared" si="30"/>
        <v>-3074.7799999999988</v>
      </c>
      <c r="M171" s="3"/>
      <c r="N171" s="7">
        <f t="shared" si="31"/>
        <v>-0.14316797762042913</v>
      </c>
      <c r="O171" s="9"/>
      <c r="P171" s="6">
        <v>240085.11</v>
      </c>
      <c r="Q171" s="3"/>
      <c r="R171" s="7">
        <f t="shared" si="32"/>
        <v>2.8841663384177294E-2</v>
      </c>
      <c r="S171" s="3"/>
      <c r="T171" s="6">
        <v>257724.06</v>
      </c>
      <c r="U171" s="3"/>
      <c r="V171" s="7">
        <f t="shared" si="33"/>
        <v>4.7057271447111436E-2</v>
      </c>
      <c r="W171" s="3"/>
      <c r="X171" s="6">
        <f t="shared" si="34"/>
        <v>-17638.950000000012</v>
      </c>
      <c r="Y171" s="3"/>
      <c r="Z171" s="7">
        <f t="shared" si="35"/>
        <v>-6.8441223531865866E-2</v>
      </c>
    </row>
    <row r="172" spans="1:26" s="69" customFormat="1" ht="15" hidden="1" customHeight="1" outlineLevel="2" x14ac:dyDescent="0.3">
      <c r="A172" s="21"/>
      <c r="B172" s="9" t="str">
        <f>CONCATENATE("          ","6322"," - ","EQUIPMENT DEPRECIATION EXPENSE")</f>
        <v xml:space="preserve">          6322 - EQUIPMENT DEPRECIATION EXPENSE</v>
      </c>
      <c r="C172" s="9"/>
      <c r="D172" s="6">
        <v>4144.5</v>
      </c>
      <c r="E172" s="3"/>
      <c r="F172" s="7">
        <f t="shared" si="28"/>
        <v>1.3501299555054894E-2</v>
      </c>
      <c r="G172" s="3"/>
      <c r="H172" s="6">
        <v>16502.52</v>
      </c>
      <c r="I172" s="3"/>
      <c r="J172" s="7">
        <f t="shared" si="29"/>
        <v>6.2382363411141013E-2</v>
      </c>
      <c r="K172" s="3"/>
      <c r="L172" s="6">
        <f t="shared" si="30"/>
        <v>-12358.02</v>
      </c>
      <c r="M172" s="3"/>
      <c r="N172" s="7">
        <f t="shared" si="31"/>
        <v>-0.74885653827415455</v>
      </c>
      <c r="O172" s="9"/>
      <c r="P172" s="6">
        <v>154662.57999999999</v>
      </c>
      <c r="Q172" s="3"/>
      <c r="R172" s="7">
        <f t="shared" si="32"/>
        <v>1.8579769776178087E-2</v>
      </c>
      <c r="S172" s="3"/>
      <c r="T172" s="6">
        <v>219499.3</v>
      </c>
      <c r="U172" s="3"/>
      <c r="V172" s="7">
        <f t="shared" si="33"/>
        <v>4.0077896268400193E-2</v>
      </c>
      <c r="W172" s="3"/>
      <c r="X172" s="6">
        <f t="shared" si="34"/>
        <v>-64836.72</v>
      </c>
      <c r="Y172" s="3"/>
      <c r="Z172" s="7">
        <f t="shared" si="35"/>
        <v>-0.29538463220611638</v>
      </c>
    </row>
    <row r="173" spans="1:26" s="68" customFormat="1" ht="15" customHeight="1" outlineLevel="1" collapsed="1" x14ac:dyDescent="0.3">
      <c r="A173" s="20"/>
      <c r="B173" s="11" t="str">
        <f>CONCATENATE("     ","Discounts and Markdowns                           ")</f>
        <v xml:space="preserve">     Discounts and Markdowns                           </v>
      </c>
      <c r="C173" s="11"/>
      <c r="D173" s="2">
        <f>SUM(OSRRefD22_6x_0)</f>
        <v>30.17</v>
      </c>
      <c r="E173" s="2"/>
      <c r="F173" s="5">
        <f t="shared" si="28"/>
        <v>9.8283075781398525E-5</v>
      </c>
      <c r="G173" s="2"/>
      <c r="H173" s="2">
        <f>SUM(OSRRefH22_6x_0)</f>
        <v>0</v>
      </c>
      <c r="I173" s="2"/>
      <c r="J173" s="5">
        <f t="shared" si="29"/>
        <v>0</v>
      </c>
      <c r="K173" s="2"/>
      <c r="L173" s="2">
        <f t="shared" si="30"/>
        <v>30.17</v>
      </c>
      <c r="M173" s="2"/>
      <c r="N173" s="5">
        <f t="shared" si="31"/>
        <v>0</v>
      </c>
      <c r="O173" s="11"/>
      <c r="P173" s="2">
        <f>SUM(OSRRefP22_6x_0)</f>
        <v>2019.25</v>
      </c>
      <c r="Q173" s="2"/>
      <c r="R173" s="5">
        <f t="shared" si="32"/>
        <v>2.4257451363185332E-4</v>
      </c>
      <c r="S173" s="2"/>
      <c r="T173" s="2">
        <f>SUM(OSRRefT22_6x_0)</f>
        <v>-15.43</v>
      </c>
      <c r="U173" s="2"/>
      <c r="V173" s="5">
        <f t="shared" si="33"/>
        <v>-2.8173298931769486E-6</v>
      </c>
      <c r="W173" s="2"/>
      <c r="X173" s="2">
        <f t="shared" si="34"/>
        <v>2034.68</v>
      </c>
      <c r="Y173" s="2"/>
      <c r="Z173" s="5">
        <f t="shared" si="35"/>
        <v>-131.86519766688269</v>
      </c>
    </row>
    <row r="174" spans="1:26" s="69" customFormat="1" ht="15" hidden="1" customHeight="1" outlineLevel="2" x14ac:dyDescent="0.3">
      <c r="A174" s="21"/>
      <c r="B174" s="9" t="str">
        <f>CONCATENATE("          ","6382"," - ","DISCOUNTS/MARK DOWNS")</f>
        <v xml:space="preserve">          6382 - DISCOUNTS/MARK DOWNS</v>
      </c>
      <c r="C174" s="9"/>
      <c r="D174" s="6"/>
      <c r="E174" s="3"/>
      <c r="F174" s="7">
        <f t="shared" si="28"/>
        <v>0</v>
      </c>
      <c r="G174" s="3"/>
      <c r="H174" s="6">
        <v>0</v>
      </c>
      <c r="I174" s="3"/>
      <c r="J174" s="7">
        <f t="shared" si="29"/>
        <v>0</v>
      </c>
      <c r="K174" s="3"/>
      <c r="L174" s="6">
        <f t="shared" si="30"/>
        <v>0</v>
      </c>
      <c r="M174" s="3"/>
      <c r="N174" s="7">
        <f t="shared" si="31"/>
        <v>0</v>
      </c>
      <c r="O174" s="9"/>
      <c r="P174" s="6">
        <v>2171.35</v>
      </c>
      <c r="Q174" s="3"/>
      <c r="R174" s="7">
        <f t="shared" si="32"/>
        <v>2.6084643812035392E-4</v>
      </c>
      <c r="S174" s="3"/>
      <c r="T174" s="6">
        <v>0</v>
      </c>
      <c r="U174" s="3"/>
      <c r="V174" s="7">
        <f t="shared" si="33"/>
        <v>0</v>
      </c>
      <c r="W174" s="3"/>
      <c r="X174" s="6">
        <f t="shared" si="34"/>
        <v>2171.35</v>
      </c>
      <c r="Y174" s="3"/>
      <c r="Z174" s="7">
        <f t="shared" si="35"/>
        <v>0</v>
      </c>
    </row>
    <row r="175" spans="1:26" s="69" customFormat="1" ht="15" hidden="1" customHeight="1" outlineLevel="2" x14ac:dyDescent="0.3">
      <c r="A175" s="21"/>
      <c r="B175" s="9" t="str">
        <f>CONCATENATE("          ","9175"," - ","EARNED DISCOUNTS")</f>
        <v xml:space="preserve">          9175 - EARNED DISCOUNTS</v>
      </c>
      <c r="C175" s="9"/>
      <c r="D175" s="6">
        <v>30.17</v>
      </c>
      <c r="E175" s="3"/>
      <c r="F175" s="7">
        <f t="shared" ref="F175:F206" si="36">IF(D$12=0,0,D175/D$12)</f>
        <v>9.8283075781398525E-5</v>
      </c>
      <c r="G175" s="3"/>
      <c r="H175" s="6">
        <v>0</v>
      </c>
      <c r="I175" s="3"/>
      <c r="J175" s="7">
        <f t="shared" ref="J175:J206" si="37">IF(H$12=0,0,H175/H$12)</f>
        <v>0</v>
      </c>
      <c r="K175" s="3"/>
      <c r="L175" s="6">
        <f t="shared" ref="L175:L206" si="38">+D175-H175</f>
        <v>30.17</v>
      </c>
      <c r="M175" s="3"/>
      <c r="N175" s="7">
        <f t="shared" ref="N175:N206" si="39">IF(H175=0,0,L175/H175)</f>
        <v>0</v>
      </c>
      <c r="O175" s="9"/>
      <c r="P175" s="6">
        <v>-152.1</v>
      </c>
      <c r="Q175" s="3"/>
      <c r="R175" s="7">
        <f t="shared" ref="R175:R206" si="40">IF(P$12=0,0,P175/P$12)</f>
        <v>-1.8271924488500624E-5</v>
      </c>
      <c r="S175" s="3"/>
      <c r="T175" s="6">
        <v>-15.43</v>
      </c>
      <c r="U175" s="3"/>
      <c r="V175" s="7">
        <f t="shared" ref="V175:V206" si="41">IF(T$12=0,0,T175/T$12)</f>
        <v>-2.8173298931769486E-6</v>
      </c>
      <c r="W175" s="3"/>
      <c r="X175" s="6">
        <f t="shared" ref="X175:X206" si="42">+P175-T175</f>
        <v>-136.66999999999999</v>
      </c>
      <c r="Y175" s="3"/>
      <c r="Z175" s="7">
        <f t="shared" ref="Z175:Z206" si="43">IF(T175=0,0,X175/T175)</f>
        <v>8.8574206092028511</v>
      </c>
    </row>
    <row r="176" spans="1:26" s="68" customFormat="1" ht="15" customHeight="1" outlineLevel="1" collapsed="1" x14ac:dyDescent="0.3">
      <c r="A176" s="20"/>
      <c r="B176" s="11" t="str">
        <f>CONCATENATE("     ","Donations                                         ")</f>
        <v xml:space="preserve">     Donations                                         </v>
      </c>
      <c r="C176" s="11"/>
      <c r="D176" s="2">
        <f>SUM(OSRRefD22_7x_0)</f>
        <v>2379.11</v>
      </c>
      <c r="E176" s="2"/>
      <c r="F176" s="5">
        <f t="shared" si="36"/>
        <v>7.7502899709076247E-3</v>
      </c>
      <c r="G176" s="2"/>
      <c r="H176" s="2">
        <f>SUM(OSRRefH22_7x_0)</f>
        <v>0</v>
      </c>
      <c r="I176" s="2"/>
      <c r="J176" s="5">
        <f t="shared" si="37"/>
        <v>0</v>
      </c>
      <c r="K176" s="2"/>
      <c r="L176" s="2">
        <f t="shared" si="38"/>
        <v>2379.11</v>
      </c>
      <c r="M176" s="2"/>
      <c r="N176" s="5">
        <f t="shared" si="39"/>
        <v>0</v>
      </c>
      <c r="O176" s="11"/>
      <c r="P176" s="2">
        <f>SUM(OSRRefP22_7x_0)</f>
        <v>9817.98</v>
      </c>
      <c r="Q176" s="2"/>
      <c r="R176" s="5">
        <f t="shared" si="40"/>
        <v>1.179443715908017E-3</v>
      </c>
      <c r="S176" s="2"/>
      <c r="T176" s="2">
        <f>SUM(OSRRefT22_7x_0)</f>
        <v>360.9</v>
      </c>
      <c r="U176" s="2"/>
      <c r="V176" s="5">
        <f t="shared" si="41"/>
        <v>6.5895940275279368E-5</v>
      </c>
      <c r="W176" s="2"/>
      <c r="X176" s="2">
        <f t="shared" si="42"/>
        <v>9457.08</v>
      </c>
      <c r="Y176" s="2"/>
      <c r="Z176" s="5">
        <f t="shared" si="43"/>
        <v>26.204156275976725</v>
      </c>
    </row>
    <row r="177" spans="1:26" s="69" customFormat="1" ht="15" hidden="1" customHeight="1" outlineLevel="2" x14ac:dyDescent="0.3">
      <c r="A177" s="21"/>
      <c r="B177" s="9" t="str">
        <f>CONCATENATE("          ","6399"," - ","DONATION-ON CAMPUS")</f>
        <v xml:space="preserve">          6399 - DONATION-ON CAMPUS</v>
      </c>
      <c r="C177" s="9"/>
      <c r="D177" s="6">
        <v>2379.11</v>
      </c>
      <c r="E177" s="3"/>
      <c r="F177" s="7">
        <f t="shared" si="36"/>
        <v>7.7502899709076247E-3</v>
      </c>
      <c r="G177" s="3"/>
      <c r="H177" s="6"/>
      <c r="I177" s="3"/>
      <c r="J177" s="7">
        <f t="shared" si="37"/>
        <v>0</v>
      </c>
      <c r="K177" s="3"/>
      <c r="L177" s="6">
        <f t="shared" si="38"/>
        <v>2379.11</v>
      </c>
      <c r="M177" s="3"/>
      <c r="N177" s="7">
        <f t="shared" si="39"/>
        <v>0</v>
      </c>
      <c r="O177" s="9"/>
      <c r="P177" s="6">
        <v>9817.98</v>
      </c>
      <c r="Q177" s="3"/>
      <c r="R177" s="7">
        <f t="shared" si="40"/>
        <v>1.179443715908017E-3</v>
      </c>
      <c r="S177" s="3"/>
      <c r="T177" s="6">
        <v>360.9</v>
      </c>
      <c r="U177" s="3"/>
      <c r="V177" s="7">
        <f t="shared" si="41"/>
        <v>6.5895940275279368E-5</v>
      </c>
      <c r="W177" s="3"/>
      <c r="X177" s="6">
        <f t="shared" si="42"/>
        <v>9457.08</v>
      </c>
      <c r="Y177" s="3"/>
      <c r="Z177" s="7">
        <f t="shared" si="43"/>
        <v>26.204156275976725</v>
      </c>
    </row>
    <row r="178" spans="1:26" s="68" customFormat="1" ht="15" customHeight="1" outlineLevel="1" collapsed="1" x14ac:dyDescent="0.3">
      <c r="A178" s="20"/>
      <c r="B178" s="11" t="str">
        <f>CONCATENATE("     ","Employees' Appreciation                           ")</f>
        <v xml:space="preserve">     Employees' Appreciation                           </v>
      </c>
      <c r="C178" s="11"/>
      <c r="D178" s="2">
        <f>SUM(OSRRefD22_8x_0)</f>
        <v>1840.15</v>
      </c>
      <c r="E178" s="2"/>
      <c r="F178" s="5">
        <f t="shared" si="36"/>
        <v>5.9945509413039605E-3</v>
      </c>
      <c r="G178" s="2"/>
      <c r="H178" s="2">
        <f>SUM(OSRRefH22_8x_0)</f>
        <v>522.86</v>
      </c>
      <c r="I178" s="2"/>
      <c r="J178" s="5">
        <f t="shared" si="37"/>
        <v>1.9765007122032993E-3</v>
      </c>
      <c r="K178" s="2"/>
      <c r="L178" s="2">
        <f t="shared" si="38"/>
        <v>1317.29</v>
      </c>
      <c r="M178" s="2"/>
      <c r="N178" s="5">
        <f t="shared" si="39"/>
        <v>2.5193933366484336</v>
      </c>
      <c r="O178" s="11"/>
      <c r="P178" s="2">
        <f>SUM(OSRRefP22_8x_0)</f>
        <v>6197.73</v>
      </c>
      <c r="Q178" s="2"/>
      <c r="R178" s="5">
        <f t="shared" si="40"/>
        <v>7.4453947771278752E-4</v>
      </c>
      <c r="S178" s="2"/>
      <c r="T178" s="2">
        <f>SUM(OSRRefT22_8x_0)</f>
        <v>708.89</v>
      </c>
      <c r="U178" s="2"/>
      <c r="V178" s="5">
        <f t="shared" si="41"/>
        <v>1.2943467193611192E-4</v>
      </c>
      <c r="W178" s="2"/>
      <c r="X178" s="2">
        <f t="shared" si="42"/>
        <v>5488.8399999999992</v>
      </c>
      <c r="Y178" s="2"/>
      <c r="Z178" s="5">
        <f t="shared" si="43"/>
        <v>7.7428656067937185</v>
      </c>
    </row>
    <row r="179" spans="1:26" s="69" customFormat="1" ht="15" hidden="1" customHeight="1" outlineLevel="2" x14ac:dyDescent="0.3">
      <c r="A179" s="21"/>
      <c r="B179" s="9" t="str">
        <f>CONCATENATE("          ","6277"," - ","EMPLOYEE APPRECIATION")</f>
        <v xml:space="preserve">          6277 - EMPLOYEE APPRECIATION</v>
      </c>
      <c r="C179" s="9"/>
      <c r="D179" s="6">
        <v>1840.15</v>
      </c>
      <c r="E179" s="3"/>
      <c r="F179" s="7">
        <f t="shared" si="36"/>
        <v>5.9945509413039605E-3</v>
      </c>
      <c r="G179" s="3"/>
      <c r="H179" s="6">
        <v>522.86</v>
      </c>
      <c r="I179" s="3"/>
      <c r="J179" s="7">
        <f t="shared" si="37"/>
        <v>1.9765007122032993E-3</v>
      </c>
      <c r="K179" s="3"/>
      <c r="L179" s="6">
        <f t="shared" si="38"/>
        <v>1317.29</v>
      </c>
      <c r="M179" s="3"/>
      <c r="N179" s="7">
        <f t="shared" si="39"/>
        <v>2.5193933366484336</v>
      </c>
      <c r="O179" s="9"/>
      <c r="P179" s="6">
        <v>6197.73</v>
      </c>
      <c r="Q179" s="3"/>
      <c r="R179" s="7">
        <f t="shared" si="40"/>
        <v>7.4453947771278752E-4</v>
      </c>
      <c r="S179" s="3"/>
      <c r="T179" s="6">
        <v>708.89</v>
      </c>
      <c r="U179" s="3"/>
      <c r="V179" s="7">
        <f t="shared" si="41"/>
        <v>1.2943467193611192E-4</v>
      </c>
      <c r="W179" s="3"/>
      <c r="X179" s="6">
        <f t="shared" si="42"/>
        <v>5488.8399999999992</v>
      </c>
      <c r="Y179" s="3"/>
      <c r="Z179" s="7">
        <f t="shared" si="43"/>
        <v>7.7428656067937185</v>
      </c>
    </row>
    <row r="180" spans="1:26" s="68" customFormat="1" ht="15" customHeight="1" outlineLevel="1" collapsed="1" x14ac:dyDescent="0.3">
      <c r="A180" s="20"/>
      <c r="B180" s="11" t="str">
        <f>CONCATENATE("     ","Equipment Rental                                  ")</f>
        <v xml:space="preserve">     Equipment Rental                                  </v>
      </c>
      <c r="C180" s="11"/>
      <c r="D180" s="2">
        <f>SUM(OSRRefD22_9x_0)</f>
        <v>2900.76</v>
      </c>
      <c r="E180" s="2"/>
      <c r="F180" s="5">
        <f t="shared" si="36"/>
        <v>9.4496392079433077E-3</v>
      </c>
      <c r="G180" s="2"/>
      <c r="H180" s="2">
        <f>SUM(OSRRefH22_9x_0)</f>
        <v>2220.81</v>
      </c>
      <c r="I180" s="2"/>
      <c r="J180" s="5">
        <f t="shared" si="37"/>
        <v>8.3950436955747398E-3</v>
      </c>
      <c r="K180" s="2"/>
      <c r="L180" s="2">
        <f t="shared" si="38"/>
        <v>679.95000000000027</v>
      </c>
      <c r="M180" s="2"/>
      <c r="N180" s="5">
        <f t="shared" si="39"/>
        <v>0.3061720723519798</v>
      </c>
      <c r="O180" s="11"/>
      <c r="P180" s="2">
        <f>SUM(OSRRefP22_9x_0)</f>
        <v>20441.12</v>
      </c>
      <c r="Q180" s="2"/>
      <c r="R180" s="5">
        <f t="shared" si="40"/>
        <v>2.4556121045389867E-3</v>
      </c>
      <c r="S180" s="2"/>
      <c r="T180" s="2">
        <f>SUM(OSRRefT22_9x_0)</f>
        <v>19384.38</v>
      </c>
      <c r="U180" s="2"/>
      <c r="V180" s="5">
        <f t="shared" si="41"/>
        <v>3.5393514734090329E-3</v>
      </c>
      <c r="W180" s="2"/>
      <c r="X180" s="2">
        <f t="shared" si="42"/>
        <v>1056.739999999998</v>
      </c>
      <c r="Y180" s="2"/>
      <c r="Z180" s="5">
        <f t="shared" si="43"/>
        <v>5.4515027047550547E-2</v>
      </c>
    </row>
    <row r="181" spans="1:26" s="69" customFormat="1" ht="15" hidden="1" customHeight="1" outlineLevel="2" x14ac:dyDescent="0.3">
      <c r="A181" s="21"/>
      <c r="B181" s="9" t="str">
        <f>CONCATENATE("          ","6351"," - ","EQUIPMENT RENTAL")</f>
        <v xml:space="preserve">          6351 - EQUIPMENT RENTAL</v>
      </c>
      <c r="C181" s="9"/>
      <c r="D181" s="6">
        <v>2900.76</v>
      </c>
      <c r="E181" s="3"/>
      <c r="F181" s="7">
        <f t="shared" si="36"/>
        <v>9.4496392079433077E-3</v>
      </c>
      <c r="G181" s="3"/>
      <c r="H181" s="6">
        <v>2220.81</v>
      </c>
      <c r="I181" s="3"/>
      <c r="J181" s="7">
        <f t="shared" si="37"/>
        <v>8.3950436955747398E-3</v>
      </c>
      <c r="K181" s="3"/>
      <c r="L181" s="6">
        <f t="shared" si="38"/>
        <v>679.95000000000027</v>
      </c>
      <c r="M181" s="3"/>
      <c r="N181" s="7">
        <f t="shared" si="39"/>
        <v>0.3061720723519798</v>
      </c>
      <c r="O181" s="9"/>
      <c r="P181" s="6">
        <v>20441.12</v>
      </c>
      <c r="Q181" s="3"/>
      <c r="R181" s="7">
        <f t="shared" si="40"/>
        <v>2.4556121045389867E-3</v>
      </c>
      <c r="S181" s="3"/>
      <c r="T181" s="6">
        <v>19384.38</v>
      </c>
      <c r="U181" s="3"/>
      <c r="V181" s="7">
        <f t="shared" si="41"/>
        <v>3.5393514734090329E-3</v>
      </c>
      <c r="W181" s="3"/>
      <c r="X181" s="6">
        <f t="shared" si="42"/>
        <v>1056.739999999998</v>
      </c>
      <c r="Y181" s="3"/>
      <c r="Z181" s="7">
        <f t="shared" si="43"/>
        <v>5.4515027047550547E-2</v>
      </c>
    </row>
    <row r="182" spans="1:26" s="68" customFormat="1" ht="15" customHeight="1" outlineLevel="1" collapsed="1" x14ac:dyDescent="0.3">
      <c r="A182" s="20"/>
      <c r="B182" s="11" t="str">
        <f>CONCATENATE("     ","Freight out/Postage                               ")</f>
        <v xml:space="preserve">     Freight out/Postage                               </v>
      </c>
      <c r="C182" s="11"/>
      <c r="D182" s="2">
        <f>SUM(OSRRefD22_10x_0)</f>
        <v>6549</v>
      </c>
      <c r="E182" s="2"/>
      <c r="F182" s="5">
        <f t="shared" si="36"/>
        <v>2.1334301070347329E-2</v>
      </c>
      <c r="G182" s="2"/>
      <c r="H182" s="2">
        <f>SUM(OSRRefH22_10x_0)</f>
        <v>-7501.3200000000006</v>
      </c>
      <c r="I182" s="2"/>
      <c r="J182" s="5">
        <f t="shared" si="37"/>
        <v>-2.8356279544170242E-2</v>
      </c>
      <c r="K182" s="2"/>
      <c r="L182" s="2">
        <f t="shared" si="38"/>
        <v>14050.32</v>
      </c>
      <c r="M182" s="2"/>
      <c r="N182" s="5">
        <f t="shared" si="39"/>
        <v>-1.8730463438434835</v>
      </c>
      <c r="O182" s="11"/>
      <c r="P182" s="2">
        <f>SUM(OSRRefP22_10x_0)</f>
        <v>-38669.649999999994</v>
      </c>
      <c r="Q182" s="2"/>
      <c r="R182" s="5">
        <f t="shared" si="40"/>
        <v>-4.6454235686834199E-3</v>
      </c>
      <c r="S182" s="2"/>
      <c r="T182" s="2">
        <f>SUM(OSRRefT22_10x_0)</f>
        <v>-75107.989999999991</v>
      </c>
      <c r="U182" s="2"/>
      <c r="V182" s="5">
        <f t="shared" si="41"/>
        <v>-1.3713803333988028E-2</v>
      </c>
      <c r="W182" s="2"/>
      <c r="X182" s="2">
        <f t="shared" si="42"/>
        <v>36438.339999999997</v>
      </c>
      <c r="Y182" s="2"/>
      <c r="Z182" s="5">
        <f t="shared" si="43"/>
        <v>-0.48514598779703733</v>
      </c>
    </row>
    <row r="183" spans="1:26" s="69" customFormat="1" ht="15" hidden="1" customHeight="1" outlineLevel="2" x14ac:dyDescent="0.3">
      <c r="A183" s="21"/>
      <c r="B183" s="9" t="str">
        <f>CONCATENATE("          ","6305"," - ","FREIGHT OUT")</f>
        <v xml:space="preserve">          6305 - FREIGHT OUT</v>
      </c>
      <c r="C183" s="9"/>
      <c r="D183" s="6">
        <v>19990.48</v>
      </c>
      <c r="E183" s="3"/>
      <c r="F183" s="7">
        <f t="shared" si="36"/>
        <v>6.5121838274661295E-2</v>
      </c>
      <c r="G183" s="3"/>
      <c r="H183" s="6">
        <v>7012.69</v>
      </c>
      <c r="I183" s="3"/>
      <c r="J183" s="7">
        <f t="shared" si="37"/>
        <v>2.650917411823615E-2</v>
      </c>
      <c r="K183" s="3"/>
      <c r="L183" s="6">
        <f t="shared" si="38"/>
        <v>12977.79</v>
      </c>
      <c r="M183" s="3"/>
      <c r="N183" s="7">
        <f t="shared" si="39"/>
        <v>1.8506150991987385</v>
      </c>
      <c r="O183" s="9"/>
      <c r="P183" s="6">
        <v>154410.6</v>
      </c>
      <c r="Q183" s="3"/>
      <c r="R183" s="7">
        <f t="shared" si="40"/>
        <v>1.8549499167811144E-2</v>
      </c>
      <c r="S183" s="3"/>
      <c r="T183" s="6">
        <v>231676.43</v>
      </c>
      <c r="U183" s="3"/>
      <c r="V183" s="7">
        <f t="shared" si="41"/>
        <v>4.2301291755250603E-2</v>
      </c>
      <c r="W183" s="3"/>
      <c r="X183" s="6">
        <f t="shared" si="42"/>
        <v>-77265.829999999987</v>
      </c>
      <c r="Y183" s="3"/>
      <c r="Z183" s="7">
        <f t="shared" si="43"/>
        <v>-0.33350751304308335</v>
      </c>
    </row>
    <row r="184" spans="1:26" s="69" customFormat="1" ht="15" hidden="1" customHeight="1" outlineLevel="2" x14ac:dyDescent="0.3">
      <c r="A184" s="21"/>
      <c r="B184" s="9" t="str">
        <f>CONCATENATE("          ","6307"," - ","POSTAGE")</f>
        <v xml:space="preserve">          6307 - POSTAGE</v>
      </c>
      <c r="C184" s="9"/>
      <c r="D184" s="6">
        <v>-13441.48</v>
      </c>
      <c r="E184" s="3"/>
      <c r="F184" s="7">
        <f t="shared" si="36"/>
        <v>-4.378753720431397E-2</v>
      </c>
      <c r="G184" s="3"/>
      <c r="H184" s="6">
        <v>-14514.01</v>
      </c>
      <c r="I184" s="3"/>
      <c r="J184" s="7">
        <f t="shared" si="37"/>
        <v>-5.4865453662406395E-2</v>
      </c>
      <c r="K184" s="3"/>
      <c r="L184" s="6">
        <f t="shared" si="38"/>
        <v>1072.5300000000007</v>
      </c>
      <c r="M184" s="3"/>
      <c r="N184" s="7">
        <f t="shared" si="39"/>
        <v>-7.3896187201193925E-2</v>
      </c>
      <c r="O184" s="9"/>
      <c r="P184" s="6">
        <v>-193080.25</v>
      </c>
      <c r="Q184" s="3"/>
      <c r="R184" s="7">
        <f t="shared" si="40"/>
        <v>-2.3194922736494563E-2</v>
      </c>
      <c r="S184" s="3"/>
      <c r="T184" s="6">
        <v>-306784.42</v>
      </c>
      <c r="U184" s="3"/>
      <c r="V184" s="7">
        <f t="shared" si="41"/>
        <v>-5.6015095089238631E-2</v>
      </c>
      <c r="W184" s="3"/>
      <c r="X184" s="6">
        <f t="shared" si="42"/>
        <v>113704.16999999998</v>
      </c>
      <c r="Y184" s="3"/>
      <c r="Z184" s="7">
        <f t="shared" si="43"/>
        <v>-0.37063215270188749</v>
      </c>
    </row>
    <row r="185" spans="1:26" s="68" customFormat="1" ht="15" customHeight="1" outlineLevel="1" collapsed="1" x14ac:dyDescent="0.3">
      <c r="A185" s="20"/>
      <c r="B185" s="11" t="str">
        <f>CONCATENATE("     ","General                                           ")</f>
        <v xml:space="preserve">     General                                           </v>
      </c>
      <c r="C185" s="11"/>
      <c r="D185" s="2">
        <f>SUM(OSRRefD22_11x_0)</f>
        <v>200</v>
      </c>
      <c r="E185" s="2"/>
      <c r="F185" s="5">
        <f t="shared" si="36"/>
        <v>6.515285103175242E-4</v>
      </c>
      <c r="G185" s="2"/>
      <c r="H185" s="2">
        <f>SUM(OSRRefH22_11x_0)</f>
        <v>-3391.74</v>
      </c>
      <c r="I185" s="2"/>
      <c r="J185" s="5">
        <f t="shared" si="37"/>
        <v>-1.2821360451379752E-2</v>
      </c>
      <c r="K185" s="2"/>
      <c r="L185" s="2">
        <f t="shared" si="38"/>
        <v>3591.74</v>
      </c>
      <c r="M185" s="2"/>
      <c r="N185" s="5">
        <f t="shared" si="39"/>
        <v>-1.0589667840105668</v>
      </c>
      <c r="O185" s="11"/>
      <c r="P185" s="2">
        <f>SUM(OSRRefP22_11x_0)</f>
        <v>10704.21</v>
      </c>
      <c r="Q185" s="2"/>
      <c r="R185" s="5">
        <f t="shared" si="40"/>
        <v>1.2859074084750378E-3</v>
      </c>
      <c r="S185" s="2"/>
      <c r="T185" s="2">
        <f>SUM(OSRRefT22_11x_0)</f>
        <v>2120.38</v>
      </c>
      <c r="U185" s="2"/>
      <c r="V185" s="5">
        <f t="shared" si="41"/>
        <v>3.8715553848960065E-4</v>
      </c>
      <c r="W185" s="2"/>
      <c r="X185" s="2">
        <f t="shared" si="42"/>
        <v>8583.8299999999981</v>
      </c>
      <c r="Y185" s="2"/>
      <c r="Z185" s="5">
        <f t="shared" si="43"/>
        <v>4.0482507852366076</v>
      </c>
    </row>
    <row r="186" spans="1:26" s="69" customFormat="1" ht="15" hidden="1" customHeight="1" outlineLevel="2" x14ac:dyDescent="0.3">
      <c r="A186" s="21"/>
      <c r="B186" s="9" t="str">
        <f>CONCATENATE("          ","6279"," - ","GENERAL EXPENSE")</f>
        <v xml:space="preserve">          6279 - GENERAL EXPENSE</v>
      </c>
      <c r="C186" s="9"/>
      <c r="D186" s="6">
        <v>200</v>
      </c>
      <c r="E186" s="3"/>
      <c r="F186" s="7">
        <f t="shared" si="36"/>
        <v>6.515285103175242E-4</v>
      </c>
      <c r="G186" s="3"/>
      <c r="H186" s="6">
        <v>-3391.74</v>
      </c>
      <c r="I186" s="3"/>
      <c r="J186" s="7">
        <f t="shared" si="37"/>
        <v>-1.2821360451379752E-2</v>
      </c>
      <c r="K186" s="3"/>
      <c r="L186" s="6">
        <f t="shared" si="38"/>
        <v>3591.74</v>
      </c>
      <c r="M186" s="3"/>
      <c r="N186" s="7">
        <f t="shared" si="39"/>
        <v>-1.0589667840105668</v>
      </c>
      <c r="O186" s="9"/>
      <c r="P186" s="6">
        <v>10704.21</v>
      </c>
      <c r="Q186" s="3"/>
      <c r="R186" s="7">
        <f t="shared" si="40"/>
        <v>1.2859074084750378E-3</v>
      </c>
      <c r="S186" s="3"/>
      <c r="T186" s="6">
        <v>2120.38</v>
      </c>
      <c r="U186" s="3"/>
      <c r="V186" s="7">
        <f t="shared" si="41"/>
        <v>3.8715553848960065E-4</v>
      </c>
      <c r="W186" s="3"/>
      <c r="X186" s="6">
        <f t="shared" si="42"/>
        <v>8583.8299999999981</v>
      </c>
      <c r="Y186" s="3"/>
      <c r="Z186" s="7">
        <f t="shared" si="43"/>
        <v>4.0482507852366076</v>
      </c>
    </row>
    <row r="187" spans="1:26" s="68" customFormat="1" ht="15" customHeight="1" outlineLevel="1" collapsed="1" x14ac:dyDescent="0.3">
      <c r="A187" s="20"/>
      <c r="B187" s="11" t="str">
        <f>CONCATENATE("     ","Insurance                                         ")</f>
        <v xml:space="preserve">     Insurance                                         </v>
      </c>
      <c r="C187" s="11"/>
      <c r="D187" s="2">
        <f>SUM(OSRRefD22_12x_0)</f>
        <v>-1802.21</v>
      </c>
      <c r="E187" s="2"/>
      <c r="F187" s="5">
        <f t="shared" si="36"/>
        <v>-5.8709559828967264E-3</v>
      </c>
      <c r="G187" s="2"/>
      <c r="H187" s="2">
        <f>SUM(OSRRefH22_12x_0)</f>
        <v>9185.8700000000008</v>
      </c>
      <c r="I187" s="2"/>
      <c r="J187" s="5">
        <f t="shared" si="37"/>
        <v>3.472416822324699E-2</v>
      </c>
      <c r="K187" s="2"/>
      <c r="L187" s="2">
        <f t="shared" si="38"/>
        <v>-10988.080000000002</v>
      </c>
      <c r="M187" s="2"/>
      <c r="N187" s="5">
        <f t="shared" si="39"/>
        <v>-1.1961937192666563</v>
      </c>
      <c r="O187" s="11"/>
      <c r="P187" s="2">
        <f>SUM(OSRRefP22_12x_0)</f>
        <v>62279.17</v>
      </c>
      <c r="Q187" s="2"/>
      <c r="R187" s="5">
        <f t="shared" si="40"/>
        <v>7.4816587208842442E-3</v>
      </c>
      <c r="S187" s="2"/>
      <c r="T187" s="2">
        <f>SUM(OSRRefT22_12x_0)</f>
        <v>56356.95</v>
      </c>
      <c r="U187" s="2"/>
      <c r="V187" s="5">
        <f t="shared" si="41"/>
        <v>1.0290092023543656E-2</v>
      </c>
      <c r="W187" s="2"/>
      <c r="X187" s="2">
        <f t="shared" si="42"/>
        <v>5922.2200000000012</v>
      </c>
      <c r="Y187" s="2"/>
      <c r="Z187" s="5">
        <f t="shared" si="43"/>
        <v>0.10508411118770625</v>
      </c>
    </row>
    <row r="188" spans="1:26" s="69" customFormat="1" ht="15" hidden="1" customHeight="1" outlineLevel="2" x14ac:dyDescent="0.3">
      <c r="A188" s="21"/>
      <c r="B188" s="9" t="str">
        <f>CONCATENATE("          ","6314"," - ","LIABILITY INSURANCE")</f>
        <v xml:space="preserve">          6314 - LIABILITY INSURANCE</v>
      </c>
      <c r="C188" s="9"/>
      <c r="D188" s="6">
        <v>-1802.21</v>
      </c>
      <c r="E188" s="3"/>
      <c r="F188" s="7">
        <f t="shared" si="36"/>
        <v>-5.8709559828967264E-3</v>
      </c>
      <c r="G188" s="3"/>
      <c r="H188" s="6">
        <v>9185.8700000000008</v>
      </c>
      <c r="I188" s="3"/>
      <c r="J188" s="7">
        <f t="shared" si="37"/>
        <v>3.472416822324699E-2</v>
      </c>
      <c r="K188" s="3"/>
      <c r="L188" s="6">
        <f t="shared" si="38"/>
        <v>-10988.080000000002</v>
      </c>
      <c r="M188" s="3"/>
      <c r="N188" s="7">
        <f t="shared" si="39"/>
        <v>-1.1961937192666563</v>
      </c>
      <c r="O188" s="9"/>
      <c r="P188" s="6">
        <v>62279.17</v>
      </c>
      <c r="Q188" s="3"/>
      <c r="R188" s="7">
        <f t="shared" si="40"/>
        <v>7.4816587208842442E-3</v>
      </c>
      <c r="S188" s="3"/>
      <c r="T188" s="6">
        <v>56356.95</v>
      </c>
      <c r="U188" s="3"/>
      <c r="V188" s="7">
        <f t="shared" si="41"/>
        <v>1.0290092023543656E-2</v>
      </c>
      <c r="W188" s="3"/>
      <c r="X188" s="6">
        <f t="shared" si="42"/>
        <v>5922.2200000000012</v>
      </c>
      <c r="Y188" s="3"/>
      <c r="Z188" s="7">
        <f t="shared" si="43"/>
        <v>0.10508411118770625</v>
      </c>
    </row>
    <row r="189" spans="1:26" s="68" customFormat="1" ht="15" customHeight="1" outlineLevel="1" collapsed="1" x14ac:dyDescent="0.3">
      <c r="A189" s="20"/>
      <c r="B189" s="11" t="str">
        <f>CONCATENATE("     ","Interest                                          ")</f>
        <v xml:space="preserve">     Interest                                          </v>
      </c>
      <c r="C189" s="11"/>
      <c r="D189" s="2">
        <f>SUM(OSRRefD22_13x_0)</f>
        <v>3905</v>
      </c>
      <c r="E189" s="2"/>
      <c r="F189" s="5">
        <f t="shared" si="36"/>
        <v>1.2721094163949658E-2</v>
      </c>
      <c r="G189" s="2"/>
      <c r="H189" s="2">
        <f>SUM(OSRRefH22_13x_0)</f>
        <v>-439.07</v>
      </c>
      <c r="I189" s="2"/>
      <c r="J189" s="5">
        <f t="shared" si="37"/>
        <v>-1.6597601034829639E-3</v>
      </c>
      <c r="K189" s="2"/>
      <c r="L189" s="2">
        <f t="shared" si="38"/>
        <v>4344.07</v>
      </c>
      <c r="M189" s="2"/>
      <c r="N189" s="5">
        <f t="shared" si="39"/>
        <v>-9.8937982554034658</v>
      </c>
      <c r="O189" s="11"/>
      <c r="P189" s="2">
        <f>SUM(OSRRefP22_13x_0)</f>
        <v>45710</v>
      </c>
      <c r="Q189" s="2"/>
      <c r="R189" s="5">
        <f t="shared" si="40"/>
        <v>5.4911878262285576E-3</v>
      </c>
      <c r="S189" s="2"/>
      <c r="T189" s="2">
        <f>SUM(OSRRefT22_13x_0)</f>
        <v>42951.78</v>
      </c>
      <c r="U189" s="2"/>
      <c r="V189" s="5">
        <f t="shared" si="41"/>
        <v>7.8424714037044572E-3</v>
      </c>
      <c r="W189" s="2"/>
      <c r="X189" s="2">
        <f t="shared" si="42"/>
        <v>2758.2200000000012</v>
      </c>
      <c r="Y189" s="2"/>
      <c r="Z189" s="5">
        <f t="shared" si="43"/>
        <v>6.4216663430479506E-2</v>
      </c>
    </row>
    <row r="190" spans="1:26" s="69" customFormat="1" ht="15" hidden="1" customHeight="1" outlineLevel="2" x14ac:dyDescent="0.3">
      <c r="A190" s="21"/>
      <c r="B190" s="9" t="str">
        <f>CONCATENATE("          ","6401"," - ","INTEREST EXPENSE")</f>
        <v xml:space="preserve">          6401 - INTEREST EXPENSE</v>
      </c>
      <c r="C190" s="9"/>
      <c r="D190" s="6">
        <v>3905</v>
      </c>
      <c r="E190" s="3"/>
      <c r="F190" s="7">
        <f t="shared" si="36"/>
        <v>1.2721094163949658E-2</v>
      </c>
      <c r="G190" s="3"/>
      <c r="H190" s="6">
        <v>-439.07</v>
      </c>
      <c r="I190" s="3"/>
      <c r="J190" s="7">
        <f t="shared" si="37"/>
        <v>-1.6597601034829639E-3</v>
      </c>
      <c r="K190" s="3"/>
      <c r="L190" s="6">
        <f t="shared" si="38"/>
        <v>4344.07</v>
      </c>
      <c r="M190" s="3"/>
      <c r="N190" s="7">
        <f t="shared" si="39"/>
        <v>-9.8937982554034658</v>
      </c>
      <c r="O190" s="9"/>
      <c r="P190" s="6">
        <v>45710</v>
      </c>
      <c r="Q190" s="3"/>
      <c r="R190" s="7">
        <f t="shared" si="40"/>
        <v>5.4911878262285576E-3</v>
      </c>
      <c r="S190" s="3"/>
      <c r="T190" s="6">
        <v>42951.78</v>
      </c>
      <c r="U190" s="3"/>
      <c r="V190" s="7">
        <f t="shared" si="41"/>
        <v>7.8424714037044572E-3</v>
      </c>
      <c r="W190" s="3"/>
      <c r="X190" s="6">
        <f t="shared" si="42"/>
        <v>2758.2200000000012</v>
      </c>
      <c r="Y190" s="3"/>
      <c r="Z190" s="7">
        <f t="shared" si="43"/>
        <v>6.4216663430479506E-2</v>
      </c>
    </row>
    <row r="191" spans="1:26" s="68" customFormat="1" ht="15" customHeight="1" outlineLevel="1" collapsed="1" x14ac:dyDescent="0.3">
      <c r="A191" s="20"/>
      <c r="B191" s="11" t="str">
        <f>CONCATENATE("     ","Inventory Adjustment                              ")</f>
        <v xml:space="preserve">     Inventory Adjustment                              </v>
      </c>
      <c r="C191" s="11"/>
      <c r="D191" s="2">
        <f>SUM(OSRRefD22_14x_0)</f>
        <v>-60100</v>
      </c>
      <c r="E191" s="2"/>
      <c r="F191" s="5">
        <f t="shared" si="36"/>
        <v>-0.19578431735041602</v>
      </c>
      <c r="G191" s="2"/>
      <c r="H191" s="2">
        <f>SUM(OSRRefH22_14x_0)</f>
        <v>-28100</v>
      </c>
      <c r="I191" s="2"/>
      <c r="J191" s="5">
        <f t="shared" si="37"/>
        <v>-0.10622283214036779</v>
      </c>
      <c r="K191" s="2"/>
      <c r="L191" s="2">
        <f t="shared" si="38"/>
        <v>-32000</v>
      </c>
      <c r="M191" s="2"/>
      <c r="N191" s="5">
        <f t="shared" si="39"/>
        <v>1.1387900355871887</v>
      </c>
      <c r="O191" s="11"/>
      <c r="P191" s="2">
        <f>SUM(OSRRefP22_14x_0)</f>
        <v>0</v>
      </c>
      <c r="Q191" s="2"/>
      <c r="R191" s="5">
        <f t="shared" si="40"/>
        <v>0</v>
      </c>
      <c r="S191" s="2"/>
      <c r="T191" s="2">
        <f>SUM(OSRRefT22_14x_0)</f>
        <v>0</v>
      </c>
      <c r="U191" s="2"/>
      <c r="V191" s="5">
        <f t="shared" si="41"/>
        <v>0</v>
      </c>
      <c r="W191" s="2"/>
      <c r="X191" s="2">
        <f t="shared" si="42"/>
        <v>0</v>
      </c>
      <c r="Y191" s="2"/>
      <c r="Z191" s="5">
        <f t="shared" si="43"/>
        <v>0</v>
      </c>
    </row>
    <row r="192" spans="1:26" s="69" customFormat="1" ht="15" hidden="1" customHeight="1" outlineLevel="2" x14ac:dyDescent="0.3">
      <c r="A192" s="21"/>
      <c r="B192" s="9" t="str">
        <f>CONCATENATE("          ","6408"," - ","INVENTORY ADJUSTMENT")</f>
        <v xml:space="preserve">          6408 - INVENTORY ADJUSTMENT</v>
      </c>
      <c r="C192" s="9"/>
      <c r="D192" s="6">
        <v>-60100</v>
      </c>
      <c r="E192" s="3"/>
      <c r="F192" s="7">
        <f t="shared" si="36"/>
        <v>-0.19578431735041602</v>
      </c>
      <c r="G192" s="3"/>
      <c r="H192" s="6">
        <v>-28100</v>
      </c>
      <c r="I192" s="3"/>
      <c r="J192" s="7">
        <f t="shared" si="37"/>
        <v>-0.10622283214036779</v>
      </c>
      <c r="K192" s="3"/>
      <c r="L192" s="6">
        <f t="shared" si="38"/>
        <v>-32000</v>
      </c>
      <c r="M192" s="3"/>
      <c r="N192" s="7">
        <f t="shared" si="39"/>
        <v>1.1387900355871887</v>
      </c>
      <c r="O192" s="9"/>
      <c r="P192" s="6">
        <v>0</v>
      </c>
      <c r="Q192" s="3"/>
      <c r="R192" s="7">
        <f t="shared" si="40"/>
        <v>0</v>
      </c>
      <c r="S192" s="3"/>
      <c r="T192" s="6">
        <v>0</v>
      </c>
      <c r="U192" s="3"/>
      <c r="V192" s="7">
        <f t="shared" si="41"/>
        <v>0</v>
      </c>
      <c r="W192" s="3"/>
      <c r="X192" s="6">
        <f t="shared" si="42"/>
        <v>0</v>
      </c>
      <c r="Y192" s="3"/>
      <c r="Z192" s="7">
        <f t="shared" si="43"/>
        <v>0</v>
      </c>
    </row>
    <row r="193" spans="1:26" s="69" customFormat="1" ht="15" hidden="1" customHeight="1" outlineLevel="2" x14ac:dyDescent="0.3">
      <c r="A193" s="21"/>
      <c r="B193" s="9" t="str">
        <f>CONCATENATE("          ","7741"," - ","INV. SHRINKAGE-LOGO GIFTS")</f>
        <v xml:space="preserve">          7741 - INV. SHRINKAGE-LOGO GIFTS</v>
      </c>
      <c r="C193" s="9"/>
      <c r="D193" s="6"/>
      <c r="E193" s="3"/>
      <c r="F193" s="7">
        <f t="shared" si="36"/>
        <v>0</v>
      </c>
      <c r="G193" s="3"/>
      <c r="H193" s="6"/>
      <c r="I193" s="3"/>
      <c r="J193" s="7">
        <f t="shared" si="37"/>
        <v>0</v>
      </c>
      <c r="K193" s="3"/>
      <c r="L193" s="6">
        <f t="shared" si="38"/>
        <v>0</v>
      </c>
      <c r="M193" s="3"/>
      <c r="N193" s="7">
        <f t="shared" si="39"/>
        <v>0</v>
      </c>
      <c r="O193" s="9"/>
      <c r="P193" s="6"/>
      <c r="Q193" s="3"/>
      <c r="R193" s="7">
        <f t="shared" si="40"/>
        <v>0</v>
      </c>
      <c r="S193" s="3"/>
      <c r="T193" s="6">
        <v>0</v>
      </c>
      <c r="U193" s="3"/>
      <c r="V193" s="7">
        <f t="shared" si="41"/>
        <v>0</v>
      </c>
      <c r="W193" s="3"/>
      <c r="X193" s="6">
        <f t="shared" si="42"/>
        <v>0</v>
      </c>
      <c r="Y193" s="3"/>
      <c r="Z193" s="7">
        <f t="shared" si="43"/>
        <v>0</v>
      </c>
    </row>
    <row r="194" spans="1:26" s="68" customFormat="1" ht="15" customHeight="1" outlineLevel="1" collapsed="1" x14ac:dyDescent="0.3">
      <c r="A194" s="20"/>
      <c r="B194" s="11" t="str">
        <f>CONCATENATE("     ","Professional Services                             ")</f>
        <v xml:space="preserve">     Professional Services                             </v>
      </c>
      <c r="C194" s="11"/>
      <c r="D194" s="2">
        <f>SUM(OSRRefD22_15x_0)</f>
        <v>1551.33</v>
      </c>
      <c r="E194" s="2"/>
      <c r="F194" s="5">
        <f t="shared" si="36"/>
        <v>5.0536786195544232E-3</v>
      </c>
      <c r="G194" s="2"/>
      <c r="H194" s="2">
        <f>SUM(OSRRefH22_15x_0)</f>
        <v>1966.87</v>
      </c>
      <c r="I194" s="2"/>
      <c r="J194" s="5">
        <f t="shared" si="37"/>
        <v>7.4351068274706479E-3</v>
      </c>
      <c r="K194" s="2"/>
      <c r="L194" s="2">
        <f t="shared" si="38"/>
        <v>-415.53999999999996</v>
      </c>
      <c r="M194" s="2"/>
      <c r="N194" s="5">
        <f t="shared" si="39"/>
        <v>-0.21126968228708556</v>
      </c>
      <c r="O194" s="11"/>
      <c r="P194" s="2">
        <f>SUM(OSRRefP22_15x_0)</f>
        <v>11177.86</v>
      </c>
      <c r="Q194" s="2"/>
      <c r="R194" s="5">
        <f t="shared" si="40"/>
        <v>1.3428074547207865E-3</v>
      </c>
      <c r="S194" s="2"/>
      <c r="T194" s="2">
        <f>SUM(OSRRefT22_15x_0)</f>
        <v>1966.87</v>
      </c>
      <c r="U194" s="2"/>
      <c r="V194" s="5">
        <f t="shared" si="41"/>
        <v>3.5912648392695686E-4</v>
      </c>
      <c r="W194" s="2"/>
      <c r="X194" s="2">
        <f t="shared" si="42"/>
        <v>9210.9900000000016</v>
      </c>
      <c r="Y194" s="2"/>
      <c r="Z194" s="5">
        <f t="shared" si="43"/>
        <v>4.6830700554688427</v>
      </c>
    </row>
    <row r="195" spans="1:26" s="69" customFormat="1" ht="15" hidden="1" customHeight="1" outlineLevel="2" x14ac:dyDescent="0.3">
      <c r="A195" s="21"/>
      <c r="B195" s="9" t="str">
        <f>CONCATENATE("          ","6336"," - ","PROFESSIONAL SERVICES")</f>
        <v xml:space="preserve">          6336 - PROFESSIONAL SERVICES</v>
      </c>
      <c r="C195" s="9"/>
      <c r="D195" s="6">
        <v>1551.33</v>
      </c>
      <c r="E195" s="3"/>
      <c r="F195" s="7">
        <f t="shared" si="36"/>
        <v>5.0536786195544232E-3</v>
      </c>
      <c r="G195" s="3"/>
      <c r="H195" s="6">
        <v>1966.87</v>
      </c>
      <c r="I195" s="3"/>
      <c r="J195" s="7">
        <f t="shared" si="37"/>
        <v>7.4351068274706479E-3</v>
      </c>
      <c r="K195" s="3"/>
      <c r="L195" s="6">
        <f t="shared" si="38"/>
        <v>-415.53999999999996</v>
      </c>
      <c r="M195" s="3"/>
      <c r="N195" s="7">
        <f t="shared" si="39"/>
        <v>-0.21126968228708556</v>
      </c>
      <c r="O195" s="9"/>
      <c r="P195" s="6">
        <v>11177.86</v>
      </c>
      <c r="Q195" s="3"/>
      <c r="R195" s="7">
        <f t="shared" si="40"/>
        <v>1.3428074547207865E-3</v>
      </c>
      <c r="S195" s="3"/>
      <c r="T195" s="6">
        <v>1966.87</v>
      </c>
      <c r="U195" s="3"/>
      <c r="V195" s="7">
        <f t="shared" si="41"/>
        <v>3.5912648392695686E-4</v>
      </c>
      <c r="W195" s="3"/>
      <c r="X195" s="6">
        <f t="shared" si="42"/>
        <v>9210.9900000000016</v>
      </c>
      <c r="Y195" s="3"/>
      <c r="Z195" s="7">
        <f t="shared" si="43"/>
        <v>4.6830700554688427</v>
      </c>
    </row>
    <row r="196" spans="1:26" s="68" customFormat="1" ht="15" customHeight="1" outlineLevel="1" collapsed="1" x14ac:dyDescent="0.3">
      <c r="A196" s="20"/>
      <c r="B196" s="11" t="str">
        <f>CONCATENATE("     ","Rent                                              ")</f>
        <v xml:space="preserve">     Rent                                              </v>
      </c>
      <c r="C196" s="11"/>
      <c r="D196" s="2">
        <f>SUM(OSRRefD22_16x_0)</f>
        <v>6900</v>
      </c>
      <c r="E196" s="2"/>
      <c r="F196" s="5">
        <f t="shared" si="36"/>
        <v>2.2477733605954581E-2</v>
      </c>
      <c r="G196" s="2"/>
      <c r="H196" s="2">
        <f>SUM(OSRRefH22_16x_0)</f>
        <v>6100</v>
      </c>
      <c r="I196" s="2"/>
      <c r="J196" s="5">
        <f t="shared" si="37"/>
        <v>2.305904896997308E-2</v>
      </c>
      <c r="K196" s="2"/>
      <c r="L196" s="2">
        <f t="shared" si="38"/>
        <v>800</v>
      </c>
      <c r="M196" s="2"/>
      <c r="N196" s="5">
        <f t="shared" si="39"/>
        <v>0.13114754098360656</v>
      </c>
      <c r="O196" s="11"/>
      <c r="P196" s="2">
        <f>SUM(OSRRefP22_16x_0)</f>
        <v>74000</v>
      </c>
      <c r="Q196" s="2"/>
      <c r="R196" s="5">
        <f t="shared" si="40"/>
        <v>8.8896937024920859E-3</v>
      </c>
      <c r="S196" s="2"/>
      <c r="T196" s="2">
        <f>SUM(OSRRefT22_16x_0)</f>
        <v>73200</v>
      </c>
      <c r="U196" s="2"/>
      <c r="V196" s="5">
        <f t="shared" si="41"/>
        <v>1.3365427620256165E-2</v>
      </c>
      <c r="W196" s="2"/>
      <c r="X196" s="2">
        <f t="shared" si="42"/>
        <v>800</v>
      </c>
      <c r="Y196" s="2"/>
      <c r="Z196" s="5">
        <f t="shared" si="43"/>
        <v>1.092896174863388E-2</v>
      </c>
    </row>
    <row r="197" spans="1:26" s="69" customFormat="1" ht="15" hidden="1" customHeight="1" outlineLevel="2" x14ac:dyDescent="0.3">
      <c r="A197" s="21"/>
      <c r="B197" s="9" t="str">
        <f>CONCATENATE("          ","6273"," - ","RENT")</f>
        <v xml:space="preserve">          6273 - RENT</v>
      </c>
      <c r="C197" s="9"/>
      <c r="D197" s="6">
        <v>6900</v>
      </c>
      <c r="E197" s="3"/>
      <c r="F197" s="7">
        <f t="shared" si="36"/>
        <v>2.2477733605954581E-2</v>
      </c>
      <c r="G197" s="3"/>
      <c r="H197" s="6">
        <v>6100</v>
      </c>
      <c r="I197" s="3"/>
      <c r="J197" s="7">
        <f t="shared" si="37"/>
        <v>2.305904896997308E-2</v>
      </c>
      <c r="K197" s="3"/>
      <c r="L197" s="6">
        <f t="shared" si="38"/>
        <v>800</v>
      </c>
      <c r="M197" s="3"/>
      <c r="N197" s="7">
        <f t="shared" si="39"/>
        <v>0.13114754098360656</v>
      </c>
      <c r="O197" s="9"/>
      <c r="P197" s="6">
        <v>74000</v>
      </c>
      <c r="Q197" s="3"/>
      <c r="R197" s="7">
        <f t="shared" si="40"/>
        <v>8.8896937024920859E-3</v>
      </c>
      <c r="S197" s="3"/>
      <c r="T197" s="6">
        <v>73200</v>
      </c>
      <c r="U197" s="3"/>
      <c r="V197" s="7">
        <f t="shared" si="41"/>
        <v>1.3365427620256165E-2</v>
      </c>
      <c r="W197" s="3"/>
      <c r="X197" s="6">
        <f t="shared" si="42"/>
        <v>800</v>
      </c>
      <c r="Y197" s="3"/>
      <c r="Z197" s="7">
        <f t="shared" si="43"/>
        <v>1.092896174863388E-2</v>
      </c>
    </row>
    <row r="198" spans="1:26" s="68" customFormat="1" ht="15" customHeight="1" outlineLevel="1" collapsed="1" x14ac:dyDescent="0.3">
      <c r="A198" s="20"/>
      <c r="B198" s="11" t="str">
        <f>CONCATENATE("     ","Repair and Maintenance                            ")</f>
        <v xml:space="preserve">     Repair and Maintenance                            </v>
      </c>
      <c r="C198" s="11"/>
      <c r="D198" s="2">
        <f>SUM(OSRRefD22_17x_0)</f>
        <v>31999.120000000003</v>
      </c>
      <c r="E198" s="2"/>
      <c r="F198" s="5">
        <f t="shared" si="36"/>
        <v>0.10424169492535848</v>
      </c>
      <c r="G198" s="2"/>
      <c r="H198" s="2">
        <f>SUM(OSRRefH22_17x_0)</f>
        <v>18155.689999999999</v>
      </c>
      <c r="I198" s="2"/>
      <c r="J198" s="5">
        <f t="shared" si="37"/>
        <v>6.8631630294041068E-2</v>
      </c>
      <c r="K198" s="2"/>
      <c r="L198" s="2">
        <f t="shared" si="38"/>
        <v>13843.430000000004</v>
      </c>
      <c r="M198" s="2"/>
      <c r="N198" s="5">
        <f t="shared" si="39"/>
        <v>0.76248437817565762</v>
      </c>
      <c r="O198" s="11"/>
      <c r="P198" s="2">
        <f>SUM(OSRRefP22_17x_0)</f>
        <v>181695.86</v>
      </c>
      <c r="Q198" s="2"/>
      <c r="R198" s="5">
        <f t="shared" si="40"/>
        <v>2.1827304627174103E-2</v>
      </c>
      <c r="S198" s="2"/>
      <c r="T198" s="2">
        <f>SUM(OSRRefT22_17x_0)</f>
        <v>163342.03</v>
      </c>
      <c r="U198" s="2"/>
      <c r="V198" s="5">
        <f t="shared" si="41"/>
        <v>2.9824263378561627E-2</v>
      </c>
      <c r="W198" s="2"/>
      <c r="X198" s="2">
        <f t="shared" si="42"/>
        <v>18353.829999999987</v>
      </c>
      <c r="Y198" s="2"/>
      <c r="Z198" s="5">
        <f t="shared" si="43"/>
        <v>0.11236440492382754</v>
      </c>
    </row>
    <row r="199" spans="1:26" s="69" customFormat="1" ht="15" hidden="1" customHeight="1" outlineLevel="2" x14ac:dyDescent="0.3">
      <c r="A199" s="21"/>
      <c r="B199" s="9" t="str">
        <f>CONCATENATE("          ","6371"," - ","COMPUTER SOFTWARE MAINTENANCE")</f>
        <v xml:space="preserve">          6371 - COMPUTER SOFTWARE MAINTENANCE</v>
      </c>
      <c r="C199" s="9"/>
      <c r="D199" s="6"/>
      <c r="E199" s="3"/>
      <c r="F199" s="7">
        <f t="shared" si="36"/>
        <v>0</v>
      </c>
      <c r="G199" s="3"/>
      <c r="H199" s="6"/>
      <c r="I199" s="3"/>
      <c r="J199" s="7">
        <f t="shared" si="37"/>
        <v>0</v>
      </c>
      <c r="K199" s="3"/>
      <c r="L199" s="6">
        <f t="shared" si="38"/>
        <v>0</v>
      </c>
      <c r="M199" s="3"/>
      <c r="N199" s="7">
        <f t="shared" si="39"/>
        <v>0</v>
      </c>
      <c r="O199" s="9"/>
      <c r="P199" s="6">
        <v>62511</v>
      </c>
      <c r="Q199" s="3"/>
      <c r="R199" s="7">
        <f t="shared" si="40"/>
        <v>7.5095086896822E-3</v>
      </c>
      <c r="S199" s="3"/>
      <c r="T199" s="6">
        <v>59767.72</v>
      </c>
      <c r="U199" s="3"/>
      <c r="V199" s="7">
        <f t="shared" si="41"/>
        <v>1.0912857044914437E-2</v>
      </c>
      <c r="W199" s="3"/>
      <c r="X199" s="6">
        <f t="shared" si="42"/>
        <v>2743.2799999999988</v>
      </c>
      <c r="Y199" s="3"/>
      <c r="Z199" s="7">
        <f t="shared" si="43"/>
        <v>4.5899023753959475E-2</v>
      </c>
    </row>
    <row r="200" spans="1:26" s="69" customFormat="1" ht="15" hidden="1" customHeight="1" outlineLevel="2" x14ac:dyDescent="0.3">
      <c r="A200" s="21"/>
      <c r="B200" s="9" t="str">
        <f>CONCATENATE("          ","6372"," - ","COMPUTER HARDWARE MAINTENANCE")</f>
        <v xml:space="preserve">          6372 - COMPUTER HARDWARE MAINTENANCE</v>
      </c>
      <c r="C200" s="9"/>
      <c r="D200" s="6"/>
      <c r="E200" s="3"/>
      <c r="F200" s="7">
        <f t="shared" si="36"/>
        <v>0</v>
      </c>
      <c r="G200" s="3"/>
      <c r="H200" s="6"/>
      <c r="I200" s="3"/>
      <c r="J200" s="7">
        <f t="shared" si="37"/>
        <v>0</v>
      </c>
      <c r="K200" s="3"/>
      <c r="L200" s="6">
        <f t="shared" si="38"/>
        <v>0</v>
      </c>
      <c r="M200" s="3"/>
      <c r="N200" s="7">
        <f t="shared" si="39"/>
        <v>0</v>
      </c>
      <c r="O200" s="9"/>
      <c r="P200" s="6"/>
      <c r="Q200" s="3"/>
      <c r="R200" s="7">
        <f t="shared" si="40"/>
        <v>0</v>
      </c>
      <c r="S200" s="3"/>
      <c r="T200" s="6">
        <v>-1.1499999999999999</v>
      </c>
      <c r="U200" s="3"/>
      <c r="V200" s="7">
        <f t="shared" si="41"/>
        <v>-2.0997598037287688E-7</v>
      </c>
      <c r="W200" s="3"/>
      <c r="X200" s="6">
        <f t="shared" si="42"/>
        <v>1.1499999999999999</v>
      </c>
      <c r="Y200" s="3"/>
      <c r="Z200" s="7">
        <f t="shared" si="43"/>
        <v>-1</v>
      </c>
    </row>
    <row r="201" spans="1:26" s="69" customFormat="1" ht="15" hidden="1" customHeight="1" outlineLevel="2" x14ac:dyDescent="0.3">
      <c r="A201" s="21"/>
      <c r="B201" s="9" t="str">
        <f>CONCATENATE("          ","6373"," - ","MAINTENANCE CONTRACTS")</f>
        <v xml:space="preserve">          6373 - MAINTENANCE CONTRACTS</v>
      </c>
      <c r="C201" s="9"/>
      <c r="D201" s="6">
        <v>4242.3999999999996</v>
      </c>
      <c r="E201" s="3"/>
      <c r="F201" s="7">
        <f t="shared" si="36"/>
        <v>1.3820222760855322E-2</v>
      </c>
      <c r="G201" s="3"/>
      <c r="H201" s="6">
        <v>2384.71</v>
      </c>
      <c r="I201" s="3"/>
      <c r="J201" s="7">
        <f t="shared" si="37"/>
        <v>9.0146138801941809E-3</v>
      </c>
      <c r="K201" s="3"/>
      <c r="L201" s="6">
        <f t="shared" si="38"/>
        <v>1857.6899999999996</v>
      </c>
      <c r="M201" s="3"/>
      <c r="N201" s="7">
        <f t="shared" si="39"/>
        <v>0.77900038159776219</v>
      </c>
      <c r="O201" s="9"/>
      <c r="P201" s="6">
        <v>29676.28</v>
      </c>
      <c r="Q201" s="3"/>
      <c r="R201" s="7">
        <f t="shared" si="40"/>
        <v>3.5650410733701599E-3</v>
      </c>
      <c r="S201" s="3"/>
      <c r="T201" s="6">
        <v>52948.78</v>
      </c>
      <c r="U201" s="3"/>
      <c r="V201" s="7">
        <f t="shared" si="41"/>
        <v>9.6678017304763272E-3</v>
      </c>
      <c r="W201" s="3"/>
      <c r="X201" s="6">
        <f t="shared" si="42"/>
        <v>-23272.5</v>
      </c>
      <c r="Y201" s="3"/>
      <c r="Z201" s="7">
        <f t="shared" si="43"/>
        <v>-0.43952854060093549</v>
      </c>
    </row>
    <row r="202" spans="1:26" s="69" customFormat="1" ht="15" hidden="1" customHeight="1" outlineLevel="2" x14ac:dyDescent="0.3">
      <c r="A202" s="21"/>
      <c r="B202" s="9" t="str">
        <f>CONCATENATE("          ","6375"," - ","OUTSIDE REPAIRS &amp; MAINTENANCE")</f>
        <v xml:space="preserve">          6375 - OUTSIDE REPAIRS &amp; MAINTENANCE</v>
      </c>
      <c r="C202" s="9"/>
      <c r="D202" s="6">
        <v>27756.720000000001</v>
      </c>
      <c r="E202" s="3"/>
      <c r="F202" s="7">
        <f t="shared" si="36"/>
        <v>9.042147216450315E-2</v>
      </c>
      <c r="G202" s="3"/>
      <c r="H202" s="6">
        <v>15770.98</v>
      </c>
      <c r="I202" s="3"/>
      <c r="J202" s="7">
        <f t="shared" si="37"/>
        <v>5.9617016413846889E-2</v>
      </c>
      <c r="K202" s="3"/>
      <c r="L202" s="6">
        <f t="shared" si="38"/>
        <v>11985.740000000002</v>
      </c>
      <c r="M202" s="3"/>
      <c r="N202" s="7">
        <f t="shared" si="39"/>
        <v>0.75998701412340908</v>
      </c>
      <c r="O202" s="9"/>
      <c r="P202" s="6">
        <v>89508.58</v>
      </c>
      <c r="Q202" s="3"/>
      <c r="R202" s="7">
        <f t="shared" si="40"/>
        <v>1.0752754864121744E-2</v>
      </c>
      <c r="S202" s="3"/>
      <c r="T202" s="6">
        <v>50626.68</v>
      </c>
      <c r="U202" s="3"/>
      <c r="V202" s="7">
        <f t="shared" si="41"/>
        <v>9.2438145791512352E-3</v>
      </c>
      <c r="W202" s="3"/>
      <c r="X202" s="6">
        <f t="shared" si="42"/>
        <v>38881.9</v>
      </c>
      <c r="Y202" s="3"/>
      <c r="Z202" s="7">
        <f t="shared" si="43"/>
        <v>0.76801204424228497</v>
      </c>
    </row>
    <row r="203" spans="1:26" s="68" customFormat="1" ht="15" customHeight="1" outlineLevel="1" collapsed="1" x14ac:dyDescent="0.3">
      <c r="A203" s="20"/>
      <c r="B203" s="11" t="str">
        <f>CONCATENATE("     ","Royalty &amp; Commissions                             ")</f>
        <v xml:space="preserve">     Royalty &amp; Commissions                             </v>
      </c>
      <c r="C203" s="11"/>
      <c r="D203" s="2">
        <f>SUM(OSRRefD22_18x_0)</f>
        <v>503.53</v>
      </c>
      <c r="E203" s="2"/>
      <c r="F203" s="5">
        <f t="shared" si="36"/>
        <v>1.6403207540009147E-3</v>
      </c>
      <c r="G203" s="2"/>
      <c r="H203" s="2">
        <f>SUM(OSRRefH22_18x_0)</f>
        <v>2549.25</v>
      </c>
      <c r="I203" s="2"/>
      <c r="J203" s="5">
        <f t="shared" si="37"/>
        <v>9.6366033748694884E-3</v>
      </c>
      <c r="K203" s="2"/>
      <c r="L203" s="2">
        <f t="shared" si="38"/>
        <v>-2045.72</v>
      </c>
      <c r="M203" s="2"/>
      <c r="N203" s="5">
        <f t="shared" si="39"/>
        <v>-0.80247916053741297</v>
      </c>
      <c r="O203" s="11"/>
      <c r="P203" s="2">
        <f>SUM(OSRRefP22_18x_0)</f>
        <v>90338.51</v>
      </c>
      <c r="Q203" s="2"/>
      <c r="R203" s="5">
        <f t="shared" si="40"/>
        <v>1.0852455181615112E-2</v>
      </c>
      <c r="S203" s="2"/>
      <c r="T203" s="2">
        <f>SUM(OSRRefT22_18x_0)</f>
        <v>51521.88</v>
      </c>
      <c r="U203" s="2"/>
      <c r="V203" s="5">
        <f t="shared" si="41"/>
        <v>9.407267185785842E-3</v>
      </c>
      <c r="W203" s="2"/>
      <c r="X203" s="2">
        <f t="shared" si="42"/>
        <v>38816.629999999997</v>
      </c>
      <c r="Y203" s="2"/>
      <c r="Z203" s="5">
        <f t="shared" si="43"/>
        <v>0.75340088521614501</v>
      </c>
    </row>
    <row r="204" spans="1:26" s="69" customFormat="1" ht="15" hidden="1" customHeight="1" outlineLevel="2" x14ac:dyDescent="0.3">
      <c r="A204" s="21"/>
      <c r="B204" s="9" t="str">
        <f>CONCATENATE("          ","6253"," - ","ROYALTY DUE ATHLETICS-LRG")</f>
        <v xml:space="preserve">          6253 - ROYALTY DUE ATHLETICS-LRG</v>
      </c>
      <c r="C204" s="9"/>
      <c r="D204" s="6"/>
      <c r="E204" s="3"/>
      <c r="F204" s="7">
        <f t="shared" si="36"/>
        <v>0</v>
      </c>
      <c r="G204" s="3"/>
      <c r="H204" s="6"/>
      <c r="I204" s="3"/>
      <c r="J204" s="7">
        <f t="shared" si="37"/>
        <v>0</v>
      </c>
      <c r="K204" s="3"/>
      <c r="L204" s="6">
        <f t="shared" si="38"/>
        <v>0</v>
      </c>
      <c r="M204" s="3"/>
      <c r="N204" s="7">
        <f t="shared" si="39"/>
        <v>0</v>
      </c>
      <c r="O204" s="9"/>
      <c r="P204" s="6">
        <v>51456.52</v>
      </c>
      <c r="Q204" s="3"/>
      <c r="R204" s="7">
        <f t="shared" si="40"/>
        <v>6.1815229972453792E-3</v>
      </c>
      <c r="S204" s="3"/>
      <c r="T204" s="6">
        <v>35159.06</v>
      </c>
      <c r="U204" s="3"/>
      <c r="V204" s="7">
        <f t="shared" si="41"/>
        <v>6.4196157325989572E-3</v>
      </c>
      <c r="W204" s="3"/>
      <c r="X204" s="6">
        <f t="shared" si="42"/>
        <v>16297.46</v>
      </c>
      <c r="Y204" s="3"/>
      <c r="Z204" s="7">
        <f t="shared" si="43"/>
        <v>0.46353514570639831</v>
      </c>
    </row>
    <row r="205" spans="1:26" s="69" customFormat="1" ht="15" hidden="1" customHeight="1" outlineLevel="2" x14ac:dyDescent="0.3">
      <c r="A205" s="21"/>
      <c r="B205" s="9" t="str">
        <f>CONCATENATE("          ","6254"," - ","ROYALTY &amp; COMMISSIONS")</f>
        <v xml:space="preserve">          6254 - ROYALTY &amp; COMMISSIONS</v>
      </c>
      <c r="C205" s="9"/>
      <c r="D205" s="6">
        <v>108</v>
      </c>
      <c r="E205" s="3"/>
      <c r="F205" s="7">
        <f t="shared" si="36"/>
        <v>3.5182539557146306E-4</v>
      </c>
      <c r="G205" s="3"/>
      <c r="H205" s="6"/>
      <c r="I205" s="3"/>
      <c r="J205" s="7">
        <f t="shared" si="37"/>
        <v>0</v>
      </c>
      <c r="K205" s="3"/>
      <c r="L205" s="6">
        <f t="shared" si="38"/>
        <v>108</v>
      </c>
      <c r="M205" s="3"/>
      <c r="N205" s="7">
        <f t="shared" si="39"/>
        <v>0</v>
      </c>
      <c r="O205" s="9"/>
      <c r="P205" s="6">
        <v>25175</v>
      </c>
      <c r="Q205" s="3"/>
      <c r="R205" s="7">
        <f t="shared" si="40"/>
        <v>3.0242978237870035E-3</v>
      </c>
      <c r="S205" s="3"/>
      <c r="T205" s="6">
        <v>185.7</v>
      </c>
      <c r="U205" s="3"/>
      <c r="V205" s="7">
        <f t="shared" si="41"/>
        <v>3.3906556134994119E-5</v>
      </c>
      <c r="W205" s="3"/>
      <c r="X205" s="6">
        <f t="shared" si="42"/>
        <v>24989.3</v>
      </c>
      <c r="Y205" s="3"/>
      <c r="Z205" s="7">
        <f t="shared" si="43"/>
        <v>134.56812062466344</v>
      </c>
    </row>
    <row r="206" spans="1:26" s="69" customFormat="1" ht="15" hidden="1" customHeight="1" outlineLevel="2" x14ac:dyDescent="0.3">
      <c r="A206" s="21"/>
      <c r="B206" s="9" t="str">
        <f>CONCATENATE("          ","6259"," - ","ROYALTY &amp; COMMISSIONS")</f>
        <v xml:space="preserve">          6259 - ROYALTY &amp; COMMISSIONS</v>
      </c>
      <c r="C206" s="9"/>
      <c r="D206" s="6">
        <v>395.53</v>
      </c>
      <c r="E206" s="3"/>
      <c r="F206" s="7">
        <f t="shared" si="36"/>
        <v>1.2884953584294514E-3</v>
      </c>
      <c r="G206" s="3"/>
      <c r="H206" s="6">
        <v>2549.25</v>
      </c>
      <c r="I206" s="3"/>
      <c r="J206" s="7">
        <f t="shared" si="37"/>
        <v>9.6366033748694884E-3</v>
      </c>
      <c r="K206" s="3"/>
      <c r="L206" s="6">
        <f t="shared" si="38"/>
        <v>-2153.7200000000003</v>
      </c>
      <c r="M206" s="3"/>
      <c r="N206" s="7">
        <f t="shared" si="39"/>
        <v>-0.84484456212611558</v>
      </c>
      <c r="O206" s="9"/>
      <c r="P206" s="6">
        <v>13706.99</v>
      </c>
      <c r="Q206" s="3"/>
      <c r="R206" s="7">
        <f t="shared" si="40"/>
        <v>1.6466343605827298E-3</v>
      </c>
      <c r="S206" s="3"/>
      <c r="T206" s="6">
        <v>16177.12</v>
      </c>
      <c r="U206" s="3"/>
      <c r="V206" s="7">
        <f t="shared" si="41"/>
        <v>2.953744897051891E-3</v>
      </c>
      <c r="W206" s="3"/>
      <c r="X206" s="6">
        <f t="shared" si="42"/>
        <v>-2470.130000000001</v>
      </c>
      <c r="Y206" s="3"/>
      <c r="Z206" s="7">
        <f t="shared" si="43"/>
        <v>-0.15269281553206016</v>
      </c>
    </row>
    <row r="207" spans="1:26" s="68" customFormat="1" ht="15" customHeight="1" outlineLevel="1" collapsed="1" x14ac:dyDescent="0.3">
      <c r="A207" s="20"/>
      <c r="B207" s="11" t="str">
        <f>CONCATENATE("     ","Services                                          ")</f>
        <v xml:space="preserve">     Services                                          </v>
      </c>
      <c r="C207" s="11"/>
      <c r="D207" s="2">
        <f>SUM(OSRRefD22_19x_0)</f>
        <v>13627.109999999999</v>
      </c>
      <c r="E207" s="2"/>
      <c r="F207" s="5">
        <f t="shared" ref="F207:F234" si="44">IF(D$12=0,0,D207/D$12)</f>
        <v>4.4392253391165176E-2</v>
      </c>
      <c r="G207" s="2"/>
      <c r="H207" s="2">
        <f>SUM(OSRRefH22_19x_0)</f>
        <v>4885.97</v>
      </c>
      <c r="I207" s="2"/>
      <c r="J207" s="5">
        <f t="shared" ref="J207:J234" si="45">IF(H$12=0,0,H207/H$12)</f>
        <v>1.8469806802593341E-2</v>
      </c>
      <c r="K207" s="2"/>
      <c r="L207" s="2">
        <f t="shared" ref="L207:L234" si="46">+D207-H207</f>
        <v>8741.14</v>
      </c>
      <c r="M207" s="2"/>
      <c r="N207" s="5">
        <f t="shared" ref="N207:N234" si="47">IF(H207=0,0,L207/H207)</f>
        <v>1.7890285859307362</v>
      </c>
      <c r="O207" s="11"/>
      <c r="P207" s="2">
        <f>SUM(OSRRefP22_19x_0)</f>
        <v>87860.849999999991</v>
      </c>
      <c r="Q207" s="2"/>
      <c r="R207" s="5">
        <f t="shared" ref="R207:R234" si="48">IF(P$12=0,0,P207/P$12)</f>
        <v>1.055481141811624E-2</v>
      </c>
      <c r="S207" s="2"/>
      <c r="T207" s="2">
        <f>SUM(OSRRefT22_19x_0)</f>
        <v>52382.73</v>
      </c>
      <c r="U207" s="2"/>
      <c r="V207" s="5">
        <f t="shared" ref="V207:V234" si="49">IF(T$12=0,0,T207/T$12)</f>
        <v>9.5644479011806182E-3</v>
      </c>
      <c r="W207" s="2"/>
      <c r="X207" s="2">
        <f t="shared" ref="X207:X234" si="50">+P207-T207</f>
        <v>35478.119999999988</v>
      </c>
      <c r="Y207" s="2"/>
      <c r="Z207" s="5">
        <f t="shared" ref="Z207:Z234" si="51">IF(T207=0,0,X207/T207)</f>
        <v>0.67728657899273259</v>
      </c>
    </row>
    <row r="208" spans="1:26" s="69" customFormat="1" ht="15" hidden="1" customHeight="1" outlineLevel="2" x14ac:dyDescent="0.3">
      <c r="A208" s="21"/>
      <c r="B208" s="9" t="str">
        <f>CONCATENATE("          ","6282"," - ","JANITORIAL/EXTERMINATOR EXPENS")</f>
        <v xml:space="preserve">          6282 - JANITORIAL/EXTERMINATOR EXPENS</v>
      </c>
      <c r="C208" s="9"/>
      <c r="D208" s="6">
        <v>1016.85</v>
      </c>
      <c r="E208" s="3"/>
      <c r="F208" s="7">
        <f t="shared" si="44"/>
        <v>3.3125338285818723E-3</v>
      </c>
      <c r="G208" s="3"/>
      <c r="H208" s="6">
        <v>1070.6500000000001</v>
      </c>
      <c r="I208" s="3"/>
      <c r="J208" s="7">
        <f t="shared" si="45"/>
        <v>4.0472411114265052E-3</v>
      </c>
      <c r="K208" s="3"/>
      <c r="L208" s="6">
        <f t="shared" si="46"/>
        <v>-53.800000000000068</v>
      </c>
      <c r="M208" s="3"/>
      <c r="N208" s="7">
        <f t="shared" si="47"/>
        <v>-5.024984822304214E-2</v>
      </c>
      <c r="O208" s="9"/>
      <c r="P208" s="6">
        <v>7968.38</v>
      </c>
      <c r="Q208" s="3"/>
      <c r="R208" s="7">
        <f t="shared" si="48"/>
        <v>9.572494257441066E-4</v>
      </c>
      <c r="S208" s="3"/>
      <c r="T208" s="6">
        <v>11174.83</v>
      </c>
      <c r="U208" s="3"/>
      <c r="V208" s="7">
        <f t="shared" si="49"/>
        <v>2.0403877258697704E-3</v>
      </c>
      <c r="W208" s="3"/>
      <c r="X208" s="6">
        <f t="shared" si="50"/>
        <v>-3206.45</v>
      </c>
      <c r="Y208" s="3"/>
      <c r="Z208" s="7">
        <f t="shared" si="51"/>
        <v>-0.28693501377649594</v>
      </c>
    </row>
    <row r="209" spans="1:26" s="69" customFormat="1" ht="15" hidden="1" customHeight="1" outlineLevel="2" x14ac:dyDescent="0.3">
      <c r="A209" s="21"/>
      <c r="B209" s="9" t="str">
        <f>CONCATENATE("          ","6283"," - ","PLANT SERVICE")</f>
        <v xml:space="preserve">          6283 - PLANT SERVICE</v>
      </c>
      <c r="C209" s="9"/>
      <c r="D209" s="6"/>
      <c r="E209" s="3"/>
      <c r="F209" s="7">
        <f t="shared" si="44"/>
        <v>0</v>
      </c>
      <c r="G209" s="3"/>
      <c r="H209" s="6"/>
      <c r="I209" s="3"/>
      <c r="J209" s="7">
        <f t="shared" si="45"/>
        <v>0</v>
      </c>
      <c r="K209" s="3"/>
      <c r="L209" s="6">
        <f t="shared" si="46"/>
        <v>0</v>
      </c>
      <c r="M209" s="3"/>
      <c r="N209" s="7">
        <f t="shared" si="47"/>
        <v>0</v>
      </c>
      <c r="O209" s="9"/>
      <c r="P209" s="6"/>
      <c r="Q209" s="3"/>
      <c r="R209" s="7">
        <f t="shared" si="48"/>
        <v>0</v>
      </c>
      <c r="S209" s="3"/>
      <c r="T209" s="6">
        <v>171.31</v>
      </c>
      <c r="U209" s="3"/>
      <c r="V209" s="7">
        <f t="shared" si="49"/>
        <v>3.1279117563197861E-5</v>
      </c>
      <c r="W209" s="3"/>
      <c r="X209" s="6">
        <f t="shared" si="50"/>
        <v>-171.31</v>
      </c>
      <c r="Y209" s="3"/>
      <c r="Z209" s="7">
        <f t="shared" si="51"/>
        <v>-1</v>
      </c>
    </row>
    <row r="210" spans="1:26" s="69" customFormat="1" ht="15" hidden="1" customHeight="1" outlineLevel="2" x14ac:dyDescent="0.3">
      <c r="A210" s="21"/>
      <c r="B210" s="9" t="str">
        <f>CONCATENATE("          ","6284"," - ","TRASH REMOVAL EXPENSE")</f>
        <v xml:space="preserve">          6284 - TRASH REMOVAL EXPENSE</v>
      </c>
      <c r="C210" s="9"/>
      <c r="D210" s="6">
        <v>149.69999999999999</v>
      </c>
      <c r="E210" s="3"/>
      <c r="F210" s="7">
        <f t="shared" si="44"/>
        <v>4.8766908997266678E-4</v>
      </c>
      <c r="G210" s="3"/>
      <c r="H210" s="6">
        <v>-48.43</v>
      </c>
      <c r="I210" s="3"/>
      <c r="J210" s="7">
        <f t="shared" si="45"/>
        <v>-1.830737281337371E-4</v>
      </c>
      <c r="K210" s="3"/>
      <c r="L210" s="6">
        <f t="shared" si="46"/>
        <v>198.13</v>
      </c>
      <c r="M210" s="3"/>
      <c r="N210" s="7">
        <f t="shared" si="47"/>
        <v>-4.091059260788767</v>
      </c>
      <c r="O210" s="9"/>
      <c r="P210" s="6">
        <v>1639.57</v>
      </c>
      <c r="Q210" s="3"/>
      <c r="R210" s="7">
        <f t="shared" si="48"/>
        <v>1.9696317707831014E-4</v>
      </c>
      <c r="S210" s="3"/>
      <c r="T210" s="6">
        <v>2987.86</v>
      </c>
      <c r="U210" s="3"/>
      <c r="V210" s="7">
        <f t="shared" si="49"/>
        <v>5.4554681105817738E-4</v>
      </c>
      <c r="W210" s="3"/>
      <c r="X210" s="6">
        <f t="shared" si="50"/>
        <v>-1348.2900000000002</v>
      </c>
      <c r="Y210" s="3"/>
      <c r="Z210" s="7">
        <f t="shared" si="51"/>
        <v>-0.45125608294900033</v>
      </c>
    </row>
    <row r="211" spans="1:26" s="69" customFormat="1" ht="15" hidden="1" customHeight="1" outlineLevel="2" x14ac:dyDescent="0.3">
      <c r="A211" s="21"/>
      <c r="B211" s="9" t="str">
        <f>CONCATENATE("          ","6285"," - ","JANITORIAL SERVICES")</f>
        <v xml:space="preserve">          6285 - JANITORIAL SERVICES</v>
      </c>
      <c r="C211" s="9"/>
      <c r="D211" s="6">
        <v>12357.1</v>
      </c>
      <c r="E211" s="3"/>
      <c r="F211" s="7">
        <f t="shared" si="44"/>
        <v>4.0255014774223392E-2</v>
      </c>
      <c r="G211" s="3"/>
      <c r="H211" s="6">
        <v>3863.75</v>
      </c>
      <c r="I211" s="3"/>
      <c r="J211" s="7">
        <f t="shared" si="45"/>
        <v>1.4605639419300572E-2</v>
      </c>
      <c r="K211" s="3"/>
      <c r="L211" s="6">
        <f t="shared" si="46"/>
        <v>8493.35</v>
      </c>
      <c r="M211" s="3"/>
      <c r="N211" s="7">
        <f t="shared" si="47"/>
        <v>2.1982141701714655</v>
      </c>
      <c r="O211" s="9"/>
      <c r="P211" s="6">
        <v>77001.649999999994</v>
      </c>
      <c r="Q211" s="3"/>
      <c r="R211" s="7">
        <f t="shared" si="48"/>
        <v>9.2502849065743201E-3</v>
      </c>
      <c r="S211" s="3"/>
      <c r="T211" s="6">
        <v>38048.730000000003</v>
      </c>
      <c r="U211" s="3"/>
      <c r="V211" s="7">
        <f t="shared" si="49"/>
        <v>6.9472342466894727E-3</v>
      </c>
      <c r="W211" s="3"/>
      <c r="X211" s="6">
        <f t="shared" si="50"/>
        <v>38952.919999999991</v>
      </c>
      <c r="Y211" s="3"/>
      <c r="Z211" s="7">
        <f t="shared" si="51"/>
        <v>1.0237639994817169</v>
      </c>
    </row>
    <row r="212" spans="1:26" s="69" customFormat="1" ht="15" hidden="1" customHeight="1" outlineLevel="2" x14ac:dyDescent="0.3">
      <c r="A212" s="21"/>
      <c r="B212" s="9" t="str">
        <f>CONCATENATE("          ","6286"," - ","LAUNDRY EXPENSE")</f>
        <v xml:space="preserve">          6286 - LAUNDRY EXPENSE</v>
      </c>
      <c r="C212" s="9"/>
      <c r="D212" s="6">
        <v>103.46</v>
      </c>
      <c r="E212" s="3"/>
      <c r="F212" s="7">
        <f t="shared" si="44"/>
        <v>3.3703569838725521E-4</v>
      </c>
      <c r="G212" s="3"/>
      <c r="H212" s="6"/>
      <c r="I212" s="3"/>
      <c r="J212" s="7">
        <f t="shared" si="45"/>
        <v>0</v>
      </c>
      <c r="K212" s="3"/>
      <c r="L212" s="6">
        <f t="shared" si="46"/>
        <v>103.46</v>
      </c>
      <c r="M212" s="3"/>
      <c r="N212" s="7">
        <f t="shared" si="47"/>
        <v>0</v>
      </c>
      <c r="O212" s="9"/>
      <c r="P212" s="6">
        <v>1251.25</v>
      </c>
      <c r="Q212" s="3"/>
      <c r="R212" s="7">
        <f t="shared" si="48"/>
        <v>1.50313908719503E-4</v>
      </c>
      <c r="S212" s="3"/>
      <c r="T212" s="6"/>
      <c r="U212" s="3"/>
      <c r="V212" s="7">
        <f t="shared" si="49"/>
        <v>0</v>
      </c>
      <c r="W212" s="3"/>
      <c r="X212" s="6">
        <f t="shared" si="50"/>
        <v>1251.25</v>
      </c>
      <c r="Y212" s="3"/>
      <c r="Z212" s="7">
        <f t="shared" si="51"/>
        <v>0</v>
      </c>
    </row>
    <row r="213" spans="1:26" s="68" customFormat="1" ht="15" customHeight="1" outlineLevel="1" collapsed="1" x14ac:dyDescent="0.3">
      <c r="A213" s="20"/>
      <c r="B213" s="11" t="str">
        <f>CONCATENATE("     ","Subscriptions &amp; Dues                              ")</f>
        <v xml:space="preserve">     Subscriptions &amp; Dues                              </v>
      </c>
      <c r="C213" s="11"/>
      <c r="D213" s="2">
        <f>SUM(OSRRefD22_20x_0)</f>
        <v>272.35000000000002</v>
      </c>
      <c r="E213" s="2"/>
      <c r="F213" s="5">
        <f t="shared" si="44"/>
        <v>8.8721894892488859E-4</v>
      </c>
      <c r="G213" s="2"/>
      <c r="H213" s="2">
        <f>SUM(OSRRefH22_20x_0)</f>
        <v>694</v>
      </c>
      <c r="I213" s="2"/>
      <c r="J213" s="5">
        <f t="shared" si="45"/>
        <v>2.6234393418297242E-3</v>
      </c>
      <c r="K213" s="2"/>
      <c r="L213" s="2">
        <f t="shared" si="46"/>
        <v>-421.65</v>
      </c>
      <c r="M213" s="2"/>
      <c r="N213" s="5">
        <f t="shared" si="47"/>
        <v>-0.60756484149855905</v>
      </c>
      <c r="O213" s="11"/>
      <c r="P213" s="2">
        <f>SUM(OSRRefP22_20x_0)</f>
        <v>7455.8799999999992</v>
      </c>
      <c r="Q213" s="2"/>
      <c r="R213" s="5">
        <f t="shared" si="48"/>
        <v>8.956822903045499E-4</v>
      </c>
      <c r="S213" s="2"/>
      <c r="T213" s="2">
        <f>SUM(OSRRefT22_20x_0)</f>
        <v>7983.13</v>
      </c>
      <c r="U213" s="2"/>
      <c r="V213" s="5">
        <f t="shared" si="49"/>
        <v>1.4576222158209781E-3</v>
      </c>
      <c r="W213" s="2"/>
      <c r="X213" s="2">
        <f t="shared" si="50"/>
        <v>-527.25000000000091</v>
      </c>
      <c r="Y213" s="2"/>
      <c r="Z213" s="5">
        <f t="shared" si="51"/>
        <v>-6.604552349767584E-2</v>
      </c>
    </row>
    <row r="214" spans="1:26" s="69" customFormat="1" ht="15" hidden="1" customHeight="1" outlineLevel="2" x14ac:dyDescent="0.3">
      <c r="A214" s="21"/>
      <c r="B214" s="9" t="str">
        <f>CONCATENATE("          ","6258"," - ","MEMBERSHIP DUES")</f>
        <v xml:space="preserve">          6258 - MEMBERSHIP DUES</v>
      </c>
      <c r="C214" s="9"/>
      <c r="D214" s="6">
        <v>272.35000000000002</v>
      </c>
      <c r="E214" s="3"/>
      <c r="F214" s="7">
        <f t="shared" si="44"/>
        <v>8.8721894892488859E-4</v>
      </c>
      <c r="G214" s="3"/>
      <c r="H214" s="6">
        <v>609</v>
      </c>
      <c r="I214" s="3"/>
      <c r="J214" s="7">
        <f t="shared" si="45"/>
        <v>2.3021247250350173E-3</v>
      </c>
      <c r="K214" s="3"/>
      <c r="L214" s="6">
        <f t="shared" si="46"/>
        <v>-336.65</v>
      </c>
      <c r="M214" s="3"/>
      <c r="N214" s="7">
        <f t="shared" si="47"/>
        <v>-0.55279146141215108</v>
      </c>
      <c r="O214" s="9"/>
      <c r="P214" s="6">
        <v>4104.49</v>
      </c>
      <c r="Q214" s="3"/>
      <c r="R214" s="7">
        <f t="shared" si="48"/>
        <v>4.9307647168840194E-4</v>
      </c>
      <c r="S214" s="3"/>
      <c r="T214" s="6">
        <v>3655.45</v>
      </c>
      <c r="U214" s="3"/>
      <c r="V214" s="7">
        <f t="shared" si="49"/>
        <v>6.6744060648176774E-4</v>
      </c>
      <c r="W214" s="3"/>
      <c r="X214" s="6">
        <f t="shared" si="50"/>
        <v>449.03999999999996</v>
      </c>
      <c r="Y214" s="3"/>
      <c r="Z214" s="7">
        <f t="shared" si="51"/>
        <v>0.12284123705699708</v>
      </c>
    </row>
    <row r="215" spans="1:26" s="69" customFormat="1" ht="15" hidden="1" customHeight="1" outlineLevel="2" x14ac:dyDescent="0.3">
      <c r="A215" s="21"/>
      <c r="B215" s="9" t="str">
        <f>CONCATENATE("          ","6275"," - ","SUBSCRIPTIONS")</f>
        <v xml:space="preserve">          6275 - SUBSCRIPTIONS</v>
      </c>
      <c r="C215" s="9"/>
      <c r="D215" s="6"/>
      <c r="E215" s="3"/>
      <c r="F215" s="7">
        <f t="shared" si="44"/>
        <v>0</v>
      </c>
      <c r="G215" s="3"/>
      <c r="H215" s="6">
        <v>85</v>
      </c>
      <c r="I215" s="3"/>
      <c r="J215" s="7">
        <f t="shared" si="45"/>
        <v>3.2131461679470684E-4</v>
      </c>
      <c r="K215" s="3"/>
      <c r="L215" s="6">
        <f t="shared" si="46"/>
        <v>-85</v>
      </c>
      <c r="M215" s="3"/>
      <c r="N215" s="7">
        <f t="shared" si="47"/>
        <v>-1</v>
      </c>
      <c r="O215" s="9"/>
      <c r="P215" s="6">
        <v>3351.39</v>
      </c>
      <c r="Q215" s="3"/>
      <c r="R215" s="7">
        <f t="shared" si="48"/>
        <v>4.0260581861614801E-4</v>
      </c>
      <c r="S215" s="3"/>
      <c r="T215" s="6">
        <v>4327.68</v>
      </c>
      <c r="U215" s="3"/>
      <c r="V215" s="7">
        <f t="shared" si="49"/>
        <v>7.9018160933921043E-4</v>
      </c>
      <c r="W215" s="3"/>
      <c r="X215" s="6">
        <f t="shared" si="50"/>
        <v>-976.29000000000042</v>
      </c>
      <c r="Y215" s="3"/>
      <c r="Z215" s="7">
        <f t="shared" si="51"/>
        <v>-0.22559200310559013</v>
      </c>
    </row>
    <row r="216" spans="1:26" s="68" customFormat="1" ht="15" customHeight="1" outlineLevel="1" collapsed="1" x14ac:dyDescent="0.3">
      <c r="A216" s="20"/>
      <c r="B216" s="11" t="str">
        <f>CONCATENATE("     ","Supplies                                          ")</f>
        <v xml:space="preserve">     Supplies                                          </v>
      </c>
      <c r="C216" s="11"/>
      <c r="D216" s="2">
        <f>SUM(OSRRefD22_21x_0)</f>
        <v>36051.089999999997</v>
      </c>
      <c r="E216" s="2"/>
      <c r="F216" s="5">
        <f t="shared" si="44"/>
        <v>0.11744156481511495</v>
      </c>
      <c r="G216" s="2"/>
      <c r="H216" s="2">
        <f>SUM(OSRRefH22_21x_0)</f>
        <v>12438.82</v>
      </c>
      <c r="I216" s="2"/>
      <c r="J216" s="5">
        <f t="shared" si="45"/>
        <v>4.7020878607980418E-2</v>
      </c>
      <c r="K216" s="2"/>
      <c r="L216" s="2">
        <f t="shared" si="46"/>
        <v>23612.269999999997</v>
      </c>
      <c r="M216" s="2"/>
      <c r="N216" s="5">
        <f t="shared" si="47"/>
        <v>1.8982725049482183</v>
      </c>
      <c r="O216" s="11"/>
      <c r="P216" s="2">
        <f>SUM(OSRRefP22_21x_0)</f>
        <v>158619.76</v>
      </c>
      <c r="Q216" s="2"/>
      <c r="R216" s="5">
        <f t="shared" si="48"/>
        <v>1.9055149750848734E-2</v>
      </c>
      <c r="S216" s="2"/>
      <c r="T216" s="2">
        <f>SUM(OSRRefT22_21x_0)</f>
        <v>135431.66</v>
      </c>
      <c r="U216" s="2"/>
      <c r="V216" s="5">
        <f t="shared" si="49"/>
        <v>2.4728170071327077E-2</v>
      </c>
      <c r="W216" s="2"/>
      <c r="X216" s="2">
        <f t="shared" si="50"/>
        <v>23188.100000000006</v>
      </c>
      <c r="Y216" s="2"/>
      <c r="Z216" s="5">
        <f t="shared" si="51"/>
        <v>0.171216242937582</v>
      </c>
    </row>
    <row r="217" spans="1:26" s="69" customFormat="1" ht="15" hidden="1" customHeight="1" outlineLevel="2" x14ac:dyDescent="0.3">
      <c r="A217" s="21"/>
      <c r="B217" s="9" t="str">
        <f>CONCATENATE("          ","6234"," - ","EXPENDABLE SUPPLIES &amp; EQUIPMEN")</f>
        <v xml:space="preserve">          6234 - EXPENDABLE SUPPLIES &amp; EQUIPMEN</v>
      </c>
      <c r="C217" s="9"/>
      <c r="D217" s="6"/>
      <c r="E217" s="3"/>
      <c r="F217" s="7">
        <f t="shared" si="44"/>
        <v>0</v>
      </c>
      <c r="G217" s="3"/>
      <c r="H217" s="6"/>
      <c r="I217" s="3"/>
      <c r="J217" s="7">
        <f t="shared" si="45"/>
        <v>0</v>
      </c>
      <c r="K217" s="3"/>
      <c r="L217" s="6">
        <f t="shared" si="46"/>
        <v>0</v>
      </c>
      <c r="M217" s="3"/>
      <c r="N217" s="7">
        <f t="shared" si="47"/>
        <v>0</v>
      </c>
      <c r="O217" s="9"/>
      <c r="P217" s="6">
        <v>11477.77</v>
      </c>
      <c r="Q217" s="3"/>
      <c r="R217" s="7">
        <f t="shared" si="48"/>
        <v>1.3788359417250351E-3</v>
      </c>
      <c r="S217" s="3"/>
      <c r="T217" s="6">
        <v>316.83</v>
      </c>
      <c r="U217" s="3"/>
      <c r="V217" s="7">
        <f t="shared" si="49"/>
        <v>5.7849295531772687E-5</v>
      </c>
      <c r="W217" s="3"/>
      <c r="X217" s="6">
        <f t="shared" si="50"/>
        <v>11160.94</v>
      </c>
      <c r="Y217" s="3"/>
      <c r="Z217" s="7">
        <f t="shared" si="51"/>
        <v>35.226904017927602</v>
      </c>
    </row>
    <row r="218" spans="1:26" s="69" customFormat="1" ht="15" hidden="1" customHeight="1" outlineLevel="2" x14ac:dyDescent="0.3">
      <c r="A218" s="21"/>
      <c r="B218" s="9" t="str">
        <f>CONCATENATE("          ","6235"," - ","COVID-19 EXPENSES")</f>
        <v xml:space="preserve">          6235 - COVID-19 EXPENSES</v>
      </c>
      <c r="C218" s="9"/>
      <c r="D218" s="6"/>
      <c r="E218" s="3"/>
      <c r="F218" s="7">
        <f t="shared" si="44"/>
        <v>0</v>
      </c>
      <c r="G218" s="3"/>
      <c r="H218" s="6">
        <v>957.91</v>
      </c>
      <c r="I218" s="3"/>
      <c r="J218" s="7">
        <f t="shared" si="45"/>
        <v>3.6210645243978544E-3</v>
      </c>
      <c r="K218" s="3"/>
      <c r="L218" s="6">
        <f t="shared" si="46"/>
        <v>-957.91</v>
      </c>
      <c r="M218" s="3"/>
      <c r="N218" s="7">
        <f t="shared" si="47"/>
        <v>-1</v>
      </c>
      <c r="O218" s="9"/>
      <c r="P218" s="6">
        <v>3657.77</v>
      </c>
      <c r="Q218" s="3"/>
      <c r="R218" s="7">
        <f t="shared" si="48"/>
        <v>4.3941155316438486E-4</v>
      </c>
      <c r="S218" s="3"/>
      <c r="T218" s="6">
        <v>45163.24</v>
      </c>
      <c r="U218" s="3"/>
      <c r="V218" s="7">
        <f t="shared" si="49"/>
        <v>8.2462570398395899E-3</v>
      </c>
      <c r="W218" s="3"/>
      <c r="X218" s="6">
        <f t="shared" si="50"/>
        <v>-41505.47</v>
      </c>
      <c r="Y218" s="3"/>
      <c r="Z218" s="7">
        <f t="shared" si="51"/>
        <v>-0.91901001788179948</v>
      </c>
    </row>
    <row r="219" spans="1:26" s="69" customFormat="1" ht="15" hidden="1" customHeight="1" outlineLevel="2" x14ac:dyDescent="0.3">
      <c r="A219" s="21"/>
      <c r="B219" s="9" t="str">
        <f>CONCATENATE("          ","6237"," - ","JANITORIAL SUPPLIES")</f>
        <v xml:space="preserve">          6237 - JANITORIAL SUPPLIES</v>
      </c>
      <c r="C219" s="9"/>
      <c r="D219" s="6">
        <v>1587.45</v>
      </c>
      <c r="E219" s="3"/>
      <c r="F219" s="7">
        <f t="shared" si="44"/>
        <v>5.1713446685177685E-3</v>
      </c>
      <c r="G219" s="3"/>
      <c r="H219" s="6">
        <v>321.05</v>
      </c>
      <c r="I219" s="3"/>
      <c r="J219" s="7">
        <f t="shared" si="45"/>
        <v>1.2136242084934193E-3</v>
      </c>
      <c r="K219" s="3"/>
      <c r="L219" s="6">
        <f t="shared" si="46"/>
        <v>1266.4000000000001</v>
      </c>
      <c r="M219" s="3"/>
      <c r="N219" s="7">
        <f t="shared" si="47"/>
        <v>3.9445569225977262</v>
      </c>
      <c r="O219" s="9"/>
      <c r="P219" s="6">
        <v>9370.77</v>
      </c>
      <c r="Q219" s="3"/>
      <c r="R219" s="7">
        <f t="shared" si="48"/>
        <v>1.1257199331959698E-3</v>
      </c>
      <c r="S219" s="3"/>
      <c r="T219" s="6">
        <v>4518.8999999999996</v>
      </c>
      <c r="U219" s="3"/>
      <c r="V219" s="7">
        <f t="shared" si="49"/>
        <v>8.2509605017999426E-4</v>
      </c>
      <c r="W219" s="3"/>
      <c r="X219" s="6">
        <f t="shared" si="50"/>
        <v>4851.8700000000008</v>
      </c>
      <c r="Y219" s="3"/>
      <c r="Z219" s="7">
        <f t="shared" si="51"/>
        <v>1.0736838611166437</v>
      </c>
    </row>
    <row r="220" spans="1:26" s="69" customFormat="1" ht="15" hidden="1" customHeight="1" outlineLevel="2" x14ac:dyDescent="0.3">
      <c r="A220" s="21"/>
      <c r="B220" s="9" t="str">
        <f>CONCATENATE("          ","6241"," - ","OFFICE EXPENSE")</f>
        <v xml:space="preserve">          6241 - OFFICE EXPENSE</v>
      </c>
      <c r="C220" s="9"/>
      <c r="D220" s="6">
        <v>4473.38</v>
      </c>
      <c r="E220" s="3"/>
      <c r="F220" s="7">
        <f t="shared" si="44"/>
        <v>1.4572673037421031E-2</v>
      </c>
      <c r="G220" s="3"/>
      <c r="H220" s="6">
        <v>989.87</v>
      </c>
      <c r="I220" s="3"/>
      <c r="J220" s="7">
        <f t="shared" si="45"/>
        <v>3.7418788203126643E-3</v>
      </c>
      <c r="K220" s="3"/>
      <c r="L220" s="6">
        <f t="shared" si="46"/>
        <v>3483.51</v>
      </c>
      <c r="M220" s="3"/>
      <c r="N220" s="7">
        <f t="shared" si="47"/>
        <v>3.51915908149555</v>
      </c>
      <c r="O220" s="9"/>
      <c r="P220" s="6">
        <v>22605.919999999998</v>
      </c>
      <c r="Q220" s="3"/>
      <c r="R220" s="7">
        <f t="shared" si="48"/>
        <v>2.7156716846356743E-3</v>
      </c>
      <c r="S220" s="3"/>
      <c r="T220" s="6">
        <v>12126.59</v>
      </c>
      <c r="U220" s="3"/>
      <c r="V220" s="7">
        <f t="shared" si="49"/>
        <v>2.214167498982544E-3</v>
      </c>
      <c r="W220" s="3"/>
      <c r="X220" s="6">
        <f t="shared" si="50"/>
        <v>10479.329999999998</v>
      </c>
      <c r="Y220" s="3"/>
      <c r="Z220" s="7">
        <f t="shared" si="51"/>
        <v>0.86416131822713538</v>
      </c>
    </row>
    <row r="221" spans="1:26" s="69" customFormat="1" ht="15" hidden="1" customHeight="1" outlineLevel="2" x14ac:dyDescent="0.3">
      <c r="A221" s="21"/>
      <c r="B221" s="9" t="str">
        <f>CONCATENATE("          ","6243"," - ","PAPER SUPPLIES")</f>
        <v xml:space="preserve">          6243 - PAPER SUPPLIES</v>
      </c>
      <c r="C221" s="9"/>
      <c r="D221" s="6">
        <v>742</v>
      </c>
      <c r="E221" s="3"/>
      <c r="F221" s="7">
        <f t="shared" si="44"/>
        <v>2.4171707732780147E-3</v>
      </c>
      <c r="G221" s="3"/>
      <c r="H221" s="6">
        <v>548.02</v>
      </c>
      <c r="I221" s="3"/>
      <c r="J221" s="7">
        <f t="shared" si="45"/>
        <v>2.0716098387745323E-3</v>
      </c>
      <c r="K221" s="3"/>
      <c r="L221" s="6">
        <f t="shared" si="46"/>
        <v>193.98000000000002</v>
      </c>
      <c r="M221" s="3"/>
      <c r="N221" s="7">
        <f t="shared" si="47"/>
        <v>0.35396518375241787</v>
      </c>
      <c r="O221" s="9"/>
      <c r="P221" s="6">
        <v>11554.44</v>
      </c>
      <c r="Q221" s="3"/>
      <c r="R221" s="7">
        <f t="shared" si="48"/>
        <v>1.3880463851867928E-3</v>
      </c>
      <c r="S221" s="3"/>
      <c r="T221" s="6">
        <v>7230.6</v>
      </c>
      <c r="U221" s="3"/>
      <c r="V221" s="7">
        <f t="shared" si="49"/>
        <v>1.3202194118992381E-3</v>
      </c>
      <c r="W221" s="3"/>
      <c r="X221" s="6">
        <f t="shared" si="50"/>
        <v>4323.84</v>
      </c>
      <c r="Y221" s="3"/>
      <c r="Z221" s="7">
        <f t="shared" si="51"/>
        <v>0.59799186789478054</v>
      </c>
    </row>
    <row r="222" spans="1:26" s="69" customFormat="1" ht="15" hidden="1" customHeight="1" outlineLevel="2" x14ac:dyDescent="0.3">
      <c r="A222" s="21"/>
      <c r="B222" s="9" t="str">
        <f>CONCATENATE("          ","6245"," - ","PRINTING")</f>
        <v xml:space="preserve">          6245 - PRINTING</v>
      </c>
      <c r="C222" s="9"/>
      <c r="D222" s="6">
        <v>4642.3999999999996</v>
      </c>
      <c r="E222" s="3"/>
      <c r="F222" s="7">
        <f t="shared" si="44"/>
        <v>1.5123279781490369E-2</v>
      </c>
      <c r="G222" s="3"/>
      <c r="H222" s="6">
        <v>2921.89</v>
      </c>
      <c r="I222" s="3"/>
      <c r="J222" s="7">
        <f t="shared" si="45"/>
        <v>1.1045246654897482E-2</v>
      </c>
      <c r="K222" s="3"/>
      <c r="L222" s="6">
        <f t="shared" si="46"/>
        <v>1720.5099999999998</v>
      </c>
      <c r="M222" s="3"/>
      <c r="N222" s="7">
        <f t="shared" si="47"/>
        <v>0.58883462416449617</v>
      </c>
      <c r="O222" s="9"/>
      <c r="P222" s="6">
        <v>16345.8</v>
      </c>
      <c r="Q222" s="3"/>
      <c r="R222" s="7">
        <f t="shared" si="48"/>
        <v>1.963637234083718E-3</v>
      </c>
      <c r="S222" s="3"/>
      <c r="T222" s="6">
        <v>12006.27</v>
      </c>
      <c r="U222" s="3"/>
      <c r="V222" s="7">
        <f t="shared" si="49"/>
        <v>2.1921985338012703E-3</v>
      </c>
      <c r="W222" s="3"/>
      <c r="X222" s="6">
        <f t="shared" si="50"/>
        <v>4339.5299999999988</v>
      </c>
      <c r="Y222" s="3"/>
      <c r="Z222" s="7">
        <f t="shared" si="51"/>
        <v>0.36143864830625988</v>
      </c>
    </row>
    <row r="223" spans="1:26" s="69" customFormat="1" ht="15" hidden="1" customHeight="1" outlineLevel="2" x14ac:dyDescent="0.3">
      <c r="A223" s="21"/>
      <c r="B223" s="9" t="str">
        <f>CONCATENATE("          ","6247"," - ","STORE SUPPLIES")</f>
        <v xml:space="preserve">          6247 - STORE SUPPLIES</v>
      </c>
      <c r="C223" s="9"/>
      <c r="D223" s="6">
        <v>24605.86</v>
      </c>
      <c r="E223" s="3"/>
      <c r="F223" s="7">
        <f t="shared" si="44"/>
        <v>8.0157096554407781E-2</v>
      </c>
      <c r="G223" s="3"/>
      <c r="H223" s="6">
        <v>6700.08</v>
      </c>
      <c r="I223" s="3"/>
      <c r="J223" s="7">
        <f t="shared" si="45"/>
        <v>2.5327454561104464E-2</v>
      </c>
      <c r="K223" s="3"/>
      <c r="L223" s="6">
        <f t="shared" si="46"/>
        <v>17905.78</v>
      </c>
      <c r="M223" s="3"/>
      <c r="N223" s="7">
        <f t="shared" si="47"/>
        <v>2.6724725674917313</v>
      </c>
      <c r="O223" s="9"/>
      <c r="P223" s="6">
        <v>83607.289999999994</v>
      </c>
      <c r="Q223" s="3"/>
      <c r="R223" s="7">
        <f t="shared" si="48"/>
        <v>1.0043827018857155E-2</v>
      </c>
      <c r="S223" s="3"/>
      <c r="T223" s="6">
        <v>54069.23</v>
      </c>
      <c r="U223" s="3"/>
      <c r="V223" s="7">
        <f t="shared" si="49"/>
        <v>9.8723822410926674E-3</v>
      </c>
      <c r="W223" s="3"/>
      <c r="X223" s="6">
        <f t="shared" si="50"/>
        <v>29538.05999999999</v>
      </c>
      <c r="Y223" s="3"/>
      <c r="Z223" s="7">
        <f t="shared" si="51"/>
        <v>0.54630073333761164</v>
      </c>
    </row>
    <row r="224" spans="1:26" s="68" customFormat="1" ht="15" customHeight="1" outlineLevel="1" collapsed="1" x14ac:dyDescent="0.3">
      <c r="A224" s="20"/>
      <c r="B224" s="11" t="str">
        <f>CONCATENATE("     ","Telephone/Data Lines                              ")</f>
        <v xml:space="preserve">     Telephone/Data Lines                              </v>
      </c>
      <c r="C224" s="11"/>
      <c r="D224" s="2">
        <f>SUM(OSRRefD22_22x_0)</f>
        <v>1380.53</v>
      </c>
      <c r="E224" s="2"/>
      <c r="F224" s="5">
        <f t="shared" si="44"/>
        <v>4.4972732717432577E-3</v>
      </c>
      <c r="G224" s="2"/>
      <c r="H224" s="2">
        <f>SUM(OSRRefH22_22x_0)</f>
        <v>2677.87</v>
      </c>
      <c r="I224" s="2"/>
      <c r="J224" s="5">
        <f t="shared" si="45"/>
        <v>1.0122809092659312E-2</v>
      </c>
      <c r="K224" s="2"/>
      <c r="L224" s="2">
        <f t="shared" si="46"/>
        <v>-1297.3399999999999</v>
      </c>
      <c r="M224" s="2"/>
      <c r="N224" s="5">
        <f t="shared" si="47"/>
        <v>-0.48446713245975342</v>
      </c>
      <c r="O224" s="11"/>
      <c r="P224" s="2">
        <f>SUM(OSRRefP22_22x_0)</f>
        <v>23432.58</v>
      </c>
      <c r="Q224" s="2"/>
      <c r="R224" s="5">
        <f t="shared" si="48"/>
        <v>2.8149791737721894E-3</v>
      </c>
      <c r="S224" s="2"/>
      <c r="T224" s="2">
        <f>SUM(OSRRefT22_22x_0)</f>
        <v>29915.74</v>
      </c>
      <c r="U224" s="2"/>
      <c r="V224" s="5">
        <f t="shared" si="49"/>
        <v>5.4622494218087734E-3</v>
      </c>
      <c r="W224" s="2"/>
      <c r="X224" s="2">
        <f t="shared" si="50"/>
        <v>-6483.16</v>
      </c>
      <c r="Y224" s="2"/>
      <c r="Z224" s="5">
        <f t="shared" si="51"/>
        <v>-0.21671401075153079</v>
      </c>
    </row>
    <row r="225" spans="1:26" s="69" customFormat="1" ht="15" hidden="1" customHeight="1" outlineLevel="2" x14ac:dyDescent="0.3">
      <c r="A225" s="21"/>
      <c r="B225" s="9" t="str">
        <f>CONCATENATE("          ","6303"," - ","DATA PHONE LINES")</f>
        <v xml:space="preserve">          6303 - DATA PHONE LINES</v>
      </c>
      <c r="C225" s="9"/>
      <c r="D225" s="6"/>
      <c r="E225" s="3"/>
      <c r="F225" s="7">
        <f t="shared" si="44"/>
        <v>0</v>
      </c>
      <c r="G225" s="3"/>
      <c r="H225" s="6"/>
      <c r="I225" s="3"/>
      <c r="J225" s="7">
        <f t="shared" si="45"/>
        <v>0</v>
      </c>
      <c r="K225" s="3"/>
      <c r="L225" s="6">
        <f t="shared" si="46"/>
        <v>0</v>
      </c>
      <c r="M225" s="3"/>
      <c r="N225" s="7">
        <f t="shared" si="47"/>
        <v>0</v>
      </c>
      <c r="O225" s="9"/>
      <c r="P225" s="6">
        <v>295</v>
      </c>
      <c r="Q225" s="3"/>
      <c r="R225" s="7">
        <f t="shared" si="48"/>
        <v>3.5438643813988722E-5</v>
      </c>
      <c r="S225" s="3"/>
      <c r="T225" s="6">
        <v>3540</v>
      </c>
      <c r="U225" s="3"/>
      <c r="V225" s="7">
        <f t="shared" si="49"/>
        <v>6.4636084393042111E-4</v>
      </c>
      <c r="W225" s="3"/>
      <c r="X225" s="6">
        <f t="shared" si="50"/>
        <v>-3245</v>
      </c>
      <c r="Y225" s="3"/>
      <c r="Z225" s="7">
        <f t="shared" si="51"/>
        <v>-0.91666666666666663</v>
      </c>
    </row>
    <row r="226" spans="1:26" s="69" customFormat="1" ht="15" hidden="1" customHeight="1" outlineLevel="2" x14ac:dyDescent="0.3">
      <c r="A226" s="21"/>
      <c r="B226" s="9" t="str">
        <f>CONCATENATE("          ","6309"," - ","TELEPHONE")</f>
        <v xml:space="preserve">          6309 - TELEPHONE</v>
      </c>
      <c r="C226" s="9"/>
      <c r="D226" s="6">
        <v>1380.53</v>
      </c>
      <c r="E226" s="3"/>
      <c r="F226" s="7">
        <f t="shared" si="44"/>
        <v>4.4972732717432577E-3</v>
      </c>
      <c r="G226" s="3"/>
      <c r="H226" s="6">
        <v>2677.87</v>
      </c>
      <c r="I226" s="3"/>
      <c r="J226" s="7">
        <f t="shared" si="45"/>
        <v>1.0122809092659312E-2</v>
      </c>
      <c r="K226" s="3"/>
      <c r="L226" s="6">
        <f t="shared" si="46"/>
        <v>-1297.3399999999999</v>
      </c>
      <c r="M226" s="3"/>
      <c r="N226" s="7">
        <f t="shared" si="47"/>
        <v>-0.48446713245975342</v>
      </c>
      <c r="O226" s="9"/>
      <c r="P226" s="6">
        <v>23137.58</v>
      </c>
      <c r="Q226" s="3"/>
      <c r="R226" s="7">
        <f t="shared" si="48"/>
        <v>2.7795405299582006E-3</v>
      </c>
      <c r="S226" s="3"/>
      <c r="T226" s="6">
        <v>26375.74</v>
      </c>
      <c r="U226" s="3"/>
      <c r="V226" s="7">
        <f t="shared" si="49"/>
        <v>4.8158885778783519E-3</v>
      </c>
      <c r="W226" s="3"/>
      <c r="X226" s="6">
        <f t="shared" si="50"/>
        <v>-3238.16</v>
      </c>
      <c r="Y226" s="3"/>
      <c r="Z226" s="7">
        <f t="shared" si="51"/>
        <v>-0.12277039430931605</v>
      </c>
    </row>
    <row r="227" spans="1:26" s="68" customFormat="1" ht="15" customHeight="1" outlineLevel="1" collapsed="1" x14ac:dyDescent="0.3">
      <c r="A227" s="20"/>
      <c r="B227" s="11" t="str">
        <f>CONCATENATE("     ","Training                                          ")</f>
        <v xml:space="preserve">     Training                                          </v>
      </c>
      <c r="C227" s="11"/>
      <c r="D227" s="2">
        <f>SUM(OSRRefD22_23x_0)</f>
        <v>0</v>
      </c>
      <c r="E227" s="2"/>
      <c r="F227" s="5">
        <f t="shared" si="44"/>
        <v>0</v>
      </c>
      <c r="G227" s="2"/>
      <c r="H227" s="2">
        <f>SUM(OSRRefH22_23x_0)</f>
        <v>0</v>
      </c>
      <c r="I227" s="2"/>
      <c r="J227" s="5">
        <f t="shared" si="45"/>
        <v>0</v>
      </c>
      <c r="K227" s="2"/>
      <c r="L227" s="2">
        <f t="shared" si="46"/>
        <v>0</v>
      </c>
      <c r="M227" s="2"/>
      <c r="N227" s="5">
        <f t="shared" si="47"/>
        <v>0</v>
      </c>
      <c r="O227" s="11"/>
      <c r="P227" s="2">
        <f>SUM(OSRRefP22_23x_0)</f>
        <v>7239</v>
      </c>
      <c r="Q227" s="2"/>
      <c r="R227" s="5">
        <f t="shared" si="48"/>
        <v>8.6962827989648934E-4</v>
      </c>
      <c r="S227" s="2"/>
      <c r="T227" s="2">
        <f>SUM(OSRRefT22_23x_0)</f>
        <v>895.63</v>
      </c>
      <c r="U227" s="2"/>
      <c r="V227" s="5">
        <f t="shared" si="49"/>
        <v>1.6353111939248675E-4</v>
      </c>
      <c r="W227" s="2"/>
      <c r="X227" s="2">
        <f t="shared" si="50"/>
        <v>6343.37</v>
      </c>
      <c r="Y227" s="2"/>
      <c r="Z227" s="5">
        <f t="shared" si="51"/>
        <v>7.0825787434543281</v>
      </c>
    </row>
    <row r="228" spans="1:26" s="69" customFormat="1" ht="15" hidden="1" customHeight="1" outlineLevel="2" x14ac:dyDescent="0.3">
      <c r="A228" s="21"/>
      <c r="B228" s="9" t="str">
        <f>CONCATENATE("          ","6376"," - ","TRAINING")</f>
        <v xml:space="preserve">          6376 - TRAINING</v>
      </c>
      <c r="C228" s="9"/>
      <c r="D228" s="6"/>
      <c r="E228" s="3"/>
      <c r="F228" s="7">
        <f t="shared" si="44"/>
        <v>0</v>
      </c>
      <c r="G228" s="3"/>
      <c r="H228" s="6"/>
      <c r="I228" s="3"/>
      <c r="J228" s="7">
        <f t="shared" si="45"/>
        <v>0</v>
      </c>
      <c r="K228" s="3"/>
      <c r="L228" s="6">
        <f t="shared" si="46"/>
        <v>0</v>
      </c>
      <c r="M228" s="3"/>
      <c r="N228" s="7">
        <f t="shared" si="47"/>
        <v>0</v>
      </c>
      <c r="O228" s="9"/>
      <c r="P228" s="6">
        <v>7239</v>
      </c>
      <c r="Q228" s="3"/>
      <c r="R228" s="7">
        <f t="shared" si="48"/>
        <v>8.6962827989648934E-4</v>
      </c>
      <c r="S228" s="3"/>
      <c r="T228" s="6">
        <v>895.63</v>
      </c>
      <c r="U228" s="3"/>
      <c r="V228" s="7">
        <f t="shared" si="49"/>
        <v>1.6353111939248675E-4</v>
      </c>
      <c r="W228" s="3"/>
      <c r="X228" s="6">
        <f t="shared" si="50"/>
        <v>6343.37</v>
      </c>
      <c r="Y228" s="3"/>
      <c r="Z228" s="7">
        <f t="shared" si="51"/>
        <v>7.0825787434543281</v>
      </c>
    </row>
    <row r="229" spans="1:26" s="68" customFormat="1" ht="15" customHeight="1" outlineLevel="1" collapsed="1" x14ac:dyDescent="0.3">
      <c r="A229" s="20"/>
      <c r="B229" s="11" t="str">
        <f>CONCATENATE("     ","Travel                                            ")</f>
        <v xml:space="preserve">     Travel                                            </v>
      </c>
      <c r="C229" s="11"/>
      <c r="D229" s="2">
        <f>SUM(OSRRefD22_24x_0)</f>
        <v>1117.6500000000001</v>
      </c>
      <c r="E229" s="2"/>
      <c r="F229" s="5">
        <f t="shared" si="44"/>
        <v>3.6409041977819045E-3</v>
      </c>
      <c r="G229" s="2"/>
      <c r="H229" s="2">
        <f>SUM(OSRRefH22_24x_0)</f>
        <v>67.62</v>
      </c>
      <c r="I229" s="2"/>
      <c r="J229" s="5">
        <f t="shared" si="45"/>
        <v>2.5561522809009504E-4</v>
      </c>
      <c r="K229" s="2"/>
      <c r="L229" s="2">
        <f t="shared" si="46"/>
        <v>1050.0300000000002</v>
      </c>
      <c r="M229" s="2"/>
      <c r="N229" s="5">
        <f t="shared" si="47"/>
        <v>15.528393966282167</v>
      </c>
      <c r="O229" s="11"/>
      <c r="P229" s="2">
        <f>SUM(OSRRefP22_24x_0)</f>
        <v>2722.9</v>
      </c>
      <c r="Q229" s="2"/>
      <c r="R229" s="5">
        <f t="shared" si="48"/>
        <v>3.2710468895291489E-4</v>
      </c>
      <c r="S229" s="2"/>
      <c r="T229" s="2">
        <f>SUM(OSRRefT22_24x_0)</f>
        <v>1040.0200000000002</v>
      </c>
      <c r="U229" s="2"/>
      <c r="V229" s="5">
        <f t="shared" si="49"/>
        <v>1.8989497313686912E-4</v>
      </c>
      <c r="W229" s="2"/>
      <c r="X229" s="2">
        <f t="shared" si="50"/>
        <v>1682.8799999999999</v>
      </c>
      <c r="Y229" s="2"/>
      <c r="Z229" s="5">
        <f t="shared" si="51"/>
        <v>1.6181227284090687</v>
      </c>
    </row>
    <row r="230" spans="1:26" s="69" customFormat="1" ht="15" hidden="1" customHeight="1" outlineLevel="2" x14ac:dyDescent="0.3">
      <c r="A230" s="21"/>
      <c r="B230" s="9" t="str">
        <f>CONCATENATE("          ","6292"," - ","TRAVEL/CONFERENCE")</f>
        <v xml:space="preserve">          6292 - TRAVEL/CONFERENCE</v>
      </c>
      <c r="C230" s="9"/>
      <c r="D230" s="6"/>
      <c r="E230" s="3"/>
      <c r="F230" s="7">
        <f t="shared" si="44"/>
        <v>0</v>
      </c>
      <c r="G230" s="3"/>
      <c r="H230" s="6"/>
      <c r="I230" s="3"/>
      <c r="J230" s="7">
        <f t="shared" si="45"/>
        <v>0</v>
      </c>
      <c r="K230" s="3"/>
      <c r="L230" s="6">
        <f t="shared" si="46"/>
        <v>0</v>
      </c>
      <c r="M230" s="3"/>
      <c r="N230" s="7">
        <f t="shared" si="47"/>
        <v>0</v>
      </c>
      <c r="O230" s="9"/>
      <c r="P230" s="6">
        <v>495</v>
      </c>
      <c r="Q230" s="3"/>
      <c r="R230" s="7">
        <f t="shared" si="48"/>
        <v>5.9464843009913278E-5</v>
      </c>
      <c r="S230" s="3"/>
      <c r="T230" s="6">
        <v>299.16000000000003</v>
      </c>
      <c r="U230" s="3"/>
      <c r="V230" s="7">
        <f t="shared" si="49"/>
        <v>5.4622968946391187E-5</v>
      </c>
      <c r="W230" s="3"/>
      <c r="X230" s="6">
        <f t="shared" si="50"/>
        <v>195.83999999999997</v>
      </c>
      <c r="Y230" s="3"/>
      <c r="Z230" s="7">
        <f t="shared" si="51"/>
        <v>0.65463297232250284</v>
      </c>
    </row>
    <row r="231" spans="1:26" s="69" customFormat="1" ht="15" hidden="1" customHeight="1" outlineLevel="2" x14ac:dyDescent="0.3">
      <c r="A231" s="21"/>
      <c r="B231" s="9" t="str">
        <f>CONCATENATE("          ","6294"," - ","TRAVEL OPERATIONAL")</f>
        <v xml:space="preserve">          6294 - TRAVEL OPERATIONAL</v>
      </c>
      <c r="C231" s="9"/>
      <c r="D231" s="6">
        <v>1017.65</v>
      </c>
      <c r="E231" s="3"/>
      <c r="F231" s="7">
        <f t="shared" si="44"/>
        <v>3.3151399426231422E-3</v>
      </c>
      <c r="G231" s="3"/>
      <c r="H231" s="6">
        <v>67.62</v>
      </c>
      <c r="I231" s="3"/>
      <c r="J231" s="7">
        <f t="shared" si="45"/>
        <v>2.5561522809009504E-4</v>
      </c>
      <c r="K231" s="3"/>
      <c r="L231" s="6">
        <f t="shared" si="46"/>
        <v>950.03</v>
      </c>
      <c r="M231" s="3"/>
      <c r="N231" s="7">
        <f t="shared" si="47"/>
        <v>14.049541555752734</v>
      </c>
      <c r="O231" s="9"/>
      <c r="P231" s="6">
        <v>1628.52</v>
      </c>
      <c r="Q231" s="3"/>
      <c r="R231" s="7">
        <f t="shared" si="48"/>
        <v>1.9563572957273531E-4</v>
      </c>
      <c r="S231" s="3"/>
      <c r="T231" s="6">
        <v>680.97</v>
      </c>
      <c r="U231" s="3"/>
      <c r="V231" s="7">
        <f t="shared" si="49"/>
        <v>1.2433682030827653E-4</v>
      </c>
      <c r="W231" s="3"/>
      <c r="X231" s="6">
        <f t="shared" si="50"/>
        <v>947.55</v>
      </c>
      <c r="Y231" s="3"/>
      <c r="Z231" s="7">
        <f t="shared" si="51"/>
        <v>1.3914709899114497</v>
      </c>
    </row>
    <row r="232" spans="1:26" s="69" customFormat="1" ht="15" hidden="1" customHeight="1" outlineLevel="2" x14ac:dyDescent="0.3">
      <c r="A232" s="21"/>
      <c r="B232" s="9" t="str">
        <f>CONCATENATE("          ","6298"," - ","VEHICLE MILEAGE")</f>
        <v xml:space="preserve">          6298 - VEHICLE MILEAGE</v>
      </c>
      <c r="C232" s="9"/>
      <c r="D232" s="6">
        <v>100</v>
      </c>
      <c r="E232" s="3"/>
      <c r="F232" s="7">
        <f t="shared" si="44"/>
        <v>3.257642551587621E-4</v>
      </c>
      <c r="G232" s="3"/>
      <c r="H232" s="6"/>
      <c r="I232" s="3"/>
      <c r="J232" s="7">
        <f t="shared" si="45"/>
        <v>0</v>
      </c>
      <c r="K232" s="3"/>
      <c r="L232" s="6">
        <f t="shared" si="46"/>
        <v>100</v>
      </c>
      <c r="M232" s="3"/>
      <c r="N232" s="7">
        <f t="shared" si="47"/>
        <v>0</v>
      </c>
      <c r="O232" s="9"/>
      <c r="P232" s="6">
        <v>599.38</v>
      </c>
      <c r="Q232" s="3"/>
      <c r="R232" s="7">
        <f t="shared" si="48"/>
        <v>7.2004116370266312E-5</v>
      </c>
      <c r="S232" s="3"/>
      <c r="T232" s="6">
        <v>59.89</v>
      </c>
      <c r="U232" s="3"/>
      <c r="V232" s="7">
        <f t="shared" si="49"/>
        <v>1.0935183882201389E-5</v>
      </c>
      <c r="W232" s="3"/>
      <c r="X232" s="6">
        <f t="shared" si="50"/>
        <v>539.49</v>
      </c>
      <c r="Y232" s="3"/>
      <c r="Z232" s="7">
        <f t="shared" si="51"/>
        <v>9.0080146936049417</v>
      </c>
    </row>
    <row r="233" spans="1:26" s="68" customFormat="1" ht="15" customHeight="1" outlineLevel="1" collapsed="1" x14ac:dyDescent="0.3">
      <c r="A233" s="20"/>
      <c r="B233" s="11" t="str">
        <f>CONCATENATE("     ","Utilities                                         ")</f>
        <v xml:space="preserve">     Utilities                                         </v>
      </c>
      <c r="C233" s="11"/>
      <c r="D233" s="2">
        <f>SUM(OSRRefD22_25x_0)</f>
        <v>6671.98</v>
      </c>
      <c r="E233" s="2"/>
      <c r="F233" s="5">
        <f t="shared" si="44"/>
        <v>2.1734925951341574E-2</v>
      </c>
      <c r="G233" s="2"/>
      <c r="H233" s="2">
        <f>SUM(OSRRefH22_25x_0)</f>
        <v>4697.9399999999996</v>
      </c>
      <c r="I233" s="2"/>
      <c r="J233" s="5">
        <f t="shared" si="45"/>
        <v>1.7759021068523822E-2</v>
      </c>
      <c r="K233" s="2"/>
      <c r="L233" s="2">
        <f t="shared" si="46"/>
        <v>1974.04</v>
      </c>
      <c r="M233" s="2"/>
      <c r="N233" s="5">
        <f t="shared" si="47"/>
        <v>0.42019268019600081</v>
      </c>
      <c r="O233" s="11"/>
      <c r="P233" s="2">
        <f>SUM(OSRRefP22_25x_0)</f>
        <v>92917.85</v>
      </c>
      <c r="Q233" s="2"/>
      <c r="R233" s="5">
        <f t="shared" si="48"/>
        <v>1.1162313864785193E-2</v>
      </c>
      <c r="S233" s="2"/>
      <c r="T233" s="2">
        <f>SUM(OSRRefT22_25x_0)</f>
        <v>76460.39</v>
      </c>
      <c r="U233" s="2"/>
      <c r="V233" s="5">
        <f t="shared" si="49"/>
        <v>1.3960735086906534E-2</v>
      </c>
      <c r="W233" s="2"/>
      <c r="X233" s="2">
        <f t="shared" si="50"/>
        <v>16457.460000000006</v>
      </c>
      <c r="Y233" s="2"/>
      <c r="Z233" s="5">
        <f t="shared" si="51"/>
        <v>0.21524164341824578</v>
      </c>
    </row>
    <row r="234" spans="1:26" s="69" customFormat="1" ht="15" hidden="1" customHeight="1" outlineLevel="2" x14ac:dyDescent="0.3">
      <c r="A234" s="21"/>
      <c r="B234" s="9" t="str">
        <f>CONCATENATE("          ","6274"," - ","UTILITIES")</f>
        <v xml:space="preserve">          6274 - UTILITIES</v>
      </c>
      <c r="C234" s="9"/>
      <c r="D234" s="6">
        <v>6671.98</v>
      </c>
      <c r="E234" s="3"/>
      <c r="F234" s="7">
        <f t="shared" si="44"/>
        <v>2.1734925951341574E-2</v>
      </c>
      <c r="G234" s="3"/>
      <c r="H234" s="6">
        <v>4697.9399999999996</v>
      </c>
      <c r="I234" s="3"/>
      <c r="J234" s="7">
        <f t="shared" si="45"/>
        <v>1.7759021068523822E-2</v>
      </c>
      <c r="K234" s="3"/>
      <c r="L234" s="6">
        <f t="shared" si="46"/>
        <v>1974.04</v>
      </c>
      <c r="M234" s="3"/>
      <c r="N234" s="7">
        <f t="shared" si="47"/>
        <v>0.42019268019600081</v>
      </c>
      <c r="O234" s="9"/>
      <c r="P234" s="6">
        <v>92917.85</v>
      </c>
      <c r="Q234" s="3"/>
      <c r="R234" s="7">
        <f t="shared" si="48"/>
        <v>1.1162313864785193E-2</v>
      </c>
      <c r="S234" s="3"/>
      <c r="T234" s="6">
        <v>76460.39</v>
      </c>
      <c r="U234" s="3"/>
      <c r="V234" s="7">
        <f t="shared" si="49"/>
        <v>1.3960735086906534E-2</v>
      </c>
      <c r="W234" s="3"/>
      <c r="X234" s="6">
        <f t="shared" si="50"/>
        <v>16457.460000000006</v>
      </c>
      <c r="Y234" s="3"/>
      <c r="Z234" s="7">
        <f t="shared" si="51"/>
        <v>0.21524164341824578</v>
      </c>
    </row>
    <row r="235" spans="1:26" s="64" customFormat="1" ht="15" customHeight="1" x14ac:dyDescent="0.3">
      <c r="A235" s="37"/>
      <c r="B235" s="37"/>
      <c r="C235" s="37"/>
      <c r="D235" s="2"/>
      <c r="E235" s="2"/>
      <c r="F235" s="5"/>
      <c r="G235" s="2"/>
      <c r="H235" s="2"/>
      <c r="I235" s="2"/>
      <c r="J235" s="5"/>
      <c r="K235" s="2"/>
      <c r="L235" s="2"/>
      <c r="M235" s="2"/>
      <c r="N235" s="5"/>
      <c r="O235" s="37"/>
      <c r="P235" s="2"/>
      <c r="Q235" s="2"/>
      <c r="R235" s="5"/>
      <c r="S235" s="2"/>
      <c r="T235" s="2"/>
      <c r="U235" s="2"/>
      <c r="V235" s="5"/>
      <c r="W235" s="2"/>
      <c r="X235" s="2"/>
      <c r="Y235" s="2"/>
      <c r="Z235" s="5"/>
    </row>
    <row r="236" spans="1:26" s="62" customFormat="1" ht="15" customHeight="1" collapsed="1" x14ac:dyDescent="0.3">
      <c r="A236" s="13"/>
      <c r="B236" s="27" t="s">
        <v>290</v>
      </c>
      <c r="C236" s="13"/>
      <c r="D236" s="8">
        <f>SUM(OSRRefD25x_0)</f>
        <v>29180.559999999998</v>
      </c>
      <c r="E236" s="8"/>
      <c r="F236" s="14">
        <f t="shared" ref="F236:F241" si="52">IF(D$12=0,0,D236/D$12)</f>
        <v>9.5059833935155658E-2</v>
      </c>
      <c r="G236" s="8"/>
      <c r="H236" s="8">
        <f>SUM(OSRRefH25x_0)</f>
        <v>401496.27999999997</v>
      </c>
      <c r="I236" s="8"/>
      <c r="J236" s="14">
        <f t="shared" ref="J236:J241" si="53">IF(H$12=0,0,H236/H$12)</f>
        <v>1.5177249806200037</v>
      </c>
      <c r="K236" s="8"/>
      <c r="L236" s="8">
        <f t="shared" ref="L236:L241" si="54">+D236-H236</f>
        <v>-372315.72</v>
      </c>
      <c r="M236" s="8"/>
      <c r="N236" s="14">
        <f t="shared" ref="N236:N241" si="55">IF(H236=0,0,L236/H236)</f>
        <v>-0.92732047230923287</v>
      </c>
      <c r="O236" s="13"/>
      <c r="P236" s="8">
        <f>SUM(OSRRefP25x_0)</f>
        <v>1435481.17</v>
      </c>
      <c r="Q236" s="8"/>
      <c r="R236" s="14">
        <f t="shared" ref="R236:R241" si="56">IF(P$12=0,0,P236/P$12)</f>
        <v>0.1724457826620942</v>
      </c>
      <c r="S236" s="8"/>
      <c r="T236" s="8">
        <f>SUM(OSRRefT25x_0)</f>
        <v>1454588.11</v>
      </c>
      <c r="U236" s="8"/>
      <c r="V236" s="14">
        <f t="shared" ref="V236:V241" si="57">IF(T$12=0,0,T236/T$12)</f>
        <v>0.2655900560312871</v>
      </c>
      <c r="W236" s="8"/>
      <c r="X236" s="8">
        <f t="shared" ref="X236:X241" si="58">+P236-T236</f>
        <v>-19106.940000000177</v>
      </c>
      <c r="Y236" s="8"/>
      <c r="Z236" s="14">
        <f t="shared" ref="Z236:Z241" si="59">IF(T236=0,0,X236/T236)</f>
        <v>-1.3135636039263496E-2</v>
      </c>
    </row>
    <row r="237" spans="1:26" s="69" customFormat="1" ht="15" hidden="1" customHeight="1" outlineLevel="1" x14ac:dyDescent="0.3">
      <c r="A237" s="47"/>
      <c r="B237" s="9" t="str">
        <f>CONCATENATE("          ","4098"," - ","TAXABLE SALES-GRAD RENTALS")</f>
        <v xml:space="preserve">          4098 - TAXABLE SALES-GRAD RENTALS</v>
      </c>
      <c r="C237" s="9"/>
      <c r="D237" s="3">
        <f>0</f>
        <v>0</v>
      </c>
      <c r="E237" s="3"/>
      <c r="F237" s="26">
        <f t="shared" si="52"/>
        <v>0</v>
      </c>
      <c r="G237" s="3"/>
      <c r="H237" s="3">
        <f>--1017.7</f>
        <v>1017.7</v>
      </c>
      <c r="I237" s="3"/>
      <c r="J237" s="26">
        <f t="shared" si="53"/>
        <v>3.8470810060232141E-3</v>
      </c>
      <c r="K237" s="3"/>
      <c r="L237" s="3">
        <f t="shared" si="54"/>
        <v>-1017.7</v>
      </c>
      <c r="M237" s="3"/>
      <c r="N237" s="26">
        <f t="shared" si="55"/>
        <v>-1</v>
      </c>
      <c r="O237" s="9"/>
      <c r="P237" s="3">
        <f>0</f>
        <v>0</v>
      </c>
      <c r="Q237" s="3"/>
      <c r="R237" s="26">
        <f t="shared" si="56"/>
        <v>0</v>
      </c>
      <c r="S237" s="3"/>
      <c r="T237" s="3">
        <f>--1067.65</f>
        <v>1067.6500000000001</v>
      </c>
      <c r="U237" s="3"/>
      <c r="V237" s="26">
        <f t="shared" si="57"/>
        <v>1.9493987430008875E-4</v>
      </c>
      <c r="W237" s="3"/>
      <c r="X237" s="3">
        <f t="shared" si="58"/>
        <v>-1067.6500000000001</v>
      </c>
      <c r="Y237" s="3"/>
      <c r="Z237" s="26">
        <f t="shared" si="59"/>
        <v>-1</v>
      </c>
    </row>
    <row r="238" spans="1:26" s="69" customFormat="1" ht="15" hidden="1" customHeight="1" outlineLevel="1" x14ac:dyDescent="0.3">
      <c r="A238" s="47"/>
      <c r="B238" s="9" t="str">
        <f>CONCATENATE("          ","9150"," - ","MISC. INCOME")</f>
        <v xml:space="preserve">          9150 - MISC. INCOME</v>
      </c>
      <c r="C238" s="9"/>
      <c r="D238" s="3">
        <f>--6862.48</f>
        <v>6862.48</v>
      </c>
      <c r="E238" s="3"/>
      <c r="F238" s="26">
        <f t="shared" si="52"/>
        <v>2.2355506857419015E-2</v>
      </c>
      <c r="G238" s="3"/>
      <c r="H238" s="3">
        <f>--19962.55</f>
        <v>19962.55</v>
      </c>
      <c r="I238" s="3"/>
      <c r="J238" s="26">
        <f t="shared" si="53"/>
        <v>7.5461871805825587E-2</v>
      </c>
      <c r="K238" s="3"/>
      <c r="L238" s="3">
        <f t="shared" si="54"/>
        <v>-13100.07</v>
      </c>
      <c r="M238" s="3"/>
      <c r="N238" s="26">
        <f t="shared" si="55"/>
        <v>-0.65623229497233571</v>
      </c>
      <c r="O238" s="9"/>
      <c r="P238" s="3">
        <f>--442058.54</f>
        <v>442058.54</v>
      </c>
      <c r="Q238" s="3"/>
      <c r="R238" s="26">
        <f t="shared" si="56"/>
        <v>5.3104932691497915E-2</v>
      </c>
      <c r="S238" s="3"/>
      <c r="T238" s="3">
        <f>--423382.84</f>
        <v>423382.84</v>
      </c>
      <c r="U238" s="3"/>
      <c r="V238" s="26">
        <f t="shared" si="57"/>
        <v>7.7304545132219904E-2</v>
      </c>
      <c r="W238" s="3"/>
      <c r="X238" s="3">
        <f t="shared" si="58"/>
        <v>18675.699999999953</v>
      </c>
      <c r="Y238" s="3"/>
      <c r="Z238" s="26">
        <f t="shared" si="59"/>
        <v>4.4110668254764299E-2</v>
      </c>
    </row>
    <row r="239" spans="1:26" s="69" customFormat="1" ht="15" hidden="1" customHeight="1" outlineLevel="1" x14ac:dyDescent="0.3">
      <c r="A239" s="47"/>
      <c r="B239" s="9" t="str">
        <f>CONCATENATE("          ","9151"," - ","MISC. INCOME")</f>
        <v xml:space="preserve">          9151 - MISC. INCOME</v>
      </c>
      <c r="C239" s="9"/>
      <c r="D239" s="3">
        <f>--4094.51</f>
        <v>4094.51</v>
      </c>
      <c r="E239" s="3"/>
      <c r="F239" s="26">
        <f t="shared" si="52"/>
        <v>1.333845000390103E-2</v>
      </c>
      <c r="G239" s="3"/>
      <c r="H239" s="3">
        <f>0</f>
        <v>0</v>
      </c>
      <c r="I239" s="3"/>
      <c r="J239" s="26">
        <f t="shared" si="53"/>
        <v>0</v>
      </c>
      <c r="K239" s="3"/>
      <c r="L239" s="3">
        <f t="shared" si="54"/>
        <v>4094.51</v>
      </c>
      <c r="M239" s="3"/>
      <c r="N239" s="26">
        <f t="shared" si="55"/>
        <v>0</v>
      </c>
      <c r="O239" s="9"/>
      <c r="P239" s="3">
        <f>--328482.25</f>
        <v>328482.25</v>
      </c>
      <c r="Q239" s="3"/>
      <c r="R239" s="26">
        <f t="shared" si="56"/>
        <v>3.946089985412745E-2</v>
      </c>
      <c r="S239" s="3"/>
      <c r="T239" s="3">
        <f>--295628.46</f>
        <v>295628.46000000002</v>
      </c>
      <c r="U239" s="3"/>
      <c r="V239" s="26">
        <f t="shared" si="57"/>
        <v>5.3978152795325071E-2</v>
      </c>
      <c r="W239" s="3"/>
      <c r="X239" s="3">
        <f t="shared" si="58"/>
        <v>32853.789999999979</v>
      </c>
      <c r="Y239" s="3"/>
      <c r="Z239" s="26">
        <f t="shared" si="59"/>
        <v>0.1111320270044365</v>
      </c>
    </row>
    <row r="240" spans="1:26" s="69" customFormat="1" ht="15" hidden="1" customHeight="1" outlineLevel="1" x14ac:dyDescent="0.3">
      <c r="A240" s="47"/>
      <c r="B240" s="9" t="str">
        <f>CONCATENATE("          ","9152"," - ","MISC. INCOME")</f>
        <v xml:space="preserve">          9152 - MISC. INCOME</v>
      </c>
      <c r="C240" s="9"/>
      <c r="D240" s="3">
        <f>--221.07</f>
        <v>221.07</v>
      </c>
      <c r="E240" s="3"/>
      <c r="F240" s="26">
        <f t="shared" si="52"/>
        <v>7.2016703887947534E-4</v>
      </c>
      <c r="G240" s="3"/>
      <c r="H240" s="3">
        <f>--1755.54</f>
        <v>1755.54</v>
      </c>
      <c r="I240" s="3"/>
      <c r="J240" s="26">
        <f t="shared" si="53"/>
        <v>6.6362430866797606E-3</v>
      </c>
      <c r="K240" s="3"/>
      <c r="L240" s="3">
        <f t="shared" si="54"/>
        <v>-1534.47</v>
      </c>
      <c r="M240" s="3"/>
      <c r="N240" s="26">
        <f t="shared" si="55"/>
        <v>-0.87407293482347315</v>
      </c>
      <c r="O240" s="9"/>
      <c r="P240" s="3">
        <f>--5468.18</f>
        <v>5468.18</v>
      </c>
      <c r="Q240" s="3"/>
      <c r="R240" s="26">
        <f t="shared" si="56"/>
        <v>6.5689790959585375E-4</v>
      </c>
      <c r="S240" s="3"/>
      <c r="T240" s="3">
        <f>--7408.11</f>
        <v>7408.11</v>
      </c>
      <c r="U240" s="3"/>
      <c r="V240" s="26">
        <f t="shared" si="57"/>
        <v>1.3526305738783592E-3</v>
      </c>
      <c r="W240" s="3"/>
      <c r="X240" s="3">
        <f t="shared" si="58"/>
        <v>-1939.9299999999994</v>
      </c>
      <c r="Y240" s="3"/>
      <c r="Z240" s="26">
        <f t="shared" si="59"/>
        <v>-0.26186571203721321</v>
      </c>
    </row>
    <row r="241" spans="1:26" s="69" customFormat="1" ht="15" hidden="1" customHeight="1" outlineLevel="1" x14ac:dyDescent="0.3">
      <c r="A241" s="47"/>
      <c r="B241" s="9" t="str">
        <f>CONCATENATE("          ","9163"," - ","MISC. INCOME")</f>
        <v xml:space="preserve">          9163 - MISC. INCOME</v>
      </c>
      <c r="C241" s="9"/>
      <c r="D241" s="3">
        <f>--18002.5</f>
        <v>18002.5</v>
      </c>
      <c r="E241" s="3"/>
      <c r="F241" s="26">
        <f t="shared" si="52"/>
        <v>5.8645710034956139E-2</v>
      </c>
      <c r="G241" s="3"/>
      <c r="H241" s="3">
        <f>--378760.49</f>
        <v>378760.49</v>
      </c>
      <c r="I241" s="3"/>
      <c r="J241" s="26">
        <f t="shared" si="53"/>
        <v>1.4317797847214753</v>
      </c>
      <c r="K241" s="3"/>
      <c r="L241" s="3">
        <f t="shared" si="54"/>
        <v>-360757.99</v>
      </c>
      <c r="M241" s="3"/>
      <c r="N241" s="26">
        <f t="shared" si="55"/>
        <v>-0.95246996327415245</v>
      </c>
      <c r="O241" s="9"/>
      <c r="P241" s="3">
        <f>--659472.2</f>
        <v>659472.19999999995</v>
      </c>
      <c r="Q241" s="3"/>
      <c r="R241" s="26">
        <f t="shared" si="56"/>
        <v>7.9223052206872993E-2</v>
      </c>
      <c r="S241" s="3"/>
      <c r="T241" s="3">
        <f>--727101.05</f>
        <v>727101.05</v>
      </c>
      <c r="U241" s="3"/>
      <c r="V241" s="26">
        <f t="shared" si="57"/>
        <v>0.13275978765556365</v>
      </c>
      <c r="W241" s="3"/>
      <c r="X241" s="3">
        <f t="shared" si="58"/>
        <v>-67628.850000000093</v>
      </c>
      <c r="Y241" s="3"/>
      <c r="Z241" s="26">
        <f t="shared" si="59"/>
        <v>-9.3011624725339193E-2</v>
      </c>
    </row>
    <row r="242" spans="1:26" ht="15" customHeight="1" x14ac:dyDescent="0.3">
      <c r="A242" s="12"/>
      <c r="B242" s="13"/>
      <c r="C242" s="13"/>
      <c r="D242" s="4"/>
      <c r="E242" s="4"/>
      <c r="F242" s="10"/>
      <c r="G242" s="4"/>
      <c r="H242" s="4"/>
      <c r="I242" s="4"/>
      <c r="J242" s="10"/>
      <c r="K242" s="4"/>
      <c r="L242" s="4"/>
      <c r="M242" s="4"/>
      <c r="N242" s="10"/>
      <c r="O242" s="13"/>
      <c r="P242" s="4"/>
      <c r="Q242" s="4"/>
      <c r="R242" s="10"/>
      <c r="S242" s="4"/>
      <c r="T242" s="4"/>
      <c r="U242" s="4"/>
      <c r="V242" s="10"/>
      <c r="W242" s="4"/>
      <c r="X242" s="4"/>
      <c r="Y242" s="4"/>
      <c r="Z242" s="10"/>
    </row>
    <row r="243" spans="1:26" s="62" customFormat="1" ht="15" customHeight="1" x14ac:dyDescent="0.3">
      <c r="A243" s="13"/>
      <c r="B243" s="28" t="s">
        <v>291</v>
      </c>
      <c r="C243" s="28"/>
      <c r="D243" s="22">
        <f>+D141-D143+D236</f>
        <v>-392440.90000000014</v>
      </c>
      <c r="E243" s="15"/>
      <c r="F243" s="24">
        <f>IF(D$12=0,0,D243/D$12)</f>
        <v>-1.2784321748233427</v>
      </c>
      <c r="G243" s="15"/>
      <c r="H243" s="22">
        <f>+H141-H143+H236</f>
        <v>141823.93000000008</v>
      </c>
      <c r="I243" s="15"/>
      <c r="J243" s="24">
        <f>IF(H$12=0,0,H243/H$12)</f>
        <v>0.53611884376787478</v>
      </c>
      <c r="K243" s="17"/>
      <c r="L243" s="22">
        <f>+D243-H243</f>
        <v>-534264.83000000019</v>
      </c>
      <c r="M243" s="17"/>
      <c r="N243" s="24">
        <f>IF(H243=0,0,L243/H243)</f>
        <v>-3.7670993181475079</v>
      </c>
      <c r="O243" s="27"/>
      <c r="P243" s="22">
        <f>+P141-P143+P236</f>
        <v>822796.45000000112</v>
      </c>
      <c r="Q243" s="15"/>
      <c r="R243" s="24">
        <f>IF(P$12=0,0,P243/P$12)</f>
        <v>9.8843357026998035E-2</v>
      </c>
      <c r="S243" s="15"/>
      <c r="T243" s="22">
        <f>+T141-T143+T236</f>
        <v>68928.509999996284</v>
      </c>
      <c r="U243" s="15"/>
      <c r="V243" s="24">
        <f>IF(T$12=0,0,T243/T$12)</f>
        <v>1.2585505619905103E-2</v>
      </c>
      <c r="W243" s="17"/>
      <c r="X243" s="22">
        <f>+P243-T243</f>
        <v>753867.94000000483</v>
      </c>
      <c r="Y243" s="17"/>
      <c r="Z243" s="24">
        <f>IF(T243=0,0,X243/T243)</f>
        <v>10.936953954177241</v>
      </c>
    </row>
    <row r="244" spans="1:26" ht="15" customHeight="1" x14ac:dyDescent="0.3">
      <c r="A244" s="12"/>
      <c r="B244" s="13"/>
      <c r="C244" s="12"/>
      <c r="D244" s="4"/>
      <c r="E244" s="4"/>
      <c r="F244" s="10"/>
      <c r="G244" s="4"/>
      <c r="H244" s="4"/>
      <c r="I244" s="4"/>
      <c r="J244" s="10"/>
      <c r="K244" s="4"/>
      <c r="L244" s="4"/>
      <c r="M244" s="4"/>
      <c r="N244" s="10"/>
      <c r="P244" s="4"/>
      <c r="Q244" s="4"/>
      <c r="R244" s="10"/>
      <c r="S244" s="4"/>
      <c r="T244" s="4"/>
      <c r="U244" s="4"/>
      <c r="V244" s="10"/>
      <c r="W244" s="4"/>
      <c r="X244" s="4"/>
      <c r="Y244" s="4"/>
      <c r="Z244" s="10"/>
    </row>
    <row r="245" spans="1:26" s="62" customFormat="1" ht="15" customHeight="1" x14ac:dyDescent="0.3">
      <c r="A245" s="48"/>
      <c r="B245" s="13" t="s">
        <v>292</v>
      </c>
      <c r="C245" s="13"/>
      <c r="D245" s="8">
        <v>-1861036.85</v>
      </c>
      <c r="E245" s="8"/>
      <c r="F245" s="14">
        <f>IF(D$12=0,0,D245/D$12)</f>
        <v>-6.0625928326325882</v>
      </c>
      <c r="G245" s="8"/>
      <c r="H245" s="8">
        <v>402139.08</v>
      </c>
      <c r="I245" s="8"/>
      <c r="J245" s="14">
        <f>IF(H$12=0,0,H245/H$12)</f>
        <v>1.5201548751573644</v>
      </c>
      <c r="K245" s="8"/>
      <c r="L245" s="8">
        <f>+D245-H245</f>
        <v>-2263175.9300000002</v>
      </c>
      <c r="M245" s="8"/>
      <c r="N245" s="14">
        <f>IF(H245=0,0,L245/H245)</f>
        <v>-5.6278438046856829</v>
      </c>
      <c r="O245" s="13"/>
      <c r="P245" s="8">
        <v>-959691.77</v>
      </c>
      <c r="Q245" s="8"/>
      <c r="R245" s="14">
        <f>IF(P$12=0,0,P245/P$12)</f>
        <v>-0.11528872816354709</v>
      </c>
      <c r="S245" s="8"/>
      <c r="T245" s="8">
        <v>1515953.62</v>
      </c>
      <c r="U245" s="8"/>
      <c r="V245" s="14">
        <f>IF(T$12=0,0,T245/T$12)</f>
        <v>0.27679465005157539</v>
      </c>
      <c r="W245" s="8"/>
      <c r="X245" s="8">
        <f>+P245-T245</f>
        <v>-2475645.39</v>
      </c>
      <c r="Y245" s="8"/>
      <c r="Z245" s="14">
        <f>IF(T245=0,0,X245/T245)</f>
        <v>-1.6330614323147961</v>
      </c>
    </row>
    <row r="246" spans="1:26" ht="15" customHeight="1" x14ac:dyDescent="0.3">
      <c r="A246" s="12"/>
      <c r="B246" s="13"/>
      <c r="C246" s="13"/>
      <c r="D246" s="4"/>
      <c r="E246" s="4"/>
      <c r="F246" s="10"/>
      <c r="G246" s="4"/>
      <c r="H246" s="4"/>
      <c r="I246" s="4"/>
      <c r="J246" s="10"/>
      <c r="K246" s="4"/>
      <c r="L246" s="4"/>
      <c r="M246" s="4"/>
      <c r="N246" s="10"/>
      <c r="O246" s="13"/>
      <c r="P246" s="4"/>
      <c r="Q246" s="4"/>
      <c r="R246" s="10"/>
      <c r="S246" s="4"/>
      <c r="T246" s="4"/>
      <c r="U246" s="4"/>
      <c r="V246" s="10"/>
      <c r="W246" s="4"/>
      <c r="X246" s="4"/>
      <c r="Y246" s="4"/>
      <c r="Z246" s="10"/>
    </row>
    <row r="247" spans="1:26" s="62" customFormat="1" ht="15" customHeight="1" x14ac:dyDescent="0.3">
      <c r="A247" s="13"/>
      <c r="B247" s="28" t="s">
        <v>293</v>
      </c>
      <c r="C247" s="28"/>
      <c r="D247" s="29">
        <f>+D243-D245</f>
        <v>1468595.95</v>
      </c>
      <c r="E247" s="15"/>
      <c r="F247" s="31">
        <f>IF(D$12=0,0,D247/D$12)</f>
        <v>4.7841606578092462</v>
      </c>
      <c r="G247" s="15"/>
      <c r="H247" s="29">
        <f>+H243-H245</f>
        <v>-260315.14999999994</v>
      </c>
      <c r="I247" s="15"/>
      <c r="J247" s="31">
        <f>IF(H$12=0,0,H247/H$12)</f>
        <v>-0.98403603138948958</v>
      </c>
      <c r="K247" s="17"/>
      <c r="L247" s="29">
        <f>D247-H247</f>
        <v>1728911.0999999999</v>
      </c>
      <c r="M247" s="17"/>
      <c r="N247" s="31">
        <f>IF(H247=0,0,L247/H247)</f>
        <v>-6.6416076820730572</v>
      </c>
      <c r="O247" s="27"/>
      <c r="P247" s="29">
        <f>+P243-P245</f>
        <v>1782488.2200000011</v>
      </c>
      <c r="Q247" s="15"/>
      <c r="R247" s="31">
        <f>IF(P$12=0,0,P247/P$12)</f>
        <v>0.21413208519054511</v>
      </c>
      <c r="S247" s="15"/>
      <c r="T247" s="29">
        <f>+T243-T245</f>
        <v>-1447025.1100000038</v>
      </c>
      <c r="U247" s="15"/>
      <c r="V247" s="31">
        <f>IF(T$12=0,0,T247/T$12)</f>
        <v>-0.26420914443167032</v>
      </c>
      <c r="W247" s="17"/>
      <c r="X247" s="29">
        <f>P247-T247</f>
        <v>3229513.3300000047</v>
      </c>
      <c r="Y247" s="17"/>
      <c r="Z247" s="31">
        <f>IF(T247=0,0,X247/T247)</f>
        <v>-2.2318295015626899</v>
      </c>
    </row>
    <row r="248" spans="1:26" ht="15" customHeight="1" x14ac:dyDescent="0.3">
      <c r="A248" s="12"/>
      <c r="B248" s="12"/>
      <c r="C248" s="12"/>
      <c r="D248" s="4"/>
      <c r="E248" s="4"/>
      <c r="F248" s="10"/>
      <c r="G248" s="4"/>
      <c r="H248" s="4"/>
      <c r="I248" s="4"/>
      <c r="J248" s="10"/>
      <c r="K248" s="4"/>
      <c r="L248" s="4"/>
      <c r="M248" s="4"/>
      <c r="N248" s="10"/>
      <c r="P248" s="4"/>
      <c r="Q248" s="4"/>
      <c r="R248" s="10"/>
      <c r="S248" s="4"/>
      <c r="T248" s="4"/>
      <c r="U248" s="4"/>
      <c r="V248" s="10"/>
      <c r="W248" s="4"/>
      <c r="X248" s="4"/>
      <c r="Y248" s="4"/>
      <c r="Z248" s="10"/>
    </row>
    <row r="249" spans="1:26" ht="15" customHeight="1" x14ac:dyDescent="0.3">
      <c r="A249" s="12"/>
      <c r="B249" s="12"/>
      <c r="C249" s="12"/>
      <c r="D249" s="4"/>
      <c r="E249" s="4"/>
      <c r="F249" s="10"/>
      <c r="G249" s="4"/>
      <c r="H249" s="4"/>
      <c r="I249" s="4"/>
      <c r="J249" s="10"/>
      <c r="K249" s="4"/>
      <c r="L249" s="4"/>
      <c r="M249" s="4"/>
      <c r="N249" s="10"/>
      <c r="P249" s="4"/>
      <c r="Q249" s="4"/>
      <c r="R249" s="10"/>
      <c r="S249" s="4"/>
      <c r="T249" s="4"/>
      <c r="U249" s="4"/>
      <c r="V249" s="10"/>
      <c r="W249" s="4"/>
      <c r="X249" s="4"/>
      <c r="Y249" s="4"/>
      <c r="Z249" s="10"/>
    </row>
    <row r="250" spans="1:26" s="62" customFormat="1" ht="15" customHeight="1" x14ac:dyDescent="0.3">
      <c r="A250" s="13"/>
      <c r="B250" s="28" t="s">
        <v>296</v>
      </c>
      <c r="C250" s="28"/>
      <c r="D250" s="30">
        <f>SUM(D247:D249)</f>
        <v>1468595.95</v>
      </c>
      <c r="E250" s="15"/>
      <c r="F250" s="35">
        <f>IF(D$12=0,0,D250/D$12)</f>
        <v>4.7841606578092462</v>
      </c>
      <c r="G250" s="15"/>
      <c r="H250" s="30">
        <f>SUM(H247:H249)</f>
        <v>-260315.14999999994</v>
      </c>
      <c r="I250" s="15"/>
      <c r="J250" s="35">
        <f>IF(H$12=0,0,H250/H$12)</f>
        <v>-0.98403603138948958</v>
      </c>
      <c r="K250" s="17"/>
      <c r="L250" s="30">
        <f>+D250-H250</f>
        <v>1728911.0999999999</v>
      </c>
      <c r="M250" s="17"/>
      <c r="N250" s="35">
        <f>IF(H250=0,0,L250/H250)</f>
        <v>-6.6416076820730572</v>
      </c>
      <c r="O250" s="27"/>
      <c r="P250" s="30">
        <f>SUM(P247:P249)</f>
        <v>1782488.2200000011</v>
      </c>
      <c r="Q250" s="15"/>
      <c r="R250" s="35">
        <f>IF(P$12=0,0,P250/P$12)</f>
        <v>0.21413208519054511</v>
      </c>
      <c r="S250" s="15"/>
      <c r="T250" s="30">
        <f>SUM(T247:T249)</f>
        <v>-1447025.1100000038</v>
      </c>
      <c r="U250" s="15"/>
      <c r="V250" s="35">
        <f>IF(T$12=0,0,T250/T$12)</f>
        <v>-0.26420914443167032</v>
      </c>
      <c r="W250" s="17"/>
      <c r="X250" s="30">
        <f>+P250-T250</f>
        <v>3229513.3300000047</v>
      </c>
      <c r="Y250" s="17"/>
      <c r="Z250" s="35">
        <f>IF(T250=0,0,X250/T250)</f>
        <v>-2.2318295015626899</v>
      </c>
    </row>
    <row r="251" spans="1:26" ht="15" customHeight="1" x14ac:dyDescent="0.3">
      <c r="A251" s="12"/>
      <c r="C251" s="12"/>
      <c r="D251" s="19"/>
      <c r="E251" s="19"/>
      <c r="G251" s="19"/>
      <c r="H251" s="19"/>
      <c r="I251" s="19"/>
      <c r="J251" s="41"/>
      <c r="K251" s="19"/>
      <c r="L251" s="19"/>
      <c r="M251" s="19"/>
      <c r="P251" s="19"/>
      <c r="Q251" s="19"/>
      <c r="R251" s="41"/>
      <c r="S251" s="19"/>
      <c r="T251" s="19"/>
      <c r="U251" s="19"/>
      <c r="V251" s="41"/>
      <c r="W251" s="19"/>
      <c r="X251" s="19"/>
    </row>
    <row r="252" spans="1:26" ht="15" customHeight="1" x14ac:dyDescent="0.3">
      <c r="A252" s="12"/>
      <c r="B252" s="54">
        <v>44767.815869907405</v>
      </c>
      <c r="D252" s="19"/>
      <c r="E252" s="19"/>
      <c r="G252" s="19"/>
      <c r="H252" s="19"/>
      <c r="I252" s="19"/>
      <c r="J252" s="41"/>
      <c r="K252" s="19"/>
      <c r="L252" s="19"/>
      <c r="M252" s="19"/>
      <c r="P252" s="19"/>
      <c r="Q252" s="19"/>
      <c r="R252" s="41"/>
      <c r="S252" s="19"/>
      <c r="T252" s="19"/>
      <c r="U252" s="19"/>
      <c r="V252" s="41"/>
      <c r="W252" s="19"/>
      <c r="X252" s="19"/>
    </row>
    <row r="253" spans="1:26" ht="15" customHeight="1" x14ac:dyDescent="0.3">
      <c r="A253" s="12"/>
      <c r="B253" s="53" t="s">
        <v>297</v>
      </c>
      <c r="D253" s="19"/>
      <c r="E253" s="19"/>
      <c r="G253" s="19"/>
      <c r="H253" s="19"/>
      <c r="I253" s="19"/>
      <c r="J253" s="41"/>
      <c r="K253" s="19"/>
      <c r="L253" s="19"/>
      <c r="M253" s="19"/>
      <c r="P253" s="19"/>
      <c r="Q253" s="19"/>
      <c r="R253" s="41"/>
      <c r="S253" s="19"/>
      <c r="T253" s="19"/>
      <c r="U253" s="19"/>
      <c r="V253" s="41"/>
      <c r="W253" s="19"/>
      <c r="X253" s="19"/>
    </row>
    <row r="254" spans="1:26" ht="15" customHeight="1" x14ac:dyDescent="0.3">
      <c r="A254" s="12"/>
      <c r="B254" s="51"/>
      <c r="D254" s="19"/>
      <c r="E254" s="19"/>
      <c r="G254" s="19"/>
      <c r="H254" s="19"/>
      <c r="I254" s="19"/>
      <c r="J254" s="41"/>
      <c r="K254" s="19"/>
      <c r="L254" s="19"/>
      <c r="M254" s="19"/>
      <c r="P254" s="19"/>
      <c r="Q254" s="19"/>
      <c r="R254" s="41"/>
      <c r="S254" s="19"/>
      <c r="T254" s="19"/>
      <c r="U254" s="19"/>
      <c r="V254" s="41"/>
      <c r="W254" s="19"/>
      <c r="X254" s="19"/>
    </row>
    <row r="255" spans="1:26" ht="15" customHeight="1" x14ac:dyDescent="0.3">
      <c r="D255" s="19"/>
      <c r="E255" s="19"/>
      <c r="G255" s="19"/>
      <c r="H255" s="19"/>
      <c r="I255" s="19"/>
      <c r="J255" s="41"/>
      <c r="K255" s="19"/>
      <c r="L255" s="19"/>
      <c r="M255" s="19"/>
      <c r="P255" s="19"/>
      <c r="Q255" s="19"/>
      <c r="R255" s="41"/>
      <c r="S255" s="19"/>
      <c r="T255" s="19"/>
      <c r="U255" s="19"/>
      <c r="V255" s="41"/>
      <c r="W255" s="19"/>
      <c r="X25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40164-6C46-4758-2181-A8FC1FAA7662}">
  <sheetPr>
    <tabColor rgb="FFFFFF00"/>
    <outlinePr summaryBelow="0" summaryRight="0"/>
  </sheetPr>
  <dimension ref="A2:Z24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291451.78999999992</v>
      </c>
      <c r="E12" s="8"/>
      <c r="F12" s="14"/>
      <c r="G12" s="8"/>
      <c r="H12" s="8">
        <f>SUM(OSRRefH13x_0)</f>
        <v>264504.17999999993</v>
      </c>
      <c r="I12" s="8"/>
      <c r="J12" s="14"/>
      <c r="K12" s="8"/>
      <c r="L12" s="8">
        <f t="shared" ref="L12:L43" si="0">+D12-H12</f>
        <v>26947.609999999986</v>
      </c>
      <c r="M12" s="8"/>
      <c r="N12" s="14">
        <f t="shared" ref="N12:N43" si="1">IF(H12=0,0,L12/H12)</f>
        <v>0.10187971320528845</v>
      </c>
      <c r="O12" s="13"/>
      <c r="P12" s="8">
        <f>SUM(OSRRefP13x_0)</f>
        <v>7810763.7500000009</v>
      </c>
      <c r="Q12" s="8"/>
      <c r="R12" s="14"/>
      <c r="S12" s="8"/>
      <c r="T12" s="8">
        <f>SUM(OSRRefT13x_0)</f>
        <v>5473905.9399999985</v>
      </c>
      <c r="U12" s="8"/>
      <c r="V12" s="14"/>
      <c r="W12" s="8"/>
      <c r="X12" s="8">
        <f t="shared" ref="X12:X43" si="2">+P12-T12</f>
        <v>2336857.8100000024</v>
      </c>
      <c r="Y12" s="8"/>
      <c r="Z12" s="14">
        <f t="shared" ref="Z12:Z43" si="3">IF(T12=0,0,X12/T12)</f>
        <v>0.42690865272705125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--298278.05</f>
        <v>298278.05</v>
      </c>
      <c r="E13" s="3"/>
      <c r="F13" s="26"/>
      <c r="G13" s="3"/>
      <c r="H13" s="3">
        <f>-6560.42</f>
        <v>-6560.42</v>
      </c>
      <c r="I13" s="3"/>
      <c r="J13" s="26"/>
      <c r="K13" s="3"/>
      <c r="L13" s="3">
        <f t="shared" si="0"/>
        <v>304838.46999999997</v>
      </c>
      <c r="M13" s="3"/>
      <c r="N13" s="26">
        <f t="shared" si="1"/>
        <v>-46.466303986634998</v>
      </c>
      <c r="O13" s="9"/>
      <c r="P13" s="3">
        <f>--6868749.2</f>
        <v>6868749.2000000002</v>
      </c>
      <c r="Q13" s="3"/>
      <c r="R13" s="26"/>
      <c r="S13" s="3"/>
      <c r="T13" s="3">
        <f>-151009.45</f>
        <v>-151009.45000000001</v>
      </c>
      <c r="U13" s="3"/>
      <c r="V13" s="26"/>
      <c r="W13" s="3"/>
      <c r="X13" s="3">
        <f t="shared" si="2"/>
        <v>7019758.6500000004</v>
      </c>
      <c r="Y13" s="3"/>
      <c r="Z13" s="26">
        <f t="shared" si="3"/>
        <v>-46.485558685234601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--9691.34</f>
        <v>9691.34</v>
      </c>
      <c r="I14" s="3"/>
      <c r="J14" s="26"/>
      <c r="K14" s="3"/>
      <c r="L14" s="3">
        <f t="shared" si="0"/>
        <v>-9691.34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--1308779.9</f>
        <v>1308779.8999999999</v>
      </c>
      <c r="U14" s="3"/>
      <c r="V14" s="26"/>
      <c r="W14" s="3"/>
      <c r="X14" s="3">
        <f t="shared" si="2"/>
        <v>-1308779.8999999999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--6642.8</f>
        <v>6642.8</v>
      </c>
      <c r="I15" s="3"/>
      <c r="J15" s="26"/>
      <c r="K15" s="3"/>
      <c r="L15" s="3">
        <f t="shared" si="0"/>
        <v>-6642.8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--596913.27</f>
        <v>596913.27</v>
      </c>
      <c r="U15" s="3"/>
      <c r="V15" s="26"/>
      <c r="W15" s="3"/>
      <c r="X15" s="3">
        <f t="shared" si="2"/>
        <v>-596913.27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","4026"," - ","TAXABLE SALES-WRITING INSTRUME")</f>
        <v xml:space="preserve">          4026 - TAXABLE SALES-WRITING INSTRUME</v>
      </c>
      <c r="C21" s="9"/>
      <c r="D21" s="3">
        <f>0</f>
        <v>0</v>
      </c>
      <c r="E21" s="3"/>
      <c r="F21" s="26"/>
      <c r="G21" s="3"/>
      <c r="H21" s="3">
        <f>--25.1</f>
        <v>25.1</v>
      </c>
      <c r="I21" s="3"/>
      <c r="J21" s="26"/>
      <c r="K21" s="3"/>
      <c r="L21" s="3">
        <f t="shared" si="0"/>
        <v>-25.1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--547.64</f>
        <v>547.64</v>
      </c>
      <c r="U21" s="3"/>
      <c r="V21" s="26"/>
      <c r="W21" s="3"/>
      <c r="X21" s="3">
        <f t="shared" si="2"/>
        <v>-547.64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","4027"," - ","TAXABLE SALES-SCHOOL SUPPLIES")</f>
        <v xml:space="preserve">          4027 - TAXABLE SALES-SCHOOL SUPPLIES</v>
      </c>
      <c r="C22" s="9"/>
      <c r="D22" s="3">
        <f>0</f>
        <v>0</v>
      </c>
      <c r="E22" s="3"/>
      <c r="F22" s="26"/>
      <c r="G22" s="3"/>
      <c r="H22" s="3">
        <f>--3459.71</f>
        <v>3459.71</v>
      </c>
      <c r="I22" s="3"/>
      <c r="J22" s="26"/>
      <c r="K22" s="3"/>
      <c r="L22" s="3">
        <f t="shared" si="0"/>
        <v>-3459.71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--73564</f>
        <v>73564</v>
      </c>
      <c r="U22" s="3"/>
      <c r="V22" s="26"/>
      <c r="W22" s="3"/>
      <c r="X22" s="3">
        <f t="shared" si="2"/>
        <v>-73564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","4028"," - ","TAXABLE SALES-ART/TECH")</f>
        <v xml:space="preserve">          4028 - TAXABLE SALES-ART/TECH</v>
      </c>
      <c r="C23" s="9"/>
      <c r="D23" s="3">
        <f>0</f>
        <v>0</v>
      </c>
      <c r="E23" s="3"/>
      <c r="F23" s="26"/>
      <c r="G23" s="3"/>
      <c r="H23" s="3">
        <f>--2312.88</f>
        <v>2312.88</v>
      </c>
      <c r="I23" s="3"/>
      <c r="J23" s="26"/>
      <c r="K23" s="3"/>
      <c r="L23" s="3">
        <f t="shared" si="0"/>
        <v>-2312.88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--50708.2</f>
        <v>50708.2</v>
      </c>
      <c r="U23" s="3"/>
      <c r="V23" s="26"/>
      <c r="W23" s="3"/>
      <c r="X23" s="3">
        <f t="shared" si="2"/>
        <v>-50708.2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","4031"," - ","TAXABLE SALES-FOOD")</f>
        <v xml:space="preserve">          4031 - TAXABLE SALES-FOOD</v>
      </c>
      <c r="C24" s="9"/>
      <c r="D24" s="3">
        <f>0</f>
        <v>0</v>
      </c>
      <c r="E24" s="3"/>
      <c r="F24" s="26"/>
      <c r="G24" s="3"/>
      <c r="H24" s="3">
        <f>--380.76</f>
        <v>380.76</v>
      </c>
      <c r="I24" s="3"/>
      <c r="J24" s="26"/>
      <c r="K24" s="3"/>
      <c r="L24" s="3">
        <f t="shared" si="0"/>
        <v>-380.76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--5081.47</f>
        <v>5081.47</v>
      </c>
      <c r="U24" s="3"/>
      <c r="V24" s="26"/>
      <c r="W24" s="3"/>
      <c r="X24" s="3">
        <f t="shared" si="2"/>
        <v>-5081.47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","4034"," - ","TAXABLE SALES-SODA")</f>
        <v xml:space="preserve">          4034 - TAXABLE SALES-SODA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--6.78</f>
        <v>6.78</v>
      </c>
      <c r="U25" s="3"/>
      <c r="V25" s="26"/>
      <c r="W25" s="3"/>
      <c r="X25" s="3">
        <f t="shared" si="2"/>
        <v>-6.78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","4040"," - ","TAXABLE SALES-LOGO CLOTHING")</f>
        <v xml:space="preserve">          4040 - TAXABLE SALES-LOGO CLOTHING</v>
      </c>
      <c r="C26" s="9"/>
      <c r="D26" s="3">
        <f>0</f>
        <v>0</v>
      </c>
      <c r="E26" s="3"/>
      <c r="F26" s="26"/>
      <c r="G26" s="3"/>
      <c r="H26" s="3">
        <f>--109798.76</f>
        <v>109798.76</v>
      </c>
      <c r="I26" s="3"/>
      <c r="J26" s="26"/>
      <c r="K26" s="3"/>
      <c r="L26" s="3">
        <f t="shared" si="0"/>
        <v>-109798.76</v>
      </c>
      <c r="M26" s="3"/>
      <c r="N26" s="26">
        <f t="shared" si="1"/>
        <v>-1</v>
      </c>
      <c r="O26" s="9"/>
      <c r="P26" s="3">
        <f>0</f>
        <v>0</v>
      </c>
      <c r="Q26" s="3"/>
      <c r="R26" s="26"/>
      <c r="S26" s="3"/>
      <c r="T26" s="3">
        <f>--1210378.91</f>
        <v>1210378.9099999999</v>
      </c>
      <c r="U26" s="3"/>
      <c r="V26" s="26"/>
      <c r="W26" s="3"/>
      <c r="X26" s="3">
        <f t="shared" si="2"/>
        <v>-1210378.9099999999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","4041"," - ","TAXABLE SALES-LOGO GIFTS")</f>
        <v xml:space="preserve">          4041 - TAXABLE SALES-LOGO GIFTS</v>
      </c>
      <c r="C27" s="9"/>
      <c r="D27" s="3">
        <f>0</f>
        <v>0</v>
      </c>
      <c r="E27" s="3"/>
      <c r="F27" s="26"/>
      <c r="G27" s="3"/>
      <c r="H27" s="3">
        <f>--80467.62</f>
        <v>80467.62</v>
      </c>
      <c r="I27" s="3"/>
      <c r="J27" s="26"/>
      <c r="K27" s="3"/>
      <c r="L27" s="3">
        <f t="shared" si="0"/>
        <v>-80467.62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--712240.21</f>
        <v>712240.21</v>
      </c>
      <c r="U27" s="3"/>
      <c r="V27" s="26"/>
      <c r="W27" s="3"/>
      <c r="X27" s="3">
        <f t="shared" si="2"/>
        <v>-712240.21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","4042"," - ","TAXABLE SALES-EVERYDAY GIFTS")</f>
        <v xml:space="preserve">          4042 - TAXABLE SALES-EVERYDAY GIFTS</v>
      </c>
      <c r="C28" s="9"/>
      <c r="D28" s="3">
        <f>0</f>
        <v>0</v>
      </c>
      <c r="E28" s="3"/>
      <c r="F28" s="26"/>
      <c r="G28" s="3"/>
      <c r="H28" s="3">
        <f>--7345.28</f>
        <v>7345.28</v>
      </c>
      <c r="I28" s="3"/>
      <c r="J28" s="26"/>
      <c r="K28" s="3"/>
      <c r="L28" s="3">
        <f t="shared" si="0"/>
        <v>-7345.28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--116251.83</f>
        <v>116251.83</v>
      </c>
      <c r="U28" s="3"/>
      <c r="V28" s="26"/>
      <c r="W28" s="3"/>
      <c r="X28" s="3">
        <f t="shared" si="2"/>
        <v>-116251.83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","4043"," - ","TAXABLE SALES-CARDS")</f>
        <v xml:space="preserve">          4043 - TAXABLE SALES-CARDS</v>
      </c>
      <c r="C29" s="9"/>
      <c r="D29" s="3">
        <f>0</f>
        <v>0</v>
      </c>
      <c r="E29" s="3"/>
      <c r="F29" s="26"/>
      <c r="G29" s="3"/>
      <c r="H29" s="3">
        <f>--2949.38</f>
        <v>2949.38</v>
      </c>
      <c r="I29" s="3"/>
      <c r="J29" s="26"/>
      <c r="K29" s="3"/>
      <c r="L29" s="3">
        <f t="shared" si="0"/>
        <v>-2949.38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--147027.05</f>
        <v>147027.04999999999</v>
      </c>
      <c r="U29" s="3"/>
      <c r="V29" s="26"/>
      <c r="W29" s="3"/>
      <c r="X29" s="3">
        <f t="shared" si="2"/>
        <v>-147027.04999999999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","4044"," - ","TAXABLE SALES-ACCESSORIES")</f>
        <v xml:space="preserve">          4044 - TAXABLE SALES-ACCESSORIES</v>
      </c>
      <c r="C30" s="9"/>
      <c r="D30" s="3">
        <f>0</f>
        <v>0</v>
      </c>
      <c r="E30" s="3"/>
      <c r="F30" s="26"/>
      <c r="G30" s="3"/>
      <c r="H30" s="3">
        <f>--2172.33</f>
        <v>2172.33</v>
      </c>
      <c r="I30" s="3"/>
      <c r="J30" s="26"/>
      <c r="K30" s="3"/>
      <c r="L30" s="3">
        <f t="shared" si="0"/>
        <v>-2172.33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--43288.66</f>
        <v>43288.66</v>
      </c>
      <c r="U30" s="3"/>
      <c r="V30" s="26"/>
      <c r="W30" s="3"/>
      <c r="X30" s="3">
        <f t="shared" si="2"/>
        <v>-43288.66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","4045"," - ","TAXABLE SALES-SPECIAL ORDERS")</f>
        <v xml:space="preserve">          4045 - TAXABLE SALES-SPECIAL ORDERS</v>
      </c>
      <c r="C31" s="9"/>
      <c r="D31" s="3">
        <f>0</f>
        <v>0</v>
      </c>
      <c r="E31" s="3"/>
      <c r="F31" s="26"/>
      <c r="G31" s="3"/>
      <c r="H31" s="3">
        <f>--81300.55</f>
        <v>81300.55</v>
      </c>
      <c r="I31" s="3"/>
      <c r="J31" s="26"/>
      <c r="K31" s="3"/>
      <c r="L31" s="3">
        <f t="shared" si="0"/>
        <v>-81300.55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--314878.48</f>
        <v>314878.48</v>
      </c>
      <c r="U31" s="3"/>
      <c r="V31" s="26"/>
      <c r="W31" s="3"/>
      <c r="X31" s="3">
        <f t="shared" si="2"/>
        <v>-314878.48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","4081"," - ","TAXABLE SALES-ELECTRONICS")</f>
        <v xml:space="preserve">          4081 - TAXABLE SALES-ELECTRONICS</v>
      </c>
      <c r="C32" s="9"/>
      <c r="D32" s="3">
        <f>0</f>
        <v>0</v>
      </c>
      <c r="E32" s="3"/>
      <c r="F32" s="26"/>
      <c r="G32" s="3"/>
      <c r="H32" s="3">
        <f>0</f>
        <v>0</v>
      </c>
      <c r="I32" s="3"/>
      <c r="J32" s="26"/>
      <c r="K32" s="3"/>
      <c r="L32" s="3">
        <f t="shared" si="0"/>
        <v>0</v>
      </c>
      <c r="M32" s="3"/>
      <c r="N32" s="26">
        <f t="shared" si="1"/>
        <v>0</v>
      </c>
      <c r="O32" s="9"/>
      <c r="P32" s="3">
        <f>0</f>
        <v>0</v>
      </c>
      <c r="Q32" s="3"/>
      <c r="R32" s="26"/>
      <c r="S32" s="3"/>
      <c r="T32" s="3">
        <f>--71.95</f>
        <v>71.95</v>
      </c>
      <c r="U32" s="3"/>
      <c r="V32" s="26"/>
      <c r="W32" s="3"/>
      <c r="X32" s="3">
        <f t="shared" si="2"/>
        <v>-71.95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","4083"," - ","TAXABLE SALES-COMPUTER EQUIPME")</f>
        <v xml:space="preserve">          4083 - TAXABLE SALES-COMPUTER EQUIPME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--9.99</f>
        <v>9.99</v>
      </c>
      <c r="U33" s="3"/>
      <c r="V33" s="26"/>
      <c r="W33" s="3"/>
      <c r="X33" s="3">
        <f t="shared" si="2"/>
        <v>-9.99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","4095"," - ","TAXABLE SALES-CUSTOMER SERVICE")</f>
        <v xml:space="preserve">          4095 - TAXABLE SALES-CUSTOMER SERVICE</v>
      </c>
      <c r="C34" s="9"/>
      <c r="D34" s="3">
        <f>0</f>
        <v>0</v>
      </c>
      <c r="E34" s="3"/>
      <c r="F34" s="26"/>
      <c r="G34" s="3"/>
      <c r="H34" s="3">
        <f>--1688.17</f>
        <v>1688.17</v>
      </c>
      <c r="I34" s="3"/>
      <c r="J34" s="26"/>
      <c r="K34" s="3"/>
      <c r="L34" s="3">
        <f t="shared" si="0"/>
        <v>-1688.17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--15614</f>
        <v>15614</v>
      </c>
      <c r="U34" s="3"/>
      <c r="V34" s="26"/>
      <c r="W34" s="3"/>
      <c r="X34" s="3">
        <f t="shared" si="2"/>
        <v>-15614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","4100"," - ","NON-TAXABLE SALES")</f>
        <v xml:space="preserve">          4100 - NON-TAXABLE SALES</v>
      </c>
      <c r="C35" s="9"/>
      <c r="D35" s="3">
        <f>--22517.48</f>
        <v>22517.48</v>
      </c>
      <c r="E35" s="3"/>
      <c r="F35" s="26"/>
      <c r="G35" s="3"/>
      <c r="H35" s="3">
        <f>-14487.2</f>
        <v>-14487.2</v>
      </c>
      <c r="I35" s="3"/>
      <c r="J35" s="26"/>
      <c r="K35" s="3"/>
      <c r="L35" s="3">
        <f t="shared" si="0"/>
        <v>37004.68</v>
      </c>
      <c r="M35" s="3"/>
      <c r="N35" s="26">
        <f t="shared" si="1"/>
        <v>-2.5543017284223315</v>
      </c>
      <c r="O35" s="9"/>
      <c r="P35" s="3">
        <f>--1357135.47</f>
        <v>1357135.47</v>
      </c>
      <c r="Q35" s="3"/>
      <c r="R35" s="26"/>
      <c r="S35" s="3"/>
      <c r="T35" s="3">
        <f>--262897.78</f>
        <v>262897.78000000003</v>
      </c>
      <c r="U35" s="3"/>
      <c r="V35" s="26"/>
      <c r="W35" s="3"/>
      <c r="X35" s="3">
        <f t="shared" si="2"/>
        <v>1094237.69</v>
      </c>
      <c r="Y35" s="3"/>
      <c r="Z35" s="26">
        <f t="shared" si="3"/>
        <v>4.1622173074264825</v>
      </c>
    </row>
    <row r="36" spans="1:26" s="69" customFormat="1" ht="15" hidden="1" customHeight="1" outlineLevel="1" x14ac:dyDescent="0.3">
      <c r="A36" s="47"/>
      <c r="B36" s="9" t="str">
        <f>CONCATENATE("          ","4101"," - ","NON-TAXABLE SALES-NEW TEXT")</f>
        <v xml:space="preserve">          4101 - NON-TAXABLE SALES-NEW TEXT</v>
      </c>
      <c r="C36" s="9"/>
      <c r="D36" s="3">
        <f>0</f>
        <v>0</v>
      </c>
      <c r="E36" s="3"/>
      <c r="F36" s="26"/>
      <c r="G36" s="3"/>
      <c r="H36" s="3">
        <f>--1301.39</f>
        <v>1301.3900000000001</v>
      </c>
      <c r="I36" s="3"/>
      <c r="J36" s="26"/>
      <c r="K36" s="3"/>
      <c r="L36" s="3">
        <f t="shared" si="0"/>
        <v>-1301.3900000000001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--120548.46</f>
        <v>120548.46</v>
      </c>
      <c r="U36" s="3"/>
      <c r="V36" s="26"/>
      <c r="W36" s="3"/>
      <c r="X36" s="3">
        <f t="shared" si="2"/>
        <v>-120548.46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","4102"," - ","NON-TAXABLE SALES-USED TEXT")</f>
        <v xml:space="preserve">          4102 - NON-TAXABLE SALES-USED TEXT</v>
      </c>
      <c r="C37" s="9"/>
      <c r="D37" s="3">
        <f>0</f>
        <v>0</v>
      </c>
      <c r="E37" s="3"/>
      <c r="F37" s="26"/>
      <c r="G37" s="3"/>
      <c r="H37" s="3">
        <f>--540.91</f>
        <v>540.91</v>
      </c>
      <c r="I37" s="3"/>
      <c r="J37" s="26"/>
      <c r="K37" s="3"/>
      <c r="L37" s="3">
        <f t="shared" si="0"/>
        <v>-540.91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--51587.64</f>
        <v>51587.64</v>
      </c>
      <c r="U37" s="3"/>
      <c r="V37" s="26"/>
      <c r="W37" s="3"/>
      <c r="X37" s="3">
        <f t="shared" si="2"/>
        <v>-51587.64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","4103"," - ","NON-TAXABLE SALES-RENTAL TEXT")</f>
        <v xml:space="preserve">          4103 - NON-TAXABLE SALES-RENTAL TEXT</v>
      </c>
      <c r="C38" s="9"/>
      <c r="D38" s="3">
        <f>0</f>
        <v>0</v>
      </c>
      <c r="E38" s="3"/>
      <c r="F38" s="26"/>
      <c r="G38" s="3"/>
      <c r="H38" s="3">
        <f>0</f>
        <v>0</v>
      </c>
      <c r="I38" s="3"/>
      <c r="J38" s="26"/>
      <c r="K38" s="3"/>
      <c r="L38" s="3">
        <f t="shared" si="0"/>
        <v>0</v>
      </c>
      <c r="M38" s="3"/>
      <c r="N38" s="26">
        <f t="shared" si="1"/>
        <v>0</v>
      </c>
      <c r="O38" s="9"/>
      <c r="P38" s="3">
        <f>0</f>
        <v>0</v>
      </c>
      <c r="Q38" s="3"/>
      <c r="R38" s="26"/>
      <c r="S38" s="3"/>
      <c r="T38" s="3">
        <f>--1138.95</f>
        <v>1138.95</v>
      </c>
      <c r="U38" s="3"/>
      <c r="V38" s="26"/>
      <c r="W38" s="3"/>
      <c r="X38" s="3">
        <f t="shared" si="2"/>
        <v>-1138.95</v>
      </c>
      <c r="Y38" s="3"/>
      <c r="Z38" s="26">
        <f t="shared" si="3"/>
        <v>-1</v>
      </c>
    </row>
    <row r="39" spans="1:26" s="69" customFormat="1" ht="15" hidden="1" customHeight="1" outlineLevel="1" x14ac:dyDescent="0.3">
      <c r="A39" s="47"/>
      <c r="B39" s="9" t="str">
        <f>CONCATENATE("          ","4104"," - ","NON-TAXABLE SALES-DIGITAL TEXT")</f>
        <v xml:space="preserve">          4104 - NON-TAXABLE SALES-DIGITAL TEXT</v>
      </c>
      <c r="C39" s="9"/>
      <c r="D39" s="3">
        <f>0</f>
        <v>0</v>
      </c>
      <c r="E39" s="3"/>
      <c r="F39" s="26"/>
      <c r="G39" s="3"/>
      <c r="H39" s="3">
        <f>--695.53</f>
        <v>695.53</v>
      </c>
      <c r="I39" s="3"/>
      <c r="J39" s="26"/>
      <c r="K39" s="3"/>
      <c r="L39" s="3">
        <f t="shared" si="0"/>
        <v>-695.53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--491583.26</f>
        <v>491583.26</v>
      </c>
      <c r="U39" s="3"/>
      <c r="V39" s="26"/>
      <c r="W39" s="3"/>
      <c r="X39" s="3">
        <f t="shared" si="2"/>
        <v>-491583.26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","4113"," - ","NON-TAXABLE SALES-TRADE BOOKS")</f>
        <v xml:space="preserve">          4113 - NON-TAXABLE SALES-TRADE BOOKS</v>
      </c>
      <c r="C40" s="9"/>
      <c r="D40" s="3">
        <f>0</f>
        <v>0</v>
      </c>
      <c r="E40" s="3"/>
      <c r="F40" s="26"/>
      <c r="G40" s="3"/>
      <c r="H40" s="3">
        <f>0</f>
        <v>0</v>
      </c>
      <c r="I40" s="3"/>
      <c r="J40" s="26"/>
      <c r="K40" s="3"/>
      <c r="L40" s="3">
        <f t="shared" si="0"/>
        <v>0</v>
      </c>
      <c r="M40" s="3"/>
      <c r="N40" s="26">
        <f t="shared" si="1"/>
        <v>0</v>
      </c>
      <c r="O40" s="9"/>
      <c r="P40" s="3">
        <f>0</f>
        <v>0</v>
      </c>
      <c r="Q40" s="3"/>
      <c r="R40" s="26"/>
      <c r="S40" s="3"/>
      <c r="T40" s="3">
        <f>--12127.25</f>
        <v>12127.25</v>
      </c>
      <c r="U40" s="3"/>
      <c r="V40" s="26"/>
      <c r="W40" s="3"/>
      <c r="X40" s="3">
        <f t="shared" si="2"/>
        <v>-12127.25</v>
      </c>
      <c r="Y40" s="3"/>
      <c r="Z40" s="26">
        <f t="shared" si="3"/>
        <v>-1</v>
      </c>
    </row>
    <row r="41" spans="1:26" s="69" customFormat="1" ht="15" hidden="1" customHeight="1" outlineLevel="1" x14ac:dyDescent="0.3">
      <c r="A41" s="47"/>
      <c r="B41" s="9" t="str">
        <f>CONCATENATE("          ","4118"," - ","NON-TAXABLE SALES-STUDY GUIDES")</f>
        <v xml:space="preserve">          4118 - NON-TAXABLE SALES-STUDY GUIDES</v>
      </c>
      <c r="C41" s="9"/>
      <c r="D41" s="3">
        <f>0</f>
        <v>0</v>
      </c>
      <c r="E41" s="3"/>
      <c r="F41" s="26"/>
      <c r="G41" s="3"/>
      <c r="H41" s="3">
        <f>--594.22</f>
        <v>594.22</v>
      </c>
      <c r="I41" s="3"/>
      <c r="J41" s="26"/>
      <c r="K41" s="3"/>
      <c r="L41" s="3">
        <f t="shared" si="0"/>
        <v>-594.22</v>
      </c>
      <c r="M41" s="3"/>
      <c r="N41" s="26">
        <f t="shared" si="1"/>
        <v>-1</v>
      </c>
      <c r="O41" s="9"/>
      <c r="P41" s="3">
        <f>0</f>
        <v>0</v>
      </c>
      <c r="Q41" s="3"/>
      <c r="R41" s="26"/>
      <c r="S41" s="3"/>
      <c r="T41" s="3">
        <f>--1365.95</f>
        <v>1365.95</v>
      </c>
      <c r="U41" s="3"/>
      <c r="V41" s="26"/>
      <c r="W41" s="3"/>
      <c r="X41" s="3">
        <f t="shared" si="2"/>
        <v>-1365.95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","4126"," - ","NON-TAXABLE SALES-WRITING INST")</f>
        <v xml:space="preserve">          4126 - NON-TAXABLE SALES-WRITING INST</v>
      </c>
      <c r="C42" s="9"/>
      <c r="D42" s="3">
        <f>0</f>
        <v>0</v>
      </c>
      <c r="E42" s="3"/>
      <c r="F42" s="26"/>
      <c r="G42" s="3"/>
      <c r="H42" s="3">
        <f>0</f>
        <v>0</v>
      </c>
      <c r="I42" s="3"/>
      <c r="J42" s="26"/>
      <c r="K42" s="3"/>
      <c r="L42" s="3">
        <f t="shared" si="0"/>
        <v>0</v>
      </c>
      <c r="M42" s="3"/>
      <c r="N42" s="26">
        <f t="shared" si="1"/>
        <v>0</v>
      </c>
      <c r="O42" s="9"/>
      <c r="P42" s="3">
        <f>0</f>
        <v>0</v>
      </c>
      <c r="Q42" s="3"/>
      <c r="R42" s="26"/>
      <c r="S42" s="3"/>
      <c r="T42" s="3">
        <f>--52.68</f>
        <v>52.68</v>
      </c>
      <c r="U42" s="3"/>
      <c r="V42" s="26"/>
      <c r="W42" s="3"/>
      <c r="X42" s="3">
        <f t="shared" si="2"/>
        <v>-52.68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","4127"," - ","NON-TAXABLE SALES-SCHOOL SUPPL")</f>
        <v xml:space="preserve">          4127 - NON-TAXABLE SALES-SCHOOL SUPPL</v>
      </c>
      <c r="C43" s="9"/>
      <c r="D43" s="3">
        <f>0</f>
        <v>0</v>
      </c>
      <c r="E43" s="3"/>
      <c r="F43" s="26"/>
      <c r="G43" s="3"/>
      <c r="H43" s="3">
        <f>--99.87</f>
        <v>99.87</v>
      </c>
      <c r="I43" s="3"/>
      <c r="J43" s="26"/>
      <c r="K43" s="3"/>
      <c r="L43" s="3">
        <f t="shared" si="0"/>
        <v>-99.87</v>
      </c>
      <c r="M43" s="3"/>
      <c r="N43" s="26">
        <f t="shared" si="1"/>
        <v>-1</v>
      </c>
      <c r="O43" s="9"/>
      <c r="P43" s="3">
        <f>0</f>
        <v>0</v>
      </c>
      <c r="Q43" s="3"/>
      <c r="R43" s="26"/>
      <c r="S43" s="3"/>
      <c r="T43" s="3">
        <f>--7748.6</f>
        <v>7748.6</v>
      </c>
      <c r="U43" s="3"/>
      <c r="V43" s="26"/>
      <c r="W43" s="3"/>
      <c r="X43" s="3">
        <f t="shared" si="2"/>
        <v>-7748.6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","4128"," - ","NON-TAXABLE SALES-ART/TECH")</f>
        <v xml:space="preserve">          4128 - NON-TAXABLE SALES-ART/TECH</v>
      </c>
      <c r="C44" s="9"/>
      <c r="D44" s="3">
        <f>0</f>
        <v>0</v>
      </c>
      <c r="E44" s="3"/>
      <c r="F44" s="26"/>
      <c r="G44" s="3"/>
      <c r="H44" s="3">
        <f>0</f>
        <v>0</v>
      </c>
      <c r="I44" s="3"/>
      <c r="J44" s="26"/>
      <c r="K44" s="3"/>
      <c r="L44" s="3">
        <f t="shared" ref="L44:L75" si="4">+D44-H44</f>
        <v>0</v>
      </c>
      <c r="M44" s="3"/>
      <c r="N44" s="26">
        <f t="shared" ref="N44:N75" si="5">IF(H44=0,0,L44/H44)</f>
        <v>0</v>
      </c>
      <c r="O44" s="9"/>
      <c r="P44" s="3">
        <f>0</f>
        <v>0</v>
      </c>
      <c r="Q44" s="3"/>
      <c r="R44" s="26"/>
      <c r="S44" s="3"/>
      <c r="T44" s="3">
        <f>--115.91</f>
        <v>115.91</v>
      </c>
      <c r="U44" s="3"/>
      <c r="V44" s="26"/>
      <c r="W44" s="3"/>
      <c r="X44" s="3">
        <f t="shared" ref="X44:X75" si="6">+P44-T44</f>
        <v>-115.91</v>
      </c>
      <c r="Y44" s="3"/>
      <c r="Z44" s="26">
        <f t="shared" ref="Z44:Z75" si="7">IF(T44=0,0,X44/T44)</f>
        <v>-1</v>
      </c>
    </row>
    <row r="45" spans="1:26" s="69" customFormat="1" ht="15" hidden="1" customHeight="1" outlineLevel="1" x14ac:dyDescent="0.3">
      <c r="A45" s="47"/>
      <c r="B45" s="9" t="str">
        <f>CONCATENATE("          ","4131"," - ","NON-TAXABLE SALES-FOOD")</f>
        <v xml:space="preserve">          4131 - NON-TAXABLE SALES-FOOD</v>
      </c>
      <c r="C45" s="9"/>
      <c r="D45" s="3">
        <f>0</f>
        <v>0</v>
      </c>
      <c r="E45" s="3"/>
      <c r="F45" s="26"/>
      <c r="G45" s="3"/>
      <c r="H45" s="3">
        <f>--540.62</f>
        <v>540.62</v>
      </c>
      <c r="I45" s="3"/>
      <c r="J45" s="26"/>
      <c r="K45" s="3"/>
      <c r="L45" s="3">
        <f t="shared" si="4"/>
        <v>-540.62</v>
      </c>
      <c r="M45" s="3"/>
      <c r="N45" s="26">
        <f t="shared" si="5"/>
        <v>-1</v>
      </c>
      <c r="O45" s="9"/>
      <c r="P45" s="3">
        <f>0</f>
        <v>0</v>
      </c>
      <c r="Q45" s="3"/>
      <c r="R45" s="26"/>
      <c r="S45" s="3"/>
      <c r="T45" s="3">
        <f>--12696.76</f>
        <v>12696.76</v>
      </c>
      <c r="U45" s="3"/>
      <c r="V45" s="26"/>
      <c r="W45" s="3"/>
      <c r="X45" s="3">
        <f t="shared" si="6"/>
        <v>-12696.76</v>
      </c>
      <c r="Y45" s="3"/>
      <c r="Z45" s="26">
        <f t="shared" si="7"/>
        <v>-1</v>
      </c>
    </row>
    <row r="46" spans="1:26" s="69" customFormat="1" ht="15" hidden="1" customHeight="1" outlineLevel="1" x14ac:dyDescent="0.3">
      <c r="A46" s="47"/>
      <c r="B46" s="9" t="str">
        <f>CONCATENATE("          ","4132"," - ","NON-TAXABLE SALES-JUICE")</f>
        <v xml:space="preserve">          4132 - NON-TAXABLE SALES-JUICE</v>
      </c>
      <c r="C46" s="9"/>
      <c r="D46" s="3">
        <f>0</f>
        <v>0</v>
      </c>
      <c r="E46" s="3"/>
      <c r="F46" s="26"/>
      <c r="G46" s="3"/>
      <c r="H46" s="3">
        <f>0</f>
        <v>0</v>
      </c>
      <c r="I46" s="3"/>
      <c r="J46" s="26"/>
      <c r="K46" s="3"/>
      <c r="L46" s="3">
        <f t="shared" si="4"/>
        <v>0</v>
      </c>
      <c r="M46" s="3"/>
      <c r="N46" s="26">
        <f t="shared" si="5"/>
        <v>0</v>
      </c>
      <c r="O46" s="9"/>
      <c r="P46" s="3">
        <f>0</f>
        <v>0</v>
      </c>
      <c r="Q46" s="3"/>
      <c r="R46" s="26"/>
      <c r="S46" s="3"/>
      <c r="T46" s="3">
        <f>--22.49</f>
        <v>22.49</v>
      </c>
      <c r="U46" s="3"/>
      <c r="V46" s="26"/>
      <c r="W46" s="3"/>
      <c r="X46" s="3">
        <f t="shared" si="6"/>
        <v>-22.49</v>
      </c>
      <c r="Y46" s="3"/>
      <c r="Z46" s="26">
        <f t="shared" si="7"/>
        <v>-1</v>
      </c>
    </row>
    <row r="47" spans="1:26" s="69" customFormat="1" ht="15" hidden="1" customHeight="1" outlineLevel="1" x14ac:dyDescent="0.3">
      <c r="A47" s="47"/>
      <c r="B47" s="9" t="str">
        <f>CONCATENATE("          ","4133"," - ","NON-TAXABLE SALES-CANDY")</f>
        <v xml:space="preserve">          4133 - NON-TAXABLE SALES-CANDY</v>
      </c>
      <c r="C47" s="9"/>
      <c r="D47" s="3">
        <f>0</f>
        <v>0</v>
      </c>
      <c r="E47" s="3"/>
      <c r="F47" s="26"/>
      <c r="G47" s="3"/>
      <c r="H47" s="3">
        <f>0</f>
        <v>0</v>
      </c>
      <c r="I47" s="3"/>
      <c r="J47" s="26"/>
      <c r="K47" s="3"/>
      <c r="L47" s="3">
        <f t="shared" si="4"/>
        <v>0</v>
      </c>
      <c r="M47" s="3"/>
      <c r="N47" s="26">
        <f t="shared" si="5"/>
        <v>0</v>
      </c>
      <c r="O47" s="9"/>
      <c r="P47" s="3">
        <f>0</f>
        <v>0</v>
      </c>
      <c r="Q47" s="3"/>
      <c r="R47" s="26"/>
      <c r="S47" s="3"/>
      <c r="T47" s="3">
        <f>--80.71</f>
        <v>80.709999999999994</v>
      </c>
      <c r="U47" s="3"/>
      <c r="V47" s="26"/>
      <c r="W47" s="3"/>
      <c r="X47" s="3">
        <f t="shared" si="6"/>
        <v>-80.709999999999994</v>
      </c>
      <c r="Y47" s="3"/>
      <c r="Z47" s="26">
        <f t="shared" si="7"/>
        <v>-1</v>
      </c>
    </row>
    <row r="48" spans="1:26" s="69" customFormat="1" ht="15" hidden="1" customHeight="1" outlineLevel="1" x14ac:dyDescent="0.3">
      <c r="A48" s="47"/>
      <c r="B48" s="9" t="str">
        <f>CONCATENATE("          ","4134"," - ","NON-TAXABLE SALES-SODA")</f>
        <v xml:space="preserve">          4134 - NON-TAXABLE SALES-SODA</v>
      </c>
      <c r="C48" s="9"/>
      <c r="D48" s="3">
        <f>0</f>
        <v>0</v>
      </c>
      <c r="E48" s="3"/>
      <c r="F48" s="26"/>
      <c r="G48" s="3"/>
      <c r="H48" s="3">
        <f>0</f>
        <v>0</v>
      </c>
      <c r="I48" s="3"/>
      <c r="J48" s="26"/>
      <c r="K48" s="3"/>
      <c r="L48" s="3">
        <f t="shared" si="4"/>
        <v>0</v>
      </c>
      <c r="M48" s="3"/>
      <c r="N48" s="26">
        <f t="shared" si="5"/>
        <v>0</v>
      </c>
      <c r="O48" s="9"/>
      <c r="P48" s="3">
        <f>0</f>
        <v>0</v>
      </c>
      <c r="Q48" s="3"/>
      <c r="R48" s="26"/>
      <c r="S48" s="3"/>
      <c r="T48" s="3">
        <f>--45.53</f>
        <v>45.53</v>
      </c>
      <c r="U48" s="3"/>
      <c r="V48" s="26"/>
      <c r="W48" s="3"/>
      <c r="X48" s="3">
        <f t="shared" si="6"/>
        <v>-45.53</v>
      </c>
      <c r="Y48" s="3"/>
      <c r="Z48" s="26">
        <f t="shared" si="7"/>
        <v>-1</v>
      </c>
    </row>
    <row r="49" spans="1:26" s="69" customFormat="1" ht="15" hidden="1" customHeight="1" outlineLevel="1" x14ac:dyDescent="0.3">
      <c r="A49" s="47"/>
      <c r="B49" s="9" t="str">
        <f>CONCATENATE("          ","4137"," - ","NON-TAXABLE SALES-WATER")</f>
        <v xml:space="preserve">          4137 - NON-TAXABLE SALES-WATER</v>
      </c>
      <c r="C49" s="9"/>
      <c r="D49" s="3">
        <f>0</f>
        <v>0</v>
      </c>
      <c r="E49" s="3"/>
      <c r="F49" s="26"/>
      <c r="G49" s="3"/>
      <c r="H49" s="3">
        <f>0</f>
        <v>0</v>
      </c>
      <c r="I49" s="3"/>
      <c r="J49" s="26"/>
      <c r="K49" s="3"/>
      <c r="L49" s="3">
        <f t="shared" si="4"/>
        <v>0</v>
      </c>
      <c r="M49" s="3"/>
      <c r="N49" s="26">
        <f t="shared" si="5"/>
        <v>0</v>
      </c>
      <c r="O49" s="9"/>
      <c r="P49" s="3">
        <f>0</f>
        <v>0</v>
      </c>
      <c r="Q49" s="3"/>
      <c r="R49" s="26"/>
      <c r="S49" s="3"/>
      <c r="T49" s="3">
        <f>--68.25</f>
        <v>68.25</v>
      </c>
      <c r="U49" s="3"/>
      <c r="V49" s="26"/>
      <c r="W49" s="3"/>
      <c r="X49" s="3">
        <f t="shared" si="6"/>
        <v>-68.25</v>
      </c>
      <c r="Y49" s="3"/>
      <c r="Z49" s="26">
        <f t="shared" si="7"/>
        <v>-1</v>
      </c>
    </row>
    <row r="50" spans="1:26" s="69" customFormat="1" ht="15" hidden="1" customHeight="1" outlineLevel="1" x14ac:dyDescent="0.3">
      <c r="A50" s="47"/>
      <c r="B50" s="9" t="str">
        <f>CONCATENATE("          ","4140"," - ","NON-TAXABLE SALES-LOGO CLOTHIN")</f>
        <v xml:space="preserve">          4140 - NON-TAXABLE SALES-LOGO CLOTHIN</v>
      </c>
      <c r="C50" s="9"/>
      <c r="D50" s="3">
        <f>0</f>
        <v>0</v>
      </c>
      <c r="E50" s="3"/>
      <c r="F50" s="26"/>
      <c r="G50" s="3"/>
      <c r="H50" s="3">
        <f>--9520.45</f>
        <v>9520.4500000000007</v>
      </c>
      <c r="I50" s="3"/>
      <c r="J50" s="26"/>
      <c r="K50" s="3"/>
      <c r="L50" s="3">
        <f t="shared" si="4"/>
        <v>-9520.4500000000007</v>
      </c>
      <c r="M50" s="3"/>
      <c r="N50" s="26">
        <f t="shared" si="5"/>
        <v>-1</v>
      </c>
      <c r="O50" s="9"/>
      <c r="P50" s="3">
        <f>0</f>
        <v>0</v>
      </c>
      <c r="Q50" s="3"/>
      <c r="R50" s="26"/>
      <c r="S50" s="3"/>
      <c r="T50" s="3">
        <f>--181046.21</f>
        <v>181046.21</v>
      </c>
      <c r="U50" s="3"/>
      <c r="V50" s="26"/>
      <c r="W50" s="3"/>
      <c r="X50" s="3">
        <f t="shared" si="6"/>
        <v>-181046.21</v>
      </c>
      <c r="Y50" s="3"/>
      <c r="Z50" s="26">
        <f t="shared" si="7"/>
        <v>-1</v>
      </c>
    </row>
    <row r="51" spans="1:26" s="69" customFormat="1" ht="15" hidden="1" customHeight="1" outlineLevel="1" x14ac:dyDescent="0.3">
      <c r="A51" s="47"/>
      <c r="B51" s="9" t="str">
        <f>CONCATENATE("          ","4141"," - ","NON-TAXABLE SALES-LOGO GIFTS")</f>
        <v xml:space="preserve">          4141 - NON-TAXABLE SALES-LOGO GIFTS</v>
      </c>
      <c r="C51" s="9"/>
      <c r="D51" s="3">
        <f>0</f>
        <v>0</v>
      </c>
      <c r="E51" s="3"/>
      <c r="F51" s="26"/>
      <c r="G51" s="3"/>
      <c r="H51" s="3">
        <f>-25127.54</f>
        <v>-25127.54</v>
      </c>
      <c r="I51" s="3"/>
      <c r="J51" s="26"/>
      <c r="K51" s="3"/>
      <c r="L51" s="3">
        <f t="shared" si="4"/>
        <v>25127.54</v>
      </c>
      <c r="M51" s="3"/>
      <c r="N51" s="26">
        <f t="shared" si="5"/>
        <v>-1</v>
      </c>
      <c r="O51" s="9"/>
      <c r="P51" s="3">
        <f>0</f>
        <v>0</v>
      </c>
      <c r="Q51" s="3"/>
      <c r="R51" s="26"/>
      <c r="S51" s="3"/>
      <c r="T51" s="3">
        <f>--14028.49</f>
        <v>14028.49</v>
      </c>
      <c r="U51" s="3"/>
      <c r="V51" s="26"/>
      <c r="W51" s="3"/>
      <c r="X51" s="3">
        <f t="shared" si="6"/>
        <v>-14028.49</v>
      </c>
      <c r="Y51" s="3"/>
      <c r="Z51" s="26">
        <f t="shared" si="7"/>
        <v>-1</v>
      </c>
    </row>
    <row r="52" spans="1:26" s="69" customFormat="1" ht="15" hidden="1" customHeight="1" outlineLevel="1" x14ac:dyDescent="0.3">
      <c r="A52" s="47"/>
      <c r="B52" s="9" t="str">
        <f>CONCATENATE("          ","4142"," - ","NON-TAXABLE SALES-EVERYDAY GIF")</f>
        <v xml:space="preserve">          4142 - NON-TAXABLE SALES-EVERYDAY GIF</v>
      </c>
      <c r="C52" s="9"/>
      <c r="D52" s="3">
        <f>0</f>
        <v>0</v>
      </c>
      <c r="E52" s="3"/>
      <c r="F52" s="26"/>
      <c r="G52" s="3"/>
      <c r="H52" s="3">
        <f>--54.07</f>
        <v>54.07</v>
      </c>
      <c r="I52" s="3"/>
      <c r="J52" s="26"/>
      <c r="K52" s="3"/>
      <c r="L52" s="3">
        <f t="shared" si="4"/>
        <v>-54.07</v>
      </c>
      <c r="M52" s="3"/>
      <c r="N52" s="26">
        <f t="shared" si="5"/>
        <v>-1</v>
      </c>
      <c r="O52" s="9"/>
      <c r="P52" s="3">
        <f>0</f>
        <v>0</v>
      </c>
      <c r="Q52" s="3"/>
      <c r="R52" s="26"/>
      <c r="S52" s="3"/>
      <c r="T52" s="3">
        <f>--2658.52</f>
        <v>2658.52</v>
      </c>
      <c r="U52" s="3"/>
      <c r="V52" s="26"/>
      <c r="W52" s="3"/>
      <c r="X52" s="3">
        <f t="shared" si="6"/>
        <v>-2658.52</v>
      </c>
      <c r="Y52" s="3"/>
      <c r="Z52" s="26">
        <f t="shared" si="7"/>
        <v>-1</v>
      </c>
    </row>
    <row r="53" spans="1:26" s="69" customFormat="1" ht="15" hidden="1" customHeight="1" outlineLevel="1" x14ac:dyDescent="0.3">
      <c r="A53" s="47"/>
      <c r="B53" s="9" t="str">
        <f>CONCATENATE("          ","4143"," - ","NON-TAXABLE SALES-CARDS")</f>
        <v xml:space="preserve">          4143 - NON-TAXABLE SALES-CARDS</v>
      </c>
      <c r="C53" s="9"/>
      <c r="D53" s="3">
        <f>0</f>
        <v>0</v>
      </c>
      <c r="E53" s="3"/>
      <c r="F53" s="26"/>
      <c r="G53" s="3"/>
      <c r="H53" s="3">
        <f>--9.95</f>
        <v>9.9499999999999993</v>
      </c>
      <c r="I53" s="3"/>
      <c r="J53" s="26"/>
      <c r="K53" s="3"/>
      <c r="L53" s="3">
        <f t="shared" si="4"/>
        <v>-9.9499999999999993</v>
      </c>
      <c r="M53" s="3"/>
      <c r="N53" s="26">
        <f t="shared" si="5"/>
        <v>-1</v>
      </c>
      <c r="O53" s="9"/>
      <c r="P53" s="3">
        <f>0</f>
        <v>0</v>
      </c>
      <c r="Q53" s="3"/>
      <c r="R53" s="26"/>
      <c r="S53" s="3"/>
      <c r="T53" s="3">
        <f>--2562.11</f>
        <v>2562.11</v>
      </c>
      <c r="U53" s="3"/>
      <c r="V53" s="26"/>
      <c r="W53" s="3"/>
      <c r="X53" s="3">
        <f t="shared" si="6"/>
        <v>-2562.11</v>
      </c>
      <c r="Y53" s="3"/>
      <c r="Z53" s="26">
        <f t="shared" si="7"/>
        <v>-1</v>
      </c>
    </row>
    <row r="54" spans="1:26" s="69" customFormat="1" ht="15" hidden="1" customHeight="1" outlineLevel="1" x14ac:dyDescent="0.3">
      <c r="A54" s="47"/>
      <c r="B54" s="9" t="str">
        <f>CONCATENATE("          ","4144"," - ","NON-TAXABLE SALES-ACCESSORIES")</f>
        <v xml:space="preserve">          4144 - NON-TAXABLE SALES-ACCESSORIES</v>
      </c>
      <c r="C54" s="9"/>
      <c r="D54" s="3">
        <f>0</f>
        <v>0</v>
      </c>
      <c r="E54" s="3"/>
      <c r="F54" s="26"/>
      <c r="G54" s="3"/>
      <c r="H54" s="3">
        <f>--129.75</f>
        <v>129.75</v>
      </c>
      <c r="I54" s="3"/>
      <c r="J54" s="26"/>
      <c r="K54" s="3"/>
      <c r="L54" s="3">
        <f t="shared" si="4"/>
        <v>-129.75</v>
      </c>
      <c r="M54" s="3"/>
      <c r="N54" s="26">
        <f t="shared" si="5"/>
        <v>-1</v>
      </c>
      <c r="O54" s="9"/>
      <c r="P54" s="3">
        <f>0</f>
        <v>0</v>
      </c>
      <c r="Q54" s="3"/>
      <c r="R54" s="26"/>
      <c r="S54" s="3"/>
      <c r="T54" s="3">
        <f>--1003.55</f>
        <v>1003.55</v>
      </c>
      <c r="U54" s="3"/>
      <c r="V54" s="26"/>
      <c r="W54" s="3"/>
      <c r="X54" s="3">
        <f t="shared" si="6"/>
        <v>-1003.55</v>
      </c>
      <c r="Y54" s="3"/>
      <c r="Z54" s="26">
        <f t="shared" si="7"/>
        <v>-1</v>
      </c>
    </row>
    <row r="55" spans="1:26" s="69" customFormat="1" ht="15" hidden="1" customHeight="1" outlineLevel="1" x14ac:dyDescent="0.3">
      <c r="A55" s="47"/>
      <c r="B55" s="9" t="str">
        <f>CONCATENATE("          ","4145"," - ","NON-TAXABLE SALES-SPECIAL ORDE")</f>
        <v xml:space="preserve">          4145 - NON-TAXABLE SALES-SPECIAL ORDE</v>
      </c>
      <c r="C55" s="9"/>
      <c r="D55" s="3">
        <f>0</f>
        <v>0</v>
      </c>
      <c r="E55" s="3"/>
      <c r="F55" s="26"/>
      <c r="G55" s="3"/>
      <c r="H55" s="3">
        <f>--30</f>
        <v>30</v>
      </c>
      <c r="I55" s="3"/>
      <c r="J55" s="26"/>
      <c r="K55" s="3"/>
      <c r="L55" s="3">
        <f t="shared" si="4"/>
        <v>-30</v>
      </c>
      <c r="M55" s="3"/>
      <c r="N55" s="26">
        <f t="shared" si="5"/>
        <v>-1</v>
      </c>
      <c r="O55" s="9"/>
      <c r="P55" s="3">
        <f>0</f>
        <v>0</v>
      </c>
      <c r="Q55" s="3"/>
      <c r="R55" s="26"/>
      <c r="S55" s="3"/>
      <c r="T55" s="3">
        <f>--74096.89</f>
        <v>74096.89</v>
      </c>
      <c r="U55" s="3"/>
      <c r="V55" s="26"/>
      <c r="W55" s="3"/>
      <c r="X55" s="3">
        <f t="shared" si="6"/>
        <v>-74096.89</v>
      </c>
      <c r="Y55" s="3"/>
      <c r="Z55" s="26">
        <f t="shared" si="7"/>
        <v>-1</v>
      </c>
    </row>
    <row r="56" spans="1:26" s="69" customFormat="1" ht="15" hidden="1" customHeight="1" outlineLevel="1" x14ac:dyDescent="0.3">
      <c r="A56" s="47"/>
      <c r="B56" s="9" t="str">
        <f>CONCATENATE("          ","4146"," - ","NON-TAXABLE SALES-COIN OP MACH")</f>
        <v xml:space="preserve">          4146 - NON-TAXABLE SALES-COIN OP MACH</v>
      </c>
      <c r="C56" s="9"/>
      <c r="D56" s="3">
        <f>0</f>
        <v>0</v>
      </c>
      <c r="E56" s="3"/>
      <c r="F56" s="26"/>
      <c r="G56" s="3"/>
      <c r="H56" s="3">
        <f>--282.2</f>
        <v>282.2</v>
      </c>
      <c r="I56" s="3"/>
      <c r="J56" s="26"/>
      <c r="K56" s="3"/>
      <c r="L56" s="3">
        <f t="shared" si="4"/>
        <v>-282.2</v>
      </c>
      <c r="M56" s="3"/>
      <c r="N56" s="26">
        <f t="shared" si="5"/>
        <v>-1</v>
      </c>
      <c r="O56" s="9"/>
      <c r="P56" s="3">
        <f>0</f>
        <v>0</v>
      </c>
      <c r="Q56" s="3"/>
      <c r="R56" s="26"/>
      <c r="S56" s="3"/>
      <c r="T56" s="3">
        <f>--668.1</f>
        <v>668.1</v>
      </c>
      <c r="U56" s="3"/>
      <c r="V56" s="26"/>
      <c r="W56" s="3"/>
      <c r="X56" s="3">
        <f t="shared" si="6"/>
        <v>-668.1</v>
      </c>
      <c r="Y56" s="3"/>
      <c r="Z56" s="26">
        <f t="shared" si="7"/>
        <v>-1</v>
      </c>
    </row>
    <row r="57" spans="1:26" s="69" customFormat="1" ht="15" hidden="1" customHeight="1" outlineLevel="1" x14ac:dyDescent="0.3">
      <c r="A57" s="47"/>
      <c r="B57" s="9" t="str">
        <f>CONCATENATE("          ","4147"," - ","NON-TAXABLE SALES-MISC")</f>
        <v xml:space="preserve">          4147 - NON-TAXABLE SALES-MISC</v>
      </c>
      <c r="C57" s="9"/>
      <c r="D57" s="3">
        <f>0</f>
        <v>0</v>
      </c>
      <c r="E57" s="3"/>
      <c r="F57" s="26"/>
      <c r="G57" s="3"/>
      <c r="H57" s="3">
        <f>--4</f>
        <v>4</v>
      </c>
      <c r="I57" s="3"/>
      <c r="J57" s="26"/>
      <c r="K57" s="3"/>
      <c r="L57" s="3">
        <f t="shared" si="4"/>
        <v>-4</v>
      </c>
      <c r="M57" s="3"/>
      <c r="N57" s="26">
        <f t="shared" si="5"/>
        <v>-1</v>
      </c>
      <c r="O57" s="9"/>
      <c r="P57" s="3">
        <f>0</f>
        <v>0</v>
      </c>
      <c r="Q57" s="3"/>
      <c r="R57" s="26"/>
      <c r="S57" s="3"/>
      <c r="T57" s="3">
        <f>--172</f>
        <v>172</v>
      </c>
      <c r="U57" s="3"/>
      <c r="V57" s="26"/>
      <c r="W57" s="3"/>
      <c r="X57" s="3">
        <f t="shared" si="6"/>
        <v>-172</v>
      </c>
      <c r="Y57" s="3"/>
      <c r="Z57" s="26">
        <f t="shared" si="7"/>
        <v>-1</v>
      </c>
    </row>
    <row r="58" spans="1:26" s="69" customFormat="1" ht="15" hidden="1" customHeight="1" outlineLevel="1" x14ac:dyDescent="0.3">
      <c r="A58" s="47"/>
      <c r="B58" s="9" t="str">
        <f>CONCATENATE("          ","4200"," - ","TAXABLE RETURNS")</f>
        <v xml:space="preserve">          4200 - TAXABLE RETURNS</v>
      </c>
      <c r="C58" s="9"/>
      <c r="D58" s="3">
        <f>-20727.59</f>
        <v>-20727.59</v>
      </c>
      <c r="E58" s="3"/>
      <c r="F58" s="26"/>
      <c r="G58" s="3"/>
      <c r="H58" s="3">
        <f>0</f>
        <v>0</v>
      </c>
      <c r="I58" s="3"/>
      <c r="J58" s="26"/>
      <c r="K58" s="3"/>
      <c r="L58" s="3">
        <f t="shared" si="4"/>
        <v>-20727.59</v>
      </c>
      <c r="M58" s="3"/>
      <c r="N58" s="26">
        <f t="shared" si="5"/>
        <v>0</v>
      </c>
      <c r="O58" s="9"/>
      <c r="P58" s="3">
        <f>-236811.43</f>
        <v>-236811.43</v>
      </c>
      <c r="Q58" s="3"/>
      <c r="R58" s="26"/>
      <c r="S58" s="3"/>
      <c r="T58" s="3">
        <f>0</f>
        <v>0</v>
      </c>
      <c r="U58" s="3"/>
      <c r="V58" s="26"/>
      <c r="W58" s="3"/>
      <c r="X58" s="3">
        <f t="shared" si="6"/>
        <v>-236811.43</v>
      </c>
      <c r="Y58" s="3"/>
      <c r="Z58" s="26">
        <f t="shared" si="7"/>
        <v>0</v>
      </c>
    </row>
    <row r="59" spans="1:26" s="69" customFormat="1" ht="15" hidden="1" customHeight="1" outlineLevel="1" x14ac:dyDescent="0.3">
      <c r="A59" s="47"/>
      <c r="B59" s="9" t="str">
        <f>CONCATENATE("          ","4201"," - ","SALES RETURN TAXABLE-NEW TEXT")</f>
        <v xml:space="preserve">          4201 - SALES RETURN TAXABLE-NEW TEXT</v>
      </c>
      <c r="C59" s="9"/>
      <c r="D59" s="3">
        <f>0</f>
        <v>0</v>
      </c>
      <c r="E59" s="3"/>
      <c r="F59" s="26"/>
      <c r="G59" s="3"/>
      <c r="H59" s="3">
        <f>-1101.25</f>
        <v>-1101.25</v>
      </c>
      <c r="I59" s="3"/>
      <c r="J59" s="26"/>
      <c r="K59" s="3"/>
      <c r="L59" s="3">
        <f t="shared" si="4"/>
        <v>1101.25</v>
      </c>
      <c r="M59" s="3"/>
      <c r="N59" s="26">
        <f t="shared" si="5"/>
        <v>-1</v>
      </c>
      <c r="O59" s="9"/>
      <c r="P59" s="3">
        <f>0</f>
        <v>0</v>
      </c>
      <c r="Q59" s="3"/>
      <c r="R59" s="26"/>
      <c r="S59" s="3"/>
      <c r="T59" s="3">
        <f>-53397.67</f>
        <v>-53397.67</v>
      </c>
      <c r="U59" s="3"/>
      <c r="V59" s="26"/>
      <c r="W59" s="3"/>
      <c r="X59" s="3">
        <f t="shared" si="6"/>
        <v>53397.67</v>
      </c>
      <c r="Y59" s="3"/>
      <c r="Z59" s="26">
        <f t="shared" si="7"/>
        <v>-1</v>
      </c>
    </row>
    <row r="60" spans="1:26" s="69" customFormat="1" ht="15" hidden="1" customHeight="1" outlineLevel="1" x14ac:dyDescent="0.3">
      <c r="A60" s="47"/>
      <c r="B60" s="9" t="str">
        <f>CONCATENATE("          ","4202"," - ","SALES RETURN TAXABLE-USED TEXT")</f>
        <v xml:space="preserve">          4202 - SALES RETURN TAXABLE-USED TEXT</v>
      </c>
      <c r="C60" s="9"/>
      <c r="D60" s="3">
        <f>0</f>
        <v>0</v>
      </c>
      <c r="E60" s="3"/>
      <c r="F60" s="26"/>
      <c r="G60" s="3"/>
      <c r="H60" s="3">
        <f>-433.75</f>
        <v>-433.75</v>
      </c>
      <c r="I60" s="3"/>
      <c r="J60" s="26"/>
      <c r="K60" s="3"/>
      <c r="L60" s="3">
        <f t="shared" si="4"/>
        <v>433.75</v>
      </c>
      <c r="M60" s="3"/>
      <c r="N60" s="26">
        <f t="shared" si="5"/>
        <v>-1</v>
      </c>
      <c r="O60" s="9"/>
      <c r="P60" s="3">
        <f>0</f>
        <v>0</v>
      </c>
      <c r="Q60" s="3"/>
      <c r="R60" s="26"/>
      <c r="S60" s="3"/>
      <c r="T60" s="3">
        <f>-20889.41</f>
        <v>-20889.41</v>
      </c>
      <c r="U60" s="3"/>
      <c r="V60" s="26"/>
      <c r="W60" s="3"/>
      <c r="X60" s="3">
        <f t="shared" si="6"/>
        <v>20889.41</v>
      </c>
      <c r="Y60" s="3"/>
      <c r="Z60" s="26">
        <f t="shared" si="7"/>
        <v>-1</v>
      </c>
    </row>
    <row r="61" spans="1:26" s="69" customFormat="1" ht="15" hidden="1" customHeight="1" outlineLevel="1" x14ac:dyDescent="0.3">
      <c r="A61" s="47"/>
      <c r="B61" s="9" t="str">
        <f>CONCATENATE("          ","4204"," - ","SALES RETURN TAXABLE-DIGITAL T")</f>
        <v xml:space="preserve">          4204 - SALES RETURN TAXABLE-DIGITAL T</v>
      </c>
      <c r="C61" s="9"/>
      <c r="D61" s="3">
        <f>0</f>
        <v>0</v>
      </c>
      <c r="E61" s="3"/>
      <c r="F61" s="26"/>
      <c r="G61" s="3"/>
      <c r="H61" s="3">
        <f>0</f>
        <v>0</v>
      </c>
      <c r="I61" s="3"/>
      <c r="J61" s="26"/>
      <c r="K61" s="3"/>
      <c r="L61" s="3">
        <f t="shared" si="4"/>
        <v>0</v>
      </c>
      <c r="M61" s="3"/>
      <c r="N61" s="26">
        <f t="shared" si="5"/>
        <v>0</v>
      </c>
      <c r="O61" s="9"/>
      <c r="P61" s="3">
        <f>0</f>
        <v>0</v>
      </c>
      <c r="Q61" s="3"/>
      <c r="R61" s="26"/>
      <c r="S61" s="3"/>
      <c r="T61" s="3">
        <f>-1763.1</f>
        <v>-1763.1</v>
      </c>
      <c r="U61" s="3"/>
      <c r="V61" s="26"/>
      <c r="W61" s="3"/>
      <c r="X61" s="3">
        <f t="shared" si="6"/>
        <v>1763.1</v>
      </c>
      <c r="Y61" s="3"/>
      <c r="Z61" s="26">
        <f t="shared" si="7"/>
        <v>-1</v>
      </c>
    </row>
    <row r="62" spans="1:26" s="69" customFormat="1" ht="15" hidden="1" customHeight="1" outlineLevel="1" x14ac:dyDescent="0.3">
      <c r="A62" s="47"/>
      <c r="B62" s="9" t="str">
        <f>CONCATENATE("          ","4213"," - ","NON-TAXABLE SALES-TRADE BOOKS")</f>
        <v xml:space="preserve">          4213 - NON-TAXABLE SALES-TRADE BOOKS</v>
      </c>
      <c r="C62" s="9"/>
      <c r="D62" s="3">
        <f>0</f>
        <v>0</v>
      </c>
      <c r="E62" s="3"/>
      <c r="F62" s="26"/>
      <c r="G62" s="3"/>
      <c r="H62" s="3">
        <f>-25</f>
        <v>-25</v>
      </c>
      <c r="I62" s="3"/>
      <c r="J62" s="26"/>
      <c r="K62" s="3"/>
      <c r="L62" s="3">
        <f t="shared" si="4"/>
        <v>25</v>
      </c>
      <c r="M62" s="3"/>
      <c r="N62" s="26">
        <f t="shared" si="5"/>
        <v>-1</v>
      </c>
      <c r="O62" s="9"/>
      <c r="P62" s="3">
        <f>0</f>
        <v>0</v>
      </c>
      <c r="Q62" s="3"/>
      <c r="R62" s="26"/>
      <c r="S62" s="3"/>
      <c r="T62" s="3">
        <f>-103.92</f>
        <v>-103.92</v>
      </c>
      <c r="U62" s="3"/>
      <c r="V62" s="26"/>
      <c r="W62" s="3"/>
      <c r="X62" s="3">
        <f t="shared" si="6"/>
        <v>103.92</v>
      </c>
      <c r="Y62" s="3"/>
      <c r="Z62" s="26">
        <f t="shared" si="7"/>
        <v>-1</v>
      </c>
    </row>
    <row r="63" spans="1:26" s="69" customFormat="1" ht="15" hidden="1" customHeight="1" outlineLevel="1" x14ac:dyDescent="0.3">
      <c r="A63" s="47"/>
      <c r="B63" s="9" t="str">
        <f>CONCATENATE("          ","4218"," - ","SALES RETURN TAXABLE-STUDY GUI")</f>
        <v xml:space="preserve">          4218 - SALES RETURN TAXABLE-STUDY GUI</v>
      </c>
      <c r="C63" s="9"/>
      <c r="D63" s="3">
        <f>0</f>
        <v>0</v>
      </c>
      <c r="E63" s="3"/>
      <c r="F63" s="26"/>
      <c r="G63" s="3"/>
      <c r="H63" s="3">
        <f>-23.44</f>
        <v>-23.44</v>
      </c>
      <c r="I63" s="3"/>
      <c r="J63" s="26"/>
      <c r="K63" s="3"/>
      <c r="L63" s="3">
        <f t="shared" si="4"/>
        <v>23.44</v>
      </c>
      <c r="M63" s="3"/>
      <c r="N63" s="26">
        <f t="shared" si="5"/>
        <v>-1</v>
      </c>
      <c r="O63" s="9"/>
      <c r="P63" s="3">
        <f>0</f>
        <v>0</v>
      </c>
      <c r="Q63" s="3"/>
      <c r="R63" s="26"/>
      <c r="S63" s="3"/>
      <c r="T63" s="3">
        <f>-28.65</f>
        <v>-28.65</v>
      </c>
      <c r="U63" s="3"/>
      <c r="V63" s="26"/>
      <c r="W63" s="3"/>
      <c r="X63" s="3">
        <f t="shared" si="6"/>
        <v>28.65</v>
      </c>
      <c r="Y63" s="3"/>
      <c r="Z63" s="26">
        <f t="shared" si="7"/>
        <v>-1</v>
      </c>
    </row>
    <row r="64" spans="1:26" s="69" customFormat="1" ht="15" hidden="1" customHeight="1" outlineLevel="1" x14ac:dyDescent="0.3">
      <c r="A64" s="47"/>
      <c r="B64" s="9" t="str">
        <f>CONCATENATE("          ","4226"," - ","SALES RETURN TAXABLE-WRITING I")</f>
        <v xml:space="preserve">          4226 - SALES RETURN TAXABLE-WRITING I</v>
      </c>
      <c r="C64" s="9"/>
      <c r="D64" s="3">
        <f>0</f>
        <v>0</v>
      </c>
      <c r="E64" s="3"/>
      <c r="F64" s="26"/>
      <c r="G64" s="3"/>
      <c r="H64" s="3">
        <f>0</f>
        <v>0</v>
      </c>
      <c r="I64" s="3"/>
      <c r="J64" s="26"/>
      <c r="K64" s="3"/>
      <c r="L64" s="3">
        <f t="shared" si="4"/>
        <v>0</v>
      </c>
      <c r="M64" s="3"/>
      <c r="N64" s="26">
        <f t="shared" si="5"/>
        <v>0</v>
      </c>
      <c r="O64" s="9"/>
      <c r="P64" s="3">
        <f>0</f>
        <v>0</v>
      </c>
      <c r="Q64" s="3"/>
      <c r="R64" s="26"/>
      <c r="S64" s="3"/>
      <c r="T64" s="3">
        <f>-35.02</f>
        <v>-35.020000000000003</v>
      </c>
      <c r="U64" s="3"/>
      <c r="V64" s="26"/>
      <c r="W64" s="3"/>
      <c r="X64" s="3">
        <f t="shared" si="6"/>
        <v>35.020000000000003</v>
      </c>
      <c r="Y64" s="3"/>
      <c r="Z64" s="26">
        <f t="shared" si="7"/>
        <v>-1</v>
      </c>
    </row>
    <row r="65" spans="1:26" s="69" customFormat="1" ht="15" hidden="1" customHeight="1" outlineLevel="1" x14ac:dyDescent="0.3">
      <c r="A65" s="47"/>
      <c r="B65" s="9" t="str">
        <f>CONCATENATE("          ","4227"," - ","SALES RETURN TAXABLE-SCHOOL SU")</f>
        <v xml:space="preserve">          4227 - SALES RETURN TAXABLE-SCHOOL SU</v>
      </c>
      <c r="C65" s="9"/>
      <c r="D65" s="3">
        <f>0</f>
        <v>0</v>
      </c>
      <c r="E65" s="3"/>
      <c r="F65" s="26"/>
      <c r="G65" s="3"/>
      <c r="H65" s="3">
        <f>-80.63</f>
        <v>-80.63</v>
      </c>
      <c r="I65" s="3"/>
      <c r="J65" s="26"/>
      <c r="K65" s="3"/>
      <c r="L65" s="3">
        <f t="shared" si="4"/>
        <v>80.63</v>
      </c>
      <c r="M65" s="3"/>
      <c r="N65" s="26">
        <f t="shared" si="5"/>
        <v>-1</v>
      </c>
      <c r="O65" s="9"/>
      <c r="P65" s="3">
        <f>0</f>
        <v>0</v>
      </c>
      <c r="Q65" s="3"/>
      <c r="R65" s="26"/>
      <c r="S65" s="3"/>
      <c r="T65" s="3">
        <f>-1565.11</f>
        <v>-1565.11</v>
      </c>
      <c r="U65" s="3"/>
      <c r="V65" s="26"/>
      <c r="W65" s="3"/>
      <c r="X65" s="3">
        <f t="shared" si="6"/>
        <v>1565.11</v>
      </c>
      <c r="Y65" s="3"/>
      <c r="Z65" s="26">
        <f t="shared" si="7"/>
        <v>-1</v>
      </c>
    </row>
    <row r="66" spans="1:26" s="69" customFormat="1" ht="15" hidden="1" customHeight="1" outlineLevel="1" x14ac:dyDescent="0.3">
      <c r="A66" s="47"/>
      <c r="B66" s="9" t="str">
        <f>CONCATENATE("          ","4228"," - ","SALES RETURN TAXABLE-ART/TECH")</f>
        <v xml:space="preserve">          4228 - SALES RETURN TAXABLE-ART/TECH</v>
      </c>
      <c r="C66" s="9"/>
      <c r="D66" s="3">
        <f>0</f>
        <v>0</v>
      </c>
      <c r="E66" s="3"/>
      <c r="F66" s="26"/>
      <c r="G66" s="3"/>
      <c r="H66" s="3">
        <f>-105.6</f>
        <v>-105.6</v>
      </c>
      <c r="I66" s="3"/>
      <c r="J66" s="26"/>
      <c r="K66" s="3"/>
      <c r="L66" s="3">
        <f t="shared" si="4"/>
        <v>105.6</v>
      </c>
      <c r="M66" s="3"/>
      <c r="N66" s="26">
        <f t="shared" si="5"/>
        <v>-1</v>
      </c>
      <c r="O66" s="9"/>
      <c r="P66" s="3">
        <f>0</f>
        <v>0</v>
      </c>
      <c r="Q66" s="3"/>
      <c r="R66" s="26"/>
      <c r="S66" s="3"/>
      <c r="T66" s="3">
        <f>-13079.33</f>
        <v>-13079.33</v>
      </c>
      <c r="U66" s="3"/>
      <c r="V66" s="26"/>
      <c r="W66" s="3"/>
      <c r="X66" s="3">
        <f t="shared" si="6"/>
        <v>13079.33</v>
      </c>
      <c r="Y66" s="3"/>
      <c r="Z66" s="26">
        <f t="shared" si="7"/>
        <v>-1</v>
      </c>
    </row>
    <row r="67" spans="1:26" s="69" customFormat="1" ht="15" hidden="1" customHeight="1" outlineLevel="1" x14ac:dyDescent="0.3">
      <c r="A67" s="47"/>
      <c r="B67" s="9" t="str">
        <f>CONCATENATE("          ","4240"," - ","SALES RETURN TAXABLE-LOGO CLOT")</f>
        <v xml:space="preserve">          4240 - SALES RETURN TAXABLE-LOGO CLOT</v>
      </c>
      <c r="C67" s="9"/>
      <c r="D67" s="3">
        <f>0</f>
        <v>0</v>
      </c>
      <c r="E67" s="3"/>
      <c r="F67" s="26"/>
      <c r="G67" s="3"/>
      <c r="H67" s="3">
        <f>-4795.71</f>
        <v>-4795.71</v>
      </c>
      <c r="I67" s="3"/>
      <c r="J67" s="26"/>
      <c r="K67" s="3"/>
      <c r="L67" s="3">
        <f t="shared" si="4"/>
        <v>4795.71</v>
      </c>
      <c r="M67" s="3"/>
      <c r="N67" s="26">
        <f t="shared" si="5"/>
        <v>-1</v>
      </c>
      <c r="O67" s="9"/>
      <c r="P67" s="3">
        <f>0</f>
        <v>0</v>
      </c>
      <c r="Q67" s="3"/>
      <c r="R67" s="26"/>
      <c r="S67" s="3"/>
      <c r="T67" s="3">
        <f>-51889.15</f>
        <v>-51889.15</v>
      </c>
      <c r="U67" s="3"/>
      <c r="V67" s="26"/>
      <c r="W67" s="3"/>
      <c r="X67" s="3">
        <f t="shared" si="6"/>
        <v>51889.15</v>
      </c>
      <c r="Y67" s="3"/>
      <c r="Z67" s="26">
        <f t="shared" si="7"/>
        <v>-1</v>
      </c>
    </row>
    <row r="68" spans="1:26" s="69" customFormat="1" ht="15" hidden="1" customHeight="1" outlineLevel="1" x14ac:dyDescent="0.3">
      <c r="A68" s="47"/>
      <c r="B68" s="9" t="str">
        <f>CONCATENATE("          ","4241"," - ","SALES RETURN TAXABLE-LOGO GIFT")</f>
        <v xml:space="preserve">          4241 - SALES RETURN TAXABLE-LOGO GIFT</v>
      </c>
      <c r="C68" s="9"/>
      <c r="D68" s="3">
        <f>0</f>
        <v>0</v>
      </c>
      <c r="E68" s="3"/>
      <c r="F68" s="26"/>
      <c r="G68" s="3"/>
      <c r="H68" s="3">
        <f>-1907.39</f>
        <v>-1907.39</v>
      </c>
      <c r="I68" s="3"/>
      <c r="J68" s="26"/>
      <c r="K68" s="3"/>
      <c r="L68" s="3">
        <f t="shared" si="4"/>
        <v>1907.39</v>
      </c>
      <c r="M68" s="3"/>
      <c r="N68" s="26">
        <f t="shared" si="5"/>
        <v>-1</v>
      </c>
      <c r="O68" s="9"/>
      <c r="P68" s="3">
        <f>0</f>
        <v>0</v>
      </c>
      <c r="Q68" s="3"/>
      <c r="R68" s="26"/>
      <c r="S68" s="3"/>
      <c r="T68" s="3">
        <f>-18587.93</f>
        <v>-18587.93</v>
      </c>
      <c r="U68" s="3"/>
      <c r="V68" s="26"/>
      <c r="W68" s="3"/>
      <c r="X68" s="3">
        <f t="shared" si="6"/>
        <v>18587.93</v>
      </c>
      <c r="Y68" s="3"/>
      <c r="Z68" s="26">
        <f t="shared" si="7"/>
        <v>-1</v>
      </c>
    </row>
    <row r="69" spans="1:26" s="69" customFormat="1" ht="15" hidden="1" customHeight="1" outlineLevel="1" x14ac:dyDescent="0.3">
      <c r="A69" s="47"/>
      <c r="B69" s="9" t="str">
        <f>CONCATENATE("          ","4242"," - ","SALES RETURN TAXABLE-EVERYDAY")</f>
        <v xml:space="preserve">          4242 - SALES RETURN TAXABLE-EVERYDAY</v>
      </c>
      <c r="C69" s="9"/>
      <c r="D69" s="3">
        <f>0</f>
        <v>0</v>
      </c>
      <c r="E69" s="3"/>
      <c r="F69" s="26"/>
      <c r="G69" s="3"/>
      <c r="H69" s="3">
        <f>-131.98</f>
        <v>-131.97999999999999</v>
      </c>
      <c r="I69" s="3"/>
      <c r="J69" s="26"/>
      <c r="K69" s="3"/>
      <c r="L69" s="3">
        <f t="shared" si="4"/>
        <v>131.97999999999999</v>
      </c>
      <c r="M69" s="3"/>
      <c r="N69" s="26">
        <f t="shared" si="5"/>
        <v>-1</v>
      </c>
      <c r="O69" s="9"/>
      <c r="P69" s="3">
        <f>0</f>
        <v>0</v>
      </c>
      <c r="Q69" s="3"/>
      <c r="R69" s="26"/>
      <c r="S69" s="3"/>
      <c r="T69" s="3">
        <f>-2875.07</f>
        <v>-2875.07</v>
      </c>
      <c r="U69" s="3"/>
      <c r="V69" s="26"/>
      <c r="W69" s="3"/>
      <c r="X69" s="3">
        <f t="shared" si="6"/>
        <v>2875.07</v>
      </c>
      <c r="Y69" s="3"/>
      <c r="Z69" s="26">
        <f t="shared" si="7"/>
        <v>-1</v>
      </c>
    </row>
    <row r="70" spans="1:26" s="69" customFormat="1" ht="15" hidden="1" customHeight="1" outlineLevel="1" x14ac:dyDescent="0.3">
      <c r="A70" s="47"/>
      <c r="B70" s="9" t="str">
        <f>CONCATENATE("          ","4243"," - ","SALES RETURN TAXABLE-CARDS")</f>
        <v xml:space="preserve">          4243 - SALES RETURN TAXABLE-CARDS</v>
      </c>
      <c r="C70" s="9"/>
      <c r="D70" s="3">
        <f>0</f>
        <v>0</v>
      </c>
      <c r="E70" s="3"/>
      <c r="F70" s="26"/>
      <c r="G70" s="3"/>
      <c r="H70" s="3">
        <f>-9.99</f>
        <v>-9.99</v>
      </c>
      <c r="I70" s="3"/>
      <c r="J70" s="26"/>
      <c r="K70" s="3"/>
      <c r="L70" s="3">
        <f t="shared" si="4"/>
        <v>9.99</v>
      </c>
      <c r="M70" s="3"/>
      <c r="N70" s="26">
        <f t="shared" si="5"/>
        <v>-1</v>
      </c>
      <c r="O70" s="9"/>
      <c r="P70" s="3">
        <f>0</f>
        <v>0</v>
      </c>
      <c r="Q70" s="3"/>
      <c r="R70" s="26"/>
      <c r="S70" s="3"/>
      <c r="T70" s="3">
        <f>-6228.98</f>
        <v>-6228.98</v>
      </c>
      <c r="U70" s="3"/>
      <c r="V70" s="26"/>
      <c r="W70" s="3"/>
      <c r="X70" s="3">
        <f t="shared" si="6"/>
        <v>6228.98</v>
      </c>
      <c r="Y70" s="3"/>
      <c r="Z70" s="26">
        <f t="shared" si="7"/>
        <v>-1</v>
      </c>
    </row>
    <row r="71" spans="1:26" s="69" customFormat="1" ht="15" hidden="1" customHeight="1" outlineLevel="1" x14ac:dyDescent="0.3">
      <c r="A71" s="47"/>
      <c r="B71" s="9" t="str">
        <f>CONCATENATE("          ","4244"," - ","SALES RETURN TAXABLE-ACCESSORI")</f>
        <v xml:space="preserve">          4244 - SALES RETURN TAXABLE-ACCESSORI</v>
      </c>
      <c r="C71" s="9"/>
      <c r="D71" s="3">
        <f>0</f>
        <v>0</v>
      </c>
      <c r="E71" s="3"/>
      <c r="F71" s="26"/>
      <c r="G71" s="3"/>
      <c r="H71" s="3">
        <f>-34.84</f>
        <v>-34.840000000000003</v>
      </c>
      <c r="I71" s="3"/>
      <c r="J71" s="26"/>
      <c r="K71" s="3"/>
      <c r="L71" s="3">
        <f t="shared" si="4"/>
        <v>34.840000000000003</v>
      </c>
      <c r="M71" s="3"/>
      <c r="N71" s="26">
        <f t="shared" si="5"/>
        <v>-1</v>
      </c>
      <c r="O71" s="9"/>
      <c r="P71" s="3">
        <f>0</f>
        <v>0</v>
      </c>
      <c r="Q71" s="3"/>
      <c r="R71" s="26"/>
      <c r="S71" s="3"/>
      <c r="T71" s="3">
        <f>-1302.75</f>
        <v>-1302.75</v>
      </c>
      <c r="U71" s="3"/>
      <c r="V71" s="26"/>
      <c r="W71" s="3"/>
      <c r="X71" s="3">
        <f t="shared" si="6"/>
        <v>1302.75</v>
      </c>
      <c r="Y71" s="3"/>
      <c r="Z71" s="26">
        <f t="shared" si="7"/>
        <v>-1</v>
      </c>
    </row>
    <row r="72" spans="1:26" s="69" customFormat="1" ht="15" hidden="1" customHeight="1" outlineLevel="1" x14ac:dyDescent="0.3">
      <c r="A72" s="47"/>
      <c r="B72" s="9" t="str">
        <f>CONCATENATE("          ","4245"," - ","SALES RETURN TAXABLE-SPECIAL O")</f>
        <v xml:space="preserve">          4245 - SALES RETURN TAXABLE-SPECIAL O</v>
      </c>
      <c r="C72" s="9"/>
      <c r="D72" s="3">
        <f>0</f>
        <v>0</v>
      </c>
      <c r="E72" s="3"/>
      <c r="F72" s="26"/>
      <c r="G72" s="3"/>
      <c r="H72" s="3">
        <f>-3318.4</f>
        <v>-3318.4</v>
      </c>
      <c r="I72" s="3"/>
      <c r="J72" s="26"/>
      <c r="K72" s="3"/>
      <c r="L72" s="3">
        <f t="shared" si="4"/>
        <v>3318.4</v>
      </c>
      <c r="M72" s="3"/>
      <c r="N72" s="26">
        <f t="shared" si="5"/>
        <v>-1</v>
      </c>
      <c r="O72" s="9"/>
      <c r="P72" s="3">
        <f>0</f>
        <v>0</v>
      </c>
      <c r="Q72" s="3"/>
      <c r="R72" s="26"/>
      <c r="S72" s="3"/>
      <c r="T72" s="3">
        <f>-18779.13</f>
        <v>-18779.13</v>
      </c>
      <c r="U72" s="3"/>
      <c r="V72" s="26"/>
      <c r="W72" s="3"/>
      <c r="X72" s="3">
        <f t="shared" si="6"/>
        <v>18779.13</v>
      </c>
      <c r="Y72" s="3"/>
      <c r="Z72" s="26">
        <f t="shared" si="7"/>
        <v>-1</v>
      </c>
    </row>
    <row r="73" spans="1:26" s="69" customFormat="1" ht="15" hidden="1" customHeight="1" outlineLevel="1" x14ac:dyDescent="0.3">
      <c r="A73" s="47"/>
      <c r="B73" s="9" t="str">
        <f>CONCATENATE("          ","4300"," - ","NON-TAX RETURNS")</f>
        <v xml:space="preserve">          4300 - NON-TAX RETURNS</v>
      </c>
      <c r="C73" s="9"/>
      <c r="D73" s="3">
        <f>-1514.12</f>
        <v>-1514.12</v>
      </c>
      <c r="E73" s="3"/>
      <c r="F73" s="26"/>
      <c r="G73" s="3"/>
      <c r="H73" s="3">
        <f>0</f>
        <v>0</v>
      </c>
      <c r="I73" s="3"/>
      <c r="J73" s="26"/>
      <c r="K73" s="3"/>
      <c r="L73" s="3">
        <f t="shared" si="4"/>
        <v>-1514.12</v>
      </c>
      <c r="M73" s="3"/>
      <c r="N73" s="26">
        <f t="shared" si="5"/>
        <v>0</v>
      </c>
      <c r="O73" s="9"/>
      <c r="P73" s="3">
        <f>-43285.18</f>
        <v>-43285.18</v>
      </c>
      <c r="Q73" s="3"/>
      <c r="R73" s="26"/>
      <c r="S73" s="3"/>
      <c r="T73" s="3">
        <f>0</f>
        <v>0</v>
      </c>
      <c r="U73" s="3"/>
      <c r="V73" s="26"/>
      <c r="W73" s="3"/>
      <c r="X73" s="3">
        <f t="shared" si="6"/>
        <v>-43285.18</v>
      </c>
      <c r="Y73" s="3"/>
      <c r="Z73" s="26">
        <f t="shared" si="7"/>
        <v>0</v>
      </c>
    </row>
    <row r="74" spans="1:26" s="69" customFormat="1" ht="15" hidden="1" customHeight="1" outlineLevel="1" x14ac:dyDescent="0.3">
      <c r="A74" s="47"/>
      <c r="B74" s="9" t="str">
        <f>CONCATENATE("          ","4301"," - ","SALES RETURN NON TAXABLE-NEW T")</f>
        <v xml:space="preserve">          4301 - SALES RETURN NON TAXABLE-NEW T</v>
      </c>
      <c r="C74" s="9"/>
      <c r="D74" s="3">
        <f>0</f>
        <v>0</v>
      </c>
      <c r="E74" s="3"/>
      <c r="F74" s="26"/>
      <c r="G74" s="3"/>
      <c r="H74" s="3">
        <f>-169.32</f>
        <v>-169.32</v>
      </c>
      <c r="I74" s="3"/>
      <c r="J74" s="26"/>
      <c r="K74" s="3"/>
      <c r="L74" s="3">
        <f t="shared" si="4"/>
        <v>169.32</v>
      </c>
      <c r="M74" s="3"/>
      <c r="N74" s="26">
        <f t="shared" si="5"/>
        <v>-1</v>
      </c>
      <c r="O74" s="9"/>
      <c r="P74" s="3">
        <f>0</f>
        <v>0</v>
      </c>
      <c r="Q74" s="3"/>
      <c r="R74" s="26"/>
      <c r="S74" s="3"/>
      <c r="T74" s="3">
        <f>-4965.68</f>
        <v>-4965.68</v>
      </c>
      <c r="U74" s="3"/>
      <c r="V74" s="26"/>
      <c r="W74" s="3"/>
      <c r="X74" s="3">
        <f t="shared" si="6"/>
        <v>4965.68</v>
      </c>
      <c r="Y74" s="3"/>
      <c r="Z74" s="26">
        <f t="shared" si="7"/>
        <v>-1</v>
      </c>
    </row>
    <row r="75" spans="1:26" s="69" customFormat="1" ht="15" hidden="1" customHeight="1" outlineLevel="1" x14ac:dyDescent="0.3">
      <c r="A75" s="47"/>
      <c r="B75" s="9" t="str">
        <f>CONCATENATE("          ","4302"," - ","SALES RETURN NON TAXABLE-TEXT")</f>
        <v xml:space="preserve">          4302 - SALES RETURN NON TAXABLE-TEXT</v>
      </c>
      <c r="C75" s="9"/>
      <c r="D75" s="3">
        <f>0</f>
        <v>0</v>
      </c>
      <c r="E75" s="3"/>
      <c r="F75" s="26"/>
      <c r="G75" s="3"/>
      <c r="H75" s="3">
        <f>-111.43</f>
        <v>-111.43</v>
      </c>
      <c r="I75" s="3"/>
      <c r="J75" s="26"/>
      <c r="K75" s="3"/>
      <c r="L75" s="3">
        <f t="shared" si="4"/>
        <v>111.43</v>
      </c>
      <c r="M75" s="3"/>
      <c r="N75" s="26">
        <f t="shared" si="5"/>
        <v>-1</v>
      </c>
      <c r="O75" s="9"/>
      <c r="P75" s="3">
        <f>0</f>
        <v>0</v>
      </c>
      <c r="Q75" s="3"/>
      <c r="R75" s="26"/>
      <c r="S75" s="3"/>
      <c r="T75" s="3">
        <f>-2688.97</f>
        <v>-2688.97</v>
      </c>
      <c r="U75" s="3"/>
      <c r="V75" s="26"/>
      <c r="W75" s="3"/>
      <c r="X75" s="3">
        <f t="shared" si="6"/>
        <v>2688.97</v>
      </c>
      <c r="Y75" s="3"/>
      <c r="Z75" s="26">
        <f t="shared" si="7"/>
        <v>-1</v>
      </c>
    </row>
    <row r="76" spans="1:26" s="69" customFormat="1" ht="15" hidden="1" customHeight="1" outlineLevel="1" x14ac:dyDescent="0.3">
      <c r="A76" s="47"/>
      <c r="B76" s="9" t="str">
        <f>CONCATENATE("          ","4304"," - ","SALES RETURN NON TAXABLE-DIGIT")</f>
        <v xml:space="preserve">          4304 - SALES RETURN NON TAXABLE-DIGIT</v>
      </c>
      <c r="C76" s="9"/>
      <c r="D76" s="3">
        <f>0</f>
        <v>0</v>
      </c>
      <c r="E76" s="3"/>
      <c r="F76" s="26"/>
      <c r="G76" s="3"/>
      <c r="H76" s="3">
        <f>-144.89</f>
        <v>-144.88999999999999</v>
      </c>
      <c r="I76" s="3"/>
      <c r="J76" s="26"/>
      <c r="K76" s="3"/>
      <c r="L76" s="3">
        <f t="shared" ref="L76:L81" si="8">+D76-H76</f>
        <v>144.88999999999999</v>
      </c>
      <c r="M76" s="3"/>
      <c r="N76" s="26">
        <f t="shared" ref="N76:N81" si="9">IF(H76=0,0,L76/H76)</f>
        <v>-1</v>
      </c>
      <c r="O76" s="9"/>
      <c r="P76" s="3">
        <f>0</f>
        <v>0</v>
      </c>
      <c r="Q76" s="3"/>
      <c r="R76" s="26"/>
      <c r="S76" s="3"/>
      <c r="T76" s="3">
        <f>-31026.87</f>
        <v>-31026.87</v>
      </c>
      <c r="U76" s="3"/>
      <c r="V76" s="26"/>
      <c r="W76" s="3"/>
      <c r="X76" s="3">
        <f t="shared" ref="X76:X81" si="10">+P76-T76</f>
        <v>31026.87</v>
      </c>
      <c r="Y76" s="3"/>
      <c r="Z76" s="26">
        <f t="shared" ref="Z76:Z81" si="11">IF(T76=0,0,X76/T76)</f>
        <v>-1</v>
      </c>
    </row>
    <row r="77" spans="1:26" s="69" customFormat="1" ht="15" hidden="1" customHeight="1" outlineLevel="1" x14ac:dyDescent="0.3">
      <c r="A77" s="47"/>
      <c r="B77" s="9" t="str">
        <f>CONCATENATE("          ","4327"," - ","SALES RETURN NON TAXABLE-SCHOO")</f>
        <v xml:space="preserve">          4327 - SALES RETURN NON TAXABLE-SCHOO</v>
      </c>
      <c r="C77" s="9"/>
      <c r="D77" s="3">
        <f>0</f>
        <v>0</v>
      </c>
      <c r="E77" s="3"/>
      <c r="F77" s="26"/>
      <c r="G77" s="3"/>
      <c r="H77" s="3">
        <f>0</f>
        <v>0</v>
      </c>
      <c r="I77" s="3"/>
      <c r="J77" s="26"/>
      <c r="K77" s="3"/>
      <c r="L77" s="3">
        <f t="shared" si="8"/>
        <v>0</v>
      </c>
      <c r="M77" s="3"/>
      <c r="N77" s="26">
        <f t="shared" si="9"/>
        <v>0</v>
      </c>
      <c r="O77" s="9"/>
      <c r="P77" s="3">
        <f>0</f>
        <v>0</v>
      </c>
      <c r="Q77" s="3"/>
      <c r="R77" s="26"/>
      <c r="S77" s="3"/>
      <c r="T77" s="3">
        <f>-17.41</f>
        <v>-17.41</v>
      </c>
      <c r="U77" s="3"/>
      <c r="V77" s="26"/>
      <c r="W77" s="3"/>
      <c r="X77" s="3">
        <f t="shared" si="10"/>
        <v>17.41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","4340"," - ","SALES RETURN NON TAXABLE-LOGO")</f>
        <v xml:space="preserve">          4340 - SALES RETURN NON TAXABLE-LOGO</v>
      </c>
      <c r="C78" s="9"/>
      <c r="D78" s="3">
        <f>0</f>
        <v>0</v>
      </c>
      <c r="E78" s="3"/>
      <c r="F78" s="26"/>
      <c r="G78" s="3"/>
      <c r="H78" s="3">
        <f>-286.5</f>
        <v>-286.5</v>
      </c>
      <c r="I78" s="3"/>
      <c r="J78" s="26"/>
      <c r="K78" s="3"/>
      <c r="L78" s="3">
        <f t="shared" si="8"/>
        <v>286.5</v>
      </c>
      <c r="M78" s="3"/>
      <c r="N78" s="26">
        <f t="shared" si="9"/>
        <v>-1</v>
      </c>
      <c r="O78" s="9"/>
      <c r="P78" s="3">
        <f>0</f>
        <v>0</v>
      </c>
      <c r="Q78" s="3"/>
      <c r="R78" s="26"/>
      <c r="S78" s="3"/>
      <c r="T78" s="3">
        <f>-3737.76</f>
        <v>-3737.76</v>
      </c>
      <c r="U78" s="3"/>
      <c r="V78" s="26"/>
      <c r="W78" s="3"/>
      <c r="X78" s="3">
        <f t="shared" si="10"/>
        <v>3737.76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","4341"," - ","SALES RETURN NON TAXABLE-LOGO")</f>
        <v xml:space="preserve">          4341 - SALES RETURN NON TAXABLE-LOGO</v>
      </c>
      <c r="C79" s="9"/>
      <c r="D79" s="3">
        <f>0</f>
        <v>0</v>
      </c>
      <c r="E79" s="3"/>
      <c r="F79" s="26"/>
      <c r="G79" s="3"/>
      <c r="H79" s="3">
        <f>-20.85</f>
        <v>-20.85</v>
      </c>
      <c r="I79" s="3"/>
      <c r="J79" s="26"/>
      <c r="K79" s="3"/>
      <c r="L79" s="3">
        <f t="shared" si="8"/>
        <v>20.85</v>
      </c>
      <c r="M79" s="3"/>
      <c r="N79" s="26">
        <f t="shared" si="9"/>
        <v>-1</v>
      </c>
      <c r="O79" s="9"/>
      <c r="P79" s="3">
        <f>0</f>
        <v>0</v>
      </c>
      <c r="Q79" s="3"/>
      <c r="R79" s="26"/>
      <c r="S79" s="3"/>
      <c r="T79" s="3">
        <f>-527.59</f>
        <v>-527.59</v>
      </c>
      <c r="U79" s="3"/>
      <c r="V79" s="26"/>
      <c r="W79" s="3"/>
      <c r="X79" s="3">
        <f t="shared" si="10"/>
        <v>527.59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","4342"," - ","SALES RETURN NON TAXABLE-EVERY")</f>
        <v xml:space="preserve">          4342 - SALES RETURN NON TAXABLE-EVERY</v>
      </c>
      <c r="C80" s="9"/>
      <c r="D80" s="3">
        <f>0</f>
        <v>0</v>
      </c>
      <c r="E80" s="3"/>
      <c r="F80" s="26"/>
      <c r="G80" s="3"/>
      <c r="H80" s="3">
        <f>0</f>
        <v>0</v>
      </c>
      <c r="I80" s="3"/>
      <c r="J80" s="26"/>
      <c r="K80" s="3"/>
      <c r="L80" s="3">
        <f t="shared" si="8"/>
        <v>0</v>
      </c>
      <c r="M80" s="3"/>
      <c r="N80" s="26">
        <f t="shared" si="9"/>
        <v>0</v>
      </c>
      <c r="O80" s="9"/>
      <c r="P80" s="3">
        <f>0</f>
        <v>0</v>
      </c>
      <c r="Q80" s="3"/>
      <c r="R80" s="26"/>
      <c r="S80" s="3"/>
      <c r="T80" s="3">
        <f>-118.7</f>
        <v>-118.7</v>
      </c>
      <c r="U80" s="3"/>
      <c r="V80" s="26"/>
      <c r="W80" s="3"/>
      <c r="X80" s="3">
        <f t="shared" si="10"/>
        <v>118.7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","4500"," - ","SALES DISCOUNT")</f>
        <v xml:space="preserve">          4500 - SALES DISCOUNT</v>
      </c>
      <c r="C81" s="9"/>
      <c r="D81" s="3">
        <f>-7102.03</f>
        <v>-7102.03</v>
      </c>
      <c r="E81" s="3"/>
      <c r="F81" s="26"/>
      <c r="G81" s="3"/>
      <c r="H81" s="3">
        <f>0</f>
        <v>0</v>
      </c>
      <c r="I81" s="3"/>
      <c r="J81" s="26"/>
      <c r="K81" s="3"/>
      <c r="L81" s="3">
        <f t="shared" si="8"/>
        <v>-7102.03</v>
      </c>
      <c r="M81" s="3"/>
      <c r="N81" s="26">
        <f t="shared" si="9"/>
        <v>0</v>
      </c>
      <c r="O81" s="9"/>
      <c r="P81" s="3">
        <f>-135024.31</f>
        <v>-135024.31</v>
      </c>
      <c r="Q81" s="3"/>
      <c r="R81" s="26"/>
      <c r="S81" s="3"/>
      <c r="T81" s="3">
        <f>0</f>
        <v>0</v>
      </c>
      <c r="U81" s="3"/>
      <c r="V81" s="26"/>
      <c r="W81" s="3"/>
      <c r="X81" s="3">
        <f t="shared" si="10"/>
        <v>-135024.31</v>
      </c>
      <c r="Y81" s="3"/>
      <c r="Z81" s="26">
        <f t="shared" si="11"/>
        <v>0</v>
      </c>
    </row>
    <row r="82" spans="1:26" ht="15" customHeight="1" x14ac:dyDescent="0.3">
      <c r="A82" s="12"/>
      <c r="B82" s="13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2" customFormat="1" ht="15" customHeight="1" collapsed="1" x14ac:dyDescent="0.3">
      <c r="A83" s="13"/>
      <c r="B83" s="27" t="s">
        <v>287</v>
      </c>
      <c r="C83" s="13"/>
      <c r="D83" s="8">
        <f>SUM(OSRRefD16x_0)</f>
        <v>432765.21</v>
      </c>
      <c r="E83" s="8"/>
      <c r="F83" s="14">
        <f t="shared" ref="F83:F114" si="12">IF(D$12=0,0,D83/D$12)</f>
        <v>1.4848603606105837</v>
      </c>
      <c r="G83" s="8"/>
      <c r="H83" s="8">
        <f>SUM(OSRRefH16x_0)</f>
        <v>263294.81999999983</v>
      </c>
      <c r="I83" s="8"/>
      <c r="J83" s="14">
        <f t="shared" ref="J83:J114" si="13">IF(H$12=0,0,H83/H$12)</f>
        <v>0.9954278227285478</v>
      </c>
      <c r="K83" s="8"/>
      <c r="L83" s="8">
        <f t="shared" ref="L83:L114" si="14">+D83-H83</f>
        <v>169470.39000000019</v>
      </c>
      <c r="M83" s="8"/>
      <c r="N83" s="14">
        <f t="shared" ref="N83:N114" si="15">IF(H83=0,0,L83/H83)</f>
        <v>0.64365257926456854</v>
      </c>
      <c r="O83" s="13"/>
      <c r="P83" s="8">
        <f>SUM(OSRRefP16x_0)</f>
        <v>4506403.93</v>
      </c>
      <c r="Q83" s="8"/>
      <c r="R83" s="14">
        <f t="shared" ref="R83:R114" si="16">IF(P$12=0,0,P83/P$12)</f>
        <v>0.57694792394661776</v>
      </c>
      <c r="S83" s="8"/>
      <c r="T83" s="8">
        <f>SUM(OSRRefT16x_0)</f>
        <v>3456075.64</v>
      </c>
      <c r="U83" s="8"/>
      <c r="V83" s="14">
        <f t="shared" ref="V83:V114" si="17">IF(T$12=0,0,T83/T$12)</f>
        <v>0.63137285840903601</v>
      </c>
      <c r="W83" s="8"/>
      <c r="X83" s="8">
        <f t="shared" ref="X83:X114" si="18">+P83-T83</f>
        <v>1050328.2899999996</v>
      </c>
      <c r="Y83" s="8"/>
      <c r="Z83" s="14">
        <f t="shared" ref="Z83:Z114" si="19">IF(T83=0,0,X83/T83)</f>
        <v>0.30390778426365678</v>
      </c>
    </row>
    <row r="84" spans="1:26" s="69" customFormat="1" ht="15" hidden="1" customHeight="1" outlineLevel="1" x14ac:dyDescent="0.3">
      <c r="A84" s="47"/>
      <c r="B84" s="9" t="str">
        <f>CONCATENATE("          ","5000"," - ","PURCHASES @ COST")</f>
        <v xml:space="preserve">          5000 - PURCHASES @ COST</v>
      </c>
      <c r="C84" s="9"/>
      <c r="D84" s="3">
        <v>510700.95</v>
      </c>
      <c r="E84" s="3"/>
      <c r="F84" s="26">
        <f t="shared" si="12"/>
        <v>1.7522656148380498</v>
      </c>
      <c r="G84" s="3"/>
      <c r="H84" s="3"/>
      <c r="I84" s="3"/>
      <c r="J84" s="26">
        <f t="shared" si="13"/>
        <v>0</v>
      </c>
      <c r="K84" s="3"/>
      <c r="L84" s="3">
        <f t="shared" si="14"/>
        <v>510700.95</v>
      </c>
      <c r="M84" s="3"/>
      <c r="N84" s="26">
        <f t="shared" si="15"/>
        <v>0</v>
      </c>
      <c r="O84" s="9"/>
      <c r="P84" s="3">
        <v>4548914.2699999996</v>
      </c>
      <c r="Q84" s="3"/>
      <c r="R84" s="26">
        <f t="shared" si="16"/>
        <v>0.5823904570151669</v>
      </c>
      <c r="S84" s="3"/>
      <c r="T84" s="3">
        <v>0</v>
      </c>
      <c r="U84" s="3"/>
      <c r="V84" s="26">
        <f t="shared" si="17"/>
        <v>0</v>
      </c>
      <c r="W84" s="3"/>
      <c r="X84" s="3">
        <f t="shared" si="18"/>
        <v>4548914.2699999996</v>
      </c>
      <c r="Y84" s="3"/>
      <c r="Z84" s="26">
        <f t="shared" si="19"/>
        <v>0</v>
      </c>
    </row>
    <row r="85" spans="1:26" s="69" customFormat="1" ht="15" hidden="1" customHeight="1" outlineLevel="1" x14ac:dyDescent="0.3">
      <c r="A85" s="47"/>
      <c r="B85" s="9" t="str">
        <f>CONCATENATE("          ","5001"," - ","PURCHASES @ COST-NEW TEXT")</f>
        <v xml:space="preserve">          5001 - PURCHASES @ COST-NEW TEXT</v>
      </c>
      <c r="C85" s="9"/>
      <c r="D85" s="3"/>
      <c r="E85" s="3"/>
      <c r="F85" s="26">
        <f t="shared" si="12"/>
        <v>0</v>
      </c>
      <c r="G85" s="3"/>
      <c r="H85" s="3">
        <v>142777.26</v>
      </c>
      <c r="I85" s="3"/>
      <c r="J85" s="26">
        <f t="shared" si="13"/>
        <v>0.53979207436343746</v>
      </c>
      <c r="K85" s="3"/>
      <c r="L85" s="3">
        <f t="shared" si="14"/>
        <v>-142777.26</v>
      </c>
      <c r="M85" s="3"/>
      <c r="N85" s="26">
        <f t="shared" si="15"/>
        <v>-1</v>
      </c>
      <c r="O85" s="9"/>
      <c r="P85" s="3">
        <v>0</v>
      </c>
      <c r="Q85" s="3"/>
      <c r="R85" s="26">
        <f t="shared" si="16"/>
        <v>0</v>
      </c>
      <c r="S85" s="3"/>
      <c r="T85" s="3">
        <v>1214343.74</v>
      </c>
      <c r="U85" s="3"/>
      <c r="V85" s="26">
        <f t="shared" si="17"/>
        <v>0.2218422737457561</v>
      </c>
      <c r="W85" s="3"/>
      <c r="X85" s="3">
        <f t="shared" si="18"/>
        <v>-1214343.74</v>
      </c>
      <c r="Y85" s="3"/>
      <c r="Z85" s="26">
        <f t="shared" si="19"/>
        <v>-1</v>
      </c>
    </row>
    <row r="86" spans="1:26" s="69" customFormat="1" ht="15" hidden="1" customHeight="1" outlineLevel="1" x14ac:dyDescent="0.3">
      <c r="A86" s="47"/>
      <c r="B86" s="9" t="str">
        <f>CONCATENATE("          ","5002"," - ","PURCHASES @ COST-USED TEXT")</f>
        <v xml:space="preserve">          5002 - PURCHASES @ COST-USED TEXT</v>
      </c>
      <c r="C86" s="9"/>
      <c r="D86" s="3"/>
      <c r="E86" s="3"/>
      <c r="F86" s="26">
        <f t="shared" si="12"/>
        <v>0</v>
      </c>
      <c r="G86" s="3"/>
      <c r="H86" s="3">
        <v>-17366.759999999998</v>
      </c>
      <c r="I86" s="3"/>
      <c r="J86" s="26">
        <f t="shared" si="13"/>
        <v>-6.5657790360817744E-2</v>
      </c>
      <c r="K86" s="3"/>
      <c r="L86" s="3">
        <f t="shared" si="14"/>
        <v>17366.759999999998</v>
      </c>
      <c r="M86" s="3"/>
      <c r="N86" s="26">
        <f t="shared" si="15"/>
        <v>-1</v>
      </c>
      <c r="O86" s="9"/>
      <c r="P86" s="3">
        <v>0</v>
      </c>
      <c r="Q86" s="3"/>
      <c r="R86" s="26">
        <f t="shared" si="16"/>
        <v>0</v>
      </c>
      <c r="S86" s="3"/>
      <c r="T86" s="3">
        <v>262546.52</v>
      </c>
      <c r="U86" s="3"/>
      <c r="V86" s="26">
        <f t="shared" si="17"/>
        <v>4.7963286705653564E-2</v>
      </c>
      <c r="W86" s="3"/>
      <c r="X86" s="3">
        <f t="shared" si="18"/>
        <v>-262546.52</v>
      </c>
      <c r="Y86" s="3"/>
      <c r="Z86" s="26">
        <f t="shared" si="19"/>
        <v>-1</v>
      </c>
    </row>
    <row r="87" spans="1:26" s="69" customFormat="1" ht="15" hidden="1" customHeight="1" outlineLevel="1" x14ac:dyDescent="0.3">
      <c r="A87" s="47"/>
      <c r="B87" s="9" t="str">
        <f>CONCATENATE("          ","5003"," - ","PURCHASES @ COST-RENTAL TEXT")</f>
        <v xml:space="preserve">          5003 - PURCHASES @ COST-RENTAL TEXT</v>
      </c>
      <c r="C87" s="9"/>
      <c r="D87" s="3"/>
      <c r="E87" s="3"/>
      <c r="F87" s="26">
        <f t="shared" si="12"/>
        <v>0</v>
      </c>
      <c r="G87" s="3"/>
      <c r="H87" s="3">
        <v>6024.36</v>
      </c>
      <c r="I87" s="3"/>
      <c r="J87" s="26">
        <f t="shared" si="13"/>
        <v>2.2776048378517124E-2</v>
      </c>
      <c r="K87" s="3"/>
      <c r="L87" s="3">
        <f t="shared" si="14"/>
        <v>-6024.36</v>
      </c>
      <c r="M87" s="3"/>
      <c r="N87" s="26">
        <f t="shared" si="15"/>
        <v>-1</v>
      </c>
      <c r="O87" s="9"/>
      <c r="P87" s="3"/>
      <c r="Q87" s="3"/>
      <c r="R87" s="26">
        <f t="shared" si="16"/>
        <v>0</v>
      </c>
      <c r="S87" s="3"/>
      <c r="T87" s="3">
        <v>13236.44</v>
      </c>
      <c r="U87" s="3"/>
      <c r="V87" s="26">
        <f t="shared" si="17"/>
        <v>2.4180978162734019E-3</v>
      </c>
      <c r="W87" s="3"/>
      <c r="X87" s="3">
        <f t="shared" si="18"/>
        <v>-13236.44</v>
      </c>
      <c r="Y87" s="3"/>
      <c r="Z87" s="26">
        <f t="shared" si="19"/>
        <v>-1</v>
      </c>
    </row>
    <row r="88" spans="1:26" s="69" customFormat="1" ht="15" hidden="1" customHeight="1" outlineLevel="1" x14ac:dyDescent="0.3">
      <c r="A88" s="47"/>
      <c r="B88" s="9" t="str">
        <f>CONCATENATE("          ","5004"," - ","PURCHASES @ COST-DIGITAL TEXT")</f>
        <v xml:space="preserve">          5004 - PURCHASES @ COST-DIGITAL TEXT</v>
      </c>
      <c r="C88" s="9"/>
      <c r="D88" s="3"/>
      <c r="E88" s="3"/>
      <c r="F88" s="26">
        <f t="shared" si="12"/>
        <v>0</v>
      </c>
      <c r="G88" s="3"/>
      <c r="H88" s="3">
        <v>178285.37</v>
      </c>
      <c r="I88" s="3"/>
      <c r="J88" s="26">
        <f t="shared" si="13"/>
        <v>0.67403611542169217</v>
      </c>
      <c r="K88" s="3"/>
      <c r="L88" s="3">
        <f t="shared" si="14"/>
        <v>-178285.37</v>
      </c>
      <c r="M88" s="3"/>
      <c r="N88" s="26">
        <f t="shared" si="15"/>
        <v>-1</v>
      </c>
      <c r="O88" s="9"/>
      <c r="P88" s="3">
        <v>0</v>
      </c>
      <c r="Q88" s="3"/>
      <c r="R88" s="26">
        <f t="shared" si="16"/>
        <v>0</v>
      </c>
      <c r="S88" s="3"/>
      <c r="T88" s="3">
        <v>377891.8</v>
      </c>
      <c r="U88" s="3"/>
      <c r="V88" s="26">
        <f t="shared" si="17"/>
        <v>6.9035128506428095E-2</v>
      </c>
      <c r="W88" s="3"/>
      <c r="X88" s="3">
        <f t="shared" si="18"/>
        <v>-377891.8</v>
      </c>
      <c r="Y88" s="3"/>
      <c r="Z88" s="26">
        <f t="shared" si="19"/>
        <v>-1</v>
      </c>
    </row>
    <row r="89" spans="1:26" s="69" customFormat="1" ht="15" hidden="1" customHeight="1" outlineLevel="1" x14ac:dyDescent="0.3">
      <c r="A89" s="47"/>
      <c r="B89" s="9" t="str">
        <f>CONCATENATE("          ","5011"," - ","PURCHASES @ COST-NO VALUE TEXT")</f>
        <v xml:space="preserve">          5011 - PURCHASES @ COST-NO VALUE TEXT</v>
      </c>
      <c r="C89" s="9"/>
      <c r="D89" s="3"/>
      <c r="E89" s="3"/>
      <c r="F89" s="26">
        <f t="shared" si="12"/>
        <v>0</v>
      </c>
      <c r="G89" s="3"/>
      <c r="H89" s="3">
        <v>63.17</v>
      </c>
      <c r="I89" s="3"/>
      <c r="J89" s="26">
        <f t="shared" si="13"/>
        <v>2.3882420308064703E-4</v>
      </c>
      <c r="K89" s="3"/>
      <c r="L89" s="3">
        <f t="shared" si="14"/>
        <v>-63.17</v>
      </c>
      <c r="M89" s="3"/>
      <c r="N89" s="26">
        <f t="shared" si="15"/>
        <v>-1</v>
      </c>
      <c r="O89" s="9"/>
      <c r="P89" s="3"/>
      <c r="Q89" s="3"/>
      <c r="R89" s="26">
        <f t="shared" si="16"/>
        <v>0</v>
      </c>
      <c r="S89" s="3"/>
      <c r="T89" s="3">
        <v>130.34</v>
      </c>
      <c r="U89" s="3"/>
      <c r="V89" s="26">
        <f t="shared" si="17"/>
        <v>2.3811150836106629E-5</v>
      </c>
      <c r="W89" s="3"/>
      <c r="X89" s="3">
        <f t="shared" si="18"/>
        <v>-130.34</v>
      </c>
      <c r="Y89" s="3"/>
      <c r="Z89" s="26">
        <f t="shared" si="19"/>
        <v>-1</v>
      </c>
    </row>
    <row r="90" spans="1:26" s="69" customFormat="1" ht="15" hidden="1" customHeight="1" outlineLevel="1" x14ac:dyDescent="0.3">
      <c r="A90" s="47"/>
      <c r="B90" s="9" t="str">
        <f>CONCATENATE("          ","5013"," - ","PURCHASES @ COST-TRADE BOOKS")</f>
        <v xml:space="preserve">          5013 - PURCHASES @ COST-TRADE BOOKS</v>
      </c>
      <c r="C90" s="9"/>
      <c r="D90" s="3"/>
      <c r="E90" s="3"/>
      <c r="F90" s="26">
        <f t="shared" si="12"/>
        <v>0</v>
      </c>
      <c r="G90" s="3"/>
      <c r="H90" s="3">
        <v>1964.92</v>
      </c>
      <c r="I90" s="3"/>
      <c r="J90" s="26">
        <f t="shared" si="13"/>
        <v>7.4286916751183313E-3</v>
      </c>
      <c r="K90" s="3"/>
      <c r="L90" s="3">
        <f t="shared" si="14"/>
        <v>-1964.92</v>
      </c>
      <c r="M90" s="3"/>
      <c r="N90" s="26">
        <f t="shared" si="15"/>
        <v>-1</v>
      </c>
      <c r="O90" s="9"/>
      <c r="P90" s="3"/>
      <c r="Q90" s="3"/>
      <c r="R90" s="26">
        <f t="shared" si="16"/>
        <v>0</v>
      </c>
      <c r="S90" s="3"/>
      <c r="T90" s="3">
        <v>11634.94</v>
      </c>
      <c r="U90" s="3"/>
      <c r="V90" s="26">
        <f t="shared" si="17"/>
        <v>2.1255279370036096E-3</v>
      </c>
      <c r="W90" s="3"/>
      <c r="X90" s="3">
        <f t="shared" si="18"/>
        <v>-11634.94</v>
      </c>
      <c r="Y90" s="3"/>
      <c r="Z90" s="26">
        <f t="shared" si="19"/>
        <v>-1</v>
      </c>
    </row>
    <row r="91" spans="1:26" s="69" customFormat="1" ht="15" hidden="1" customHeight="1" outlineLevel="1" x14ac:dyDescent="0.3">
      <c r="A91" s="47"/>
      <c r="B91" s="9" t="str">
        <f>CONCATENATE("          ","5014"," - ","PURCHASES @ COST-REMAINDERS")</f>
        <v xml:space="preserve">          5014 - PURCHASES @ COST-REMAINDERS</v>
      </c>
      <c r="C91" s="9"/>
      <c r="D91" s="3"/>
      <c r="E91" s="3"/>
      <c r="F91" s="26">
        <f t="shared" si="12"/>
        <v>0</v>
      </c>
      <c r="G91" s="3"/>
      <c r="H91" s="3">
        <v>-161.43</v>
      </c>
      <c r="I91" s="3"/>
      <c r="J91" s="26">
        <f t="shared" si="13"/>
        <v>-6.1031171605681258E-4</v>
      </c>
      <c r="K91" s="3"/>
      <c r="L91" s="3">
        <f t="shared" si="14"/>
        <v>161.43</v>
      </c>
      <c r="M91" s="3"/>
      <c r="N91" s="26">
        <f t="shared" si="15"/>
        <v>-1</v>
      </c>
      <c r="O91" s="9"/>
      <c r="P91" s="3"/>
      <c r="Q91" s="3"/>
      <c r="R91" s="26">
        <f t="shared" si="16"/>
        <v>0</v>
      </c>
      <c r="S91" s="3"/>
      <c r="T91" s="3">
        <v>-49.86</v>
      </c>
      <c r="U91" s="3"/>
      <c r="V91" s="26">
        <f t="shared" si="17"/>
        <v>-9.1086694851026264E-6</v>
      </c>
      <c r="W91" s="3"/>
      <c r="X91" s="3">
        <f t="shared" si="18"/>
        <v>49.86</v>
      </c>
      <c r="Y91" s="3"/>
      <c r="Z91" s="26">
        <f t="shared" si="19"/>
        <v>-1</v>
      </c>
    </row>
    <row r="92" spans="1:26" s="69" customFormat="1" ht="15" hidden="1" customHeight="1" outlineLevel="1" x14ac:dyDescent="0.3">
      <c r="A92" s="47"/>
      <c r="B92" s="9" t="str">
        <f>CONCATENATE("          ","5018"," - ","PURCHASES @ COST-STUDY GUIDES")</f>
        <v xml:space="preserve">          5018 - PURCHASES @ COST-STUDY GUIDES</v>
      </c>
      <c r="C92" s="9"/>
      <c r="D92" s="3"/>
      <c r="E92" s="3"/>
      <c r="F92" s="26">
        <f t="shared" si="12"/>
        <v>0</v>
      </c>
      <c r="G92" s="3"/>
      <c r="H92" s="3">
        <v>476.17</v>
      </c>
      <c r="I92" s="3"/>
      <c r="J92" s="26">
        <f t="shared" si="13"/>
        <v>1.8002362004260202E-3</v>
      </c>
      <c r="K92" s="3"/>
      <c r="L92" s="3">
        <f t="shared" si="14"/>
        <v>-476.17</v>
      </c>
      <c r="M92" s="3"/>
      <c r="N92" s="26">
        <f t="shared" si="15"/>
        <v>-1</v>
      </c>
      <c r="O92" s="9"/>
      <c r="P92" s="3"/>
      <c r="Q92" s="3"/>
      <c r="R92" s="26">
        <f t="shared" si="16"/>
        <v>0</v>
      </c>
      <c r="S92" s="3"/>
      <c r="T92" s="3">
        <v>1443.38</v>
      </c>
      <c r="U92" s="3"/>
      <c r="V92" s="26">
        <f t="shared" si="17"/>
        <v>2.6368374170492243E-4</v>
      </c>
      <c r="W92" s="3"/>
      <c r="X92" s="3">
        <f t="shared" si="18"/>
        <v>-1443.38</v>
      </c>
      <c r="Y92" s="3"/>
      <c r="Z92" s="26">
        <f t="shared" si="19"/>
        <v>-1</v>
      </c>
    </row>
    <row r="93" spans="1:26" s="69" customFormat="1" ht="15" hidden="1" customHeight="1" outlineLevel="1" x14ac:dyDescent="0.3">
      <c r="A93" s="47"/>
      <c r="B93" s="9" t="str">
        <f>CONCATENATE("          ","5025"," - ","PURCHASES @ COST-TEST FORMS")</f>
        <v xml:space="preserve">          5025 - PURCHASES @ COST-TEST FORMS</v>
      </c>
      <c r="C93" s="9"/>
      <c r="D93" s="3"/>
      <c r="E93" s="3"/>
      <c r="F93" s="26">
        <f t="shared" si="12"/>
        <v>0</v>
      </c>
      <c r="G93" s="3"/>
      <c r="H93" s="3">
        <v>161</v>
      </c>
      <c r="I93" s="3"/>
      <c r="J93" s="26">
        <f t="shared" si="13"/>
        <v>6.0868603286345056E-4</v>
      </c>
      <c r="K93" s="3"/>
      <c r="L93" s="3">
        <f t="shared" si="14"/>
        <v>-161</v>
      </c>
      <c r="M93" s="3"/>
      <c r="N93" s="26">
        <f t="shared" si="15"/>
        <v>-1</v>
      </c>
      <c r="O93" s="9"/>
      <c r="P93" s="3"/>
      <c r="Q93" s="3"/>
      <c r="R93" s="26">
        <f t="shared" si="16"/>
        <v>0</v>
      </c>
      <c r="S93" s="3"/>
      <c r="T93" s="3">
        <v>760.29</v>
      </c>
      <c r="U93" s="3"/>
      <c r="V93" s="26">
        <f t="shared" si="17"/>
        <v>1.3889350827975684E-4</v>
      </c>
      <c r="W93" s="3"/>
      <c r="X93" s="3">
        <f t="shared" si="18"/>
        <v>-760.29</v>
      </c>
      <c r="Y93" s="3"/>
      <c r="Z93" s="26">
        <f t="shared" si="19"/>
        <v>-1</v>
      </c>
    </row>
    <row r="94" spans="1:26" s="69" customFormat="1" ht="15" hidden="1" customHeight="1" outlineLevel="1" x14ac:dyDescent="0.3">
      <c r="A94" s="47"/>
      <c r="B94" s="9" t="str">
        <f>CONCATENATE("          ","5026"," - ","PURCHASES @ COST-WRITING INSTR")</f>
        <v xml:space="preserve">          5026 - PURCHASES @ COST-WRITING INSTR</v>
      </c>
      <c r="C94" s="9"/>
      <c r="D94" s="3"/>
      <c r="E94" s="3"/>
      <c r="F94" s="26">
        <f t="shared" si="12"/>
        <v>0</v>
      </c>
      <c r="G94" s="3"/>
      <c r="H94" s="3">
        <v>1361.75</v>
      </c>
      <c r="I94" s="3"/>
      <c r="J94" s="26">
        <f t="shared" si="13"/>
        <v>5.1483118338621356E-3</v>
      </c>
      <c r="K94" s="3"/>
      <c r="L94" s="3">
        <f t="shared" si="14"/>
        <v>-1361.75</v>
      </c>
      <c r="M94" s="3"/>
      <c r="N94" s="26">
        <f t="shared" si="15"/>
        <v>-1</v>
      </c>
      <c r="O94" s="9"/>
      <c r="P94" s="3">
        <v>0</v>
      </c>
      <c r="Q94" s="3"/>
      <c r="R94" s="26">
        <f t="shared" si="16"/>
        <v>0</v>
      </c>
      <c r="S94" s="3"/>
      <c r="T94" s="3">
        <v>1944.25</v>
      </c>
      <c r="U94" s="3"/>
      <c r="V94" s="26">
        <f t="shared" si="17"/>
        <v>3.5518513129584404E-4</v>
      </c>
      <c r="W94" s="3"/>
      <c r="X94" s="3">
        <f t="shared" si="18"/>
        <v>-1944.25</v>
      </c>
      <c r="Y94" s="3"/>
      <c r="Z94" s="26">
        <f t="shared" si="19"/>
        <v>-1</v>
      </c>
    </row>
    <row r="95" spans="1:26" s="69" customFormat="1" ht="15" hidden="1" customHeight="1" outlineLevel="1" x14ac:dyDescent="0.3">
      <c r="A95" s="47"/>
      <c r="B95" s="9" t="str">
        <f>CONCATENATE("          ","5027"," - ","PURCHASES @ COST-SCHOOL SUPPLI")</f>
        <v xml:space="preserve">          5027 - PURCHASES @ COST-SCHOOL SUPPLI</v>
      </c>
      <c r="C95" s="9"/>
      <c r="D95" s="3"/>
      <c r="E95" s="3"/>
      <c r="F95" s="26">
        <f t="shared" si="12"/>
        <v>0</v>
      </c>
      <c r="G95" s="3"/>
      <c r="H95" s="3">
        <v>-23546.66</v>
      </c>
      <c r="I95" s="3"/>
      <c r="J95" s="26">
        <f t="shared" si="13"/>
        <v>-8.9021882376301223E-2</v>
      </c>
      <c r="K95" s="3"/>
      <c r="L95" s="3">
        <f t="shared" si="14"/>
        <v>23546.66</v>
      </c>
      <c r="M95" s="3"/>
      <c r="N95" s="26">
        <f t="shared" si="15"/>
        <v>-1</v>
      </c>
      <c r="O95" s="9"/>
      <c r="P95" s="3">
        <v>0</v>
      </c>
      <c r="Q95" s="3"/>
      <c r="R95" s="26">
        <f t="shared" si="16"/>
        <v>0</v>
      </c>
      <c r="S95" s="3"/>
      <c r="T95" s="3">
        <v>188.33</v>
      </c>
      <c r="U95" s="3"/>
      <c r="V95" s="26">
        <f t="shared" si="17"/>
        <v>3.4405048618719971E-5</v>
      </c>
      <c r="W95" s="3"/>
      <c r="X95" s="3">
        <f t="shared" si="18"/>
        <v>-188.33</v>
      </c>
      <c r="Y95" s="3"/>
      <c r="Z95" s="26">
        <f t="shared" si="19"/>
        <v>-1</v>
      </c>
    </row>
    <row r="96" spans="1:26" s="69" customFormat="1" ht="15" hidden="1" customHeight="1" outlineLevel="1" x14ac:dyDescent="0.3">
      <c r="A96" s="47"/>
      <c r="B96" s="9" t="str">
        <f>CONCATENATE("          ","5028"," - ","PURCHASES @ COST-ART/TECH")</f>
        <v xml:space="preserve">          5028 - PURCHASES @ COST-ART/TECH</v>
      </c>
      <c r="C96" s="9"/>
      <c r="D96" s="3"/>
      <c r="E96" s="3"/>
      <c r="F96" s="26">
        <f t="shared" si="12"/>
        <v>0</v>
      </c>
      <c r="G96" s="3"/>
      <c r="H96" s="3">
        <v>4965.34</v>
      </c>
      <c r="I96" s="3"/>
      <c r="J96" s="26">
        <f t="shared" si="13"/>
        <v>1.8772255319367735E-2</v>
      </c>
      <c r="K96" s="3"/>
      <c r="L96" s="3">
        <f t="shared" si="14"/>
        <v>-4965.34</v>
      </c>
      <c r="M96" s="3"/>
      <c r="N96" s="26">
        <f t="shared" si="15"/>
        <v>-1</v>
      </c>
      <c r="O96" s="9"/>
      <c r="P96" s="3">
        <v>0</v>
      </c>
      <c r="Q96" s="3"/>
      <c r="R96" s="26">
        <f t="shared" si="16"/>
        <v>0</v>
      </c>
      <c r="S96" s="3"/>
      <c r="T96" s="3">
        <v>52646.080000000002</v>
      </c>
      <c r="U96" s="3"/>
      <c r="V96" s="26">
        <f t="shared" si="17"/>
        <v>9.6176442520311215E-3</v>
      </c>
      <c r="W96" s="3"/>
      <c r="X96" s="3">
        <f t="shared" si="18"/>
        <v>-52646.080000000002</v>
      </c>
      <c r="Y96" s="3"/>
      <c r="Z96" s="26">
        <f t="shared" si="19"/>
        <v>-1</v>
      </c>
    </row>
    <row r="97" spans="1:26" s="69" customFormat="1" ht="15" hidden="1" customHeight="1" outlineLevel="1" x14ac:dyDescent="0.3">
      <c r="A97" s="47"/>
      <c r="B97" s="9" t="str">
        <f>CONCATENATE("          ","5031"," - ","PURCHASES @ COST-FOOD")</f>
        <v xml:space="preserve">          5031 - PURCHASES @ COST-FOOD</v>
      </c>
      <c r="C97" s="9"/>
      <c r="D97" s="3"/>
      <c r="E97" s="3"/>
      <c r="F97" s="26">
        <f t="shared" si="12"/>
        <v>0</v>
      </c>
      <c r="G97" s="3"/>
      <c r="H97" s="3">
        <v>75599.55</v>
      </c>
      <c r="I97" s="3"/>
      <c r="J97" s="26">
        <f t="shared" si="13"/>
        <v>0.28581608804821163</v>
      </c>
      <c r="K97" s="3"/>
      <c r="L97" s="3">
        <f t="shared" si="14"/>
        <v>-75599.55</v>
      </c>
      <c r="M97" s="3"/>
      <c r="N97" s="26">
        <f t="shared" si="15"/>
        <v>-1</v>
      </c>
      <c r="O97" s="9"/>
      <c r="P97" s="3">
        <v>0</v>
      </c>
      <c r="Q97" s="3"/>
      <c r="R97" s="26">
        <f t="shared" si="16"/>
        <v>0</v>
      </c>
      <c r="S97" s="3"/>
      <c r="T97" s="3">
        <v>83665.64</v>
      </c>
      <c r="U97" s="3"/>
      <c r="V97" s="26">
        <f t="shared" si="17"/>
        <v>1.5284449699550376E-2</v>
      </c>
      <c r="W97" s="3"/>
      <c r="X97" s="3">
        <f t="shared" si="18"/>
        <v>-83665.64</v>
      </c>
      <c r="Y97" s="3"/>
      <c r="Z97" s="26">
        <f t="shared" si="19"/>
        <v>-1</v>
      </c>
    </row>
    <row r="98" spans="1:26" s="69" customFormat="1" ht="15" hidden="1" customHeight="1" outlineLevel="1" x14ac:dyDescent="0.3">
      <c r="A98" s="47"/>
      <c r="B98" s="9" t="str">
        <f>CONCATENATE("          ","5032"," - ","PURCHASES @ COST-JUICE")</f>
        <v xml:space="preserve">          5032 - PURCHASES @ COST-JUICE</v>
      </c>
      <c r="C98" s="9"/>
      <c r="D98" s="3"/>
      <c r="E98" s="3"/>
      <c r="F98" s="26">
        <f t="shared" si="12"/>
        <v>0</v>
      </c>
      <c r="G98" s="3"/>
      <c r="H98" s="3">
        <v>291</v>
      </c>
      <c r="I98" s="3"/>
      <c r="J98" s="26">
        <f t="shared" si="13"/>
        <v>1.1001716494612678E-3</v>
      </c>
      <c r="K98" s="3"/>
      <c r="L98" s="3">
        <f t="shared" si="14"/>
        <v>-291</v>
      </c>
      <c r="M98" s="3"/>
      <c r="N98" s="26">
        <f t="shared" si="15"/>
        <v>-1</v>
      </c>
      <c r="O98" s="9"/>
      <c r="P98" s="3"/>
      <c r="Q98" s="3"/>
      <c r="R98" s="26">
        <f t="shared" si="16"/>
        <v>0</v>
      </c>
      <c r="S98" s="3"/>
      <c r="T98" s="3">
        <v>291</v>
      </c>
      <c r="U98" s="3"/>
      <c r="V98" s="26">
        <f t="shared" si="17"/>
        <v>5.3161308065881759E-5</v>
      </c>
      <c r="W98" s="3"/>
      <c r="X98" s="3">
        <f t="shared" si="18"/>
        <v>-291</v>
      </c>
      <c r="Y98" s="3"/>
      <c r="Z98" s="26">
        <f t="shared" si="19"/>
        <v>-1</v>
      </c>
    </row>
    <row r="99" spans="1:26" s="69" customFormat="1" ht="15" hidden="1" customHeight="1" outlineLevel="1" x14ac:dyDescent="0.3">
      <c r="A99" s="47"/>
      <c r="B99" s="9" t="str">
        <f>CONCATENATE("          ","5033"," - ","PURCHASES @ COST-CANDY")</f>
        <v xml:space="preserve">          5033 - PURCHASES @ COST-CANDY</v>
      </c>
      <c r="C99" s="9"/>
      <c r="D99" s="3"/>
      <c r="E99" s="3"/>
      <c r="F99" s="26">
        <f t="shared" si="12"/>
        <v>0</v>
      </c>
      <c r="G99" s="3"/>
      <c r="H99" s="3">
        <v>1266</v>
      </c>
      <c r="I99" s="3"/>
      <c r="J99" s="26">
        <f t="shared" si="13"/>
        <v>4.7863137739448973E-3</v>
      </c>
      <c r="K99" s="3"/>
      <c r="L99" s="3">
        <f t="shared" si="14"/>
        <v>-1266</v>
      </c>
      <c r="M99" s="3"/>
      <c r="N99" s="26">
        <f t="shared" si="15"/>
        <v>-1</v>
      </c>
      <c r="O99" s="9"/>
      <c r="P99" s="3"/>
      <c r="Q99" s="3"/>
      <c r="R99" s="26">
        <f t="shared" si="16"/>
        <v>0</v>
      </c>
      <c r="S99" s="3"/>
      <c r="T99" s="3">
        <v>1266</v>
      </c>
      <c r="U99" s="3"/>
      <c r="V99" s="26">
        <f t="shared" si="17"/>
        <v>2.3127909282270209E-4</v>
      </c>
      <c r="W99" s="3"/>
      <c r="X99" s="3">
        <f t="shared" si="18"/>
        <v>-1266</v>
      </c>
      <c r="Y99" s="3"/>
      <c r="Z99" s="26">
        <f t="shared" si="19"/>
        <v>-1</v>
      </c>
    </row>
    <row r="100" spans="1:26" s="69" customFormat="1" ht="15" hidden="1" customHeight="1" outlineLevel="1" x14ac:dyDescent="0.3">
      <c r="A100" s="47"/>
      <c r="B100" s="9" t="str">
        <f>CONCATENATE("          ","5034"," - ","PURCHASES @ COST-SODA")</f>
        <v xml:space="preserve">          5034 - PURCHASES @ COST-SODA</v>
      </c>
      <c r="C100" s="9"/>
      <c r="D100" s="3"/>
      <c r="E100" s="3"/>
      <c r="F100" s="26">
        <f t="shared" si="12"/>
        <v>0</v>
      </c>
      <c r="G100" s="3"/>
      <c r="H100" s="3">
        <v>567</v>
      </c>
      <c r="I100" s="3"/>
      <c r="J100" s="26">
        <f t="shared" si="13"/>
        <v>2.1436334200843257E-3</v>
      </c>
      <c r="K100" s="3"/>
      <c r="L100" s="3">
        <f t="shared" si="14"/>
        <v>-567</v>
      </c>
      <c r="M100" s="3"/>
      <c r="N100" s="26">
        <f t="shared" si="15"/>
        <v>-1</v>
      </c>
      <c r="O100" s="9"/>
      <c r="P100" s="3"/>
      <c r="Q100" s="3"/>
      <c r="R100" s="26">
        <f t="shared" si="16"/>
        <v>0</v>
      </c>
      <c r="S100" s="3"/>
      <c r="T100" s="3">
        <v>567</v>
      </c>
      <c r="U100" s="3"/>
      <c r="V100" s="26">
        <f t="shared" si="17"/>
        <v>1.0358234252012013E-4</v>
      </c>
      <c r="W100" s="3"/>
      <c r="X100" s="3">
        <f t="shared" si="18"/>
        <v>-567</v>
      </c>
      <c r="Y100" s="3"/>
      <c r="Z100" s="26">
        <f t="shared" si="19"/>
        <v>-1</v>
      </c>
    </row>
    <row r="101" spans="1:26" s="69" customFormat="1" ht="15" hidden="1" customHeight="1" outlineLevel="1" x14ac:dyDescent="0.3">
      <c r="A101" s="47"/>
      <c r="B101" s="9" t="str">
        <f>CONCATENATE("          ","5035"," - ","PURCHASES @ COST-HEALTH &amp; BEAU")</f>
        <v xml:space="preserve">          5035 - PURCHASES @ COST-HEALTH &amp; BEAU</v>
      </c>
      <c r="C101" s="9"/>
      <c r="D101" s="3"/>
      <c r="E101" s="3"/>
      <c r="F101" s="26">
        <f t="shared" si="12"/>
        <v>0</v>
      </c>
      <c r="G101" s="3"/>
      <c r="H101" s="3">
        <v>339</v>
      </c>
      <c r="I101" s="3"/>
      <c r="J101" s="26">
        <f t="shared" si="13"/>
        <v>1.2816432617435388E-3</v>
      </c>
      <c r="K101" s="3"/>
      <c r="L101" s="3">
        <f t="shared" si="14"/>
        <v>-339</v>
      </c>
      <c r="M101" s="3"/>
      <c r="N101" s="26">
        <f t="shared" si="15"/>
        <v>-1</v>
      </c>
      <c r="O101" s="9"/>
      <c r="P101" s="3"/>
      <c r="Q101" s="3"/>
      <c r="R101" s="26">
        <f t="shared" si="16"/>
        <v>0</v>
      </c>
      <c r="S101" s="3"/>
      <c r="T101" s="3">
        <v>339</v>
      </c>
      <c r="U101" s="3"/>
      <c r="V101" s="26">
        <f t="shared" si="17"/>
        <v>6.1930183623140603E-5</v>
      </c>
      <c r="W101" s="3"/>
      <c r="X101" s="3">
        <f t="shared" si="18"/>
        <v>-339</v>
      </c>
      <c r="Y101" s="3"/>
      <c r="Z101" s="26">
        <f t="shared" si="19"/>
        <v>-1</v>
      </c>
    </row>
    <row r="102" spans="1:26" s="69" customFormat="1" ht="15" hidden="1" customHeight="1" outlineLevel="1" x14ac:dyDescent="0.3">
      <c r="A102" s="47"/>
      <c r="B102" s="9" t="str">
        <f>CONCATENATE("          ","5037"," - ","PURCHASES @ COST-WATER")</f>
        <v xml:space="preserve">          5037 - PURCHASES @ COST-WATER</v>
      </c>
      <c r="C102" s="9"/>
      <c r="D102" s="3"/>
      <c r="E102" s="3"/>
      <c r="F102" s="26">
        <f t="shared" si="12"/>
        <v>0</v>
      </c>
      <c r="G102" s="3"/>
      <c r="H102" s="3">
        <v>190.95</v>
      </c>
      <c r="I102" s="3"/>
      <c r="J102" s="26">
        <f t="shared" si="13"/>
        <v>7.2191675761040916E-4</v>
      </c>
      <c r="K102" s="3"/>
      <c r="L102" s="3">
        <f t="shared" si="14"/>
        <v>-190.95</v>
      </c>
      <c r="M102" s="3"/>
      <c r="N102" s="26">
        <f t="shared" si="15"/>
        <v>-1</v>
      </c>
      <c r="O102" s="9"/>
      <c r="P102" s="3"/>
      <c r="Q102" s="3"/>
      <c r="R102" s="26">
        <f t="shared" si="16"/>
        <v>0</v>
      </c>
      <c r="S102" s="3"/>
      <c r="T102" s="3">
        <v>190.95</v>
      </c>
      <c r="U102" s="3"/>
      <c r="V102" s="26">
        <f t="shared" si="17"/>
        <v>3.4883683076220347E-5</v>
      </c>
      <c r="W102" s="3"/>
      <c r="X102" s="3">
        <f t="shared" si="18"/>
        <v>-190.95</v>
      </c>
      <c r="Y102" s="3"/>
      <c r="Z102" s="26">
        <f t="shared" si="19"/>
        <v>-1</v>
      </c>
    </row>
    <row r="103" spans="1:26" s="69" customFormat="1" ht="15" hidden="1" customHeight="1" outlineLevel="1" x14ac:dyDescent="0.3">
      <c r="A103" s="47"/>
      <c r="B103" s="9" t="str">
        <f>CONCATENATE("          ","5040"," - ","PURCHASES @ COST-LOGO CLOTHING")</f>
        <v xml:space="preserve">          5040 - PURCHASES @ COST-LOGO CLOTHING</v>
      </c>
      <c r="C103" s="9"/>
      <c r="D103" s="3"/>
      <c r="E103" s="3"/>
      <c r="F103" s="26">
        <f t="shared" si="12"/>
        <v>0</v>
      </c>
      <c r="G103" s="3"/>
      <c r="H103" s="3">
        <v>65486.18</v>
      </c>
      <c r="I103" s="3"/>
      <c r="J103" s="26">
        <f t="shared" si="13"/>
        <v>0.24758088889181265</v>
      </c>
      <c r="K103" s="3"/>
      <c r="L103" s="3">
        <f t="shared" si="14"/>
        <v>-65486.18</v>
      </c>
      <c r="M103" s="3"/>
      <c r="N103" s="26">
        <f t="shared" si="15"/>
        <v>-1</v>
      </c>
      <c r="O103" s="9"/>
      <c r="P103" s="3">
        <v>0</v>
      </c>
      <c r="Q103" s="3"/>
      <c r="R103" s="26">
        <f t="shared" si="16"/>
        <v>0</v>
      </c>
      <c r="S103" s="3"/>
      <c r="T103" s="3">
        <v>392865.16</v>
      </c>
      <c r="U103" s="3"/>
      <c r="V103" s="26">
        <f t="shared" si="17"/>
        <v>7.1770535392137208E-2</v>
      </c>
      <c r="W103" s="3"/>
      <c r="X103" s="3">
        <f t="shared" si="18"/>
        <v>-392865.16</v>
      </c>
      <c r="Y103" s="3"/>
      <c r="Z103" s="26">
        <f t="shared" si="19"/>
        <v>-1</v>
      </c>
    </row>
    <row r="104" spans="1:26" s="69" customFormat="1" ht="15" hidden="1" customHeight="1" outlineLevel="1" x14ac:dyDescent="0.3">
      <c r="A104" s="47"/>
      <c r="B104" s="9" t="str">
        <f>CONCATENATE("          ","5041"," - ","PURCHASES @ COST-LOGO GIFTS")</f>
        <v xml:space="preserve">          5041 - PURCHASES @ COST-LOGO GIFTS</v>
      </c>
      <c r="C104" s="9"/>
      <c r="D104" s="3"/>
      <c r="E104" s="3"/>
      <c r="F104" s="26">
        <f t="shared" si="12"/>
        <v>0</v>
      </c>
      <c r="G104" s="3"/>
      <c r="H104" s="3">
        <v>115476.79</v>
      </c>
      <c r="I104" s="3"/>
      <c r="J104" s="26">
        <f t="shared" si="13"/>
        <v>0.43657831796835883</v>
      </c>
      <c r="K104" s="3"/>
      <c r="L104" s="3">
        <f t="shared" si="14"/>
        <v>-115476.79</v>
      </c>
      <c r="M104" s="3"/>
      <c r="N104" s="26">
        <f t="shared" si="15"/>
        <v>-1</v>
      </c>
      <c r="O104" s="9"/>
      <c r="P104" s="3">
        <v>0</v>
      </c>
      <c r="Q104" s="3"/>
      <c r="R104" s="26">
        <f t="shared" si="16"/>
        <v>0</v>
      </c>
      <c r="S104" s="3"/>
      <c r="T104" s="3">
        <v>221875.64</v>
      </c>
      <c r="U104" s="3"/>
      <c r="V104" s="26">
        <f t="shared" si="17"/>
        <v>4.0533330757232575E-2</v>
      </c>
      <c r="W104" s="3"/>
      <c r="X104" s="3">
        <f t="shared" si="18"/>
        <v>-221875.64</v>
      </c>
      <c r="Y104" s="3"/>
      <c r="Z104" s="26">
        <f t="shared" si="19"/>
        <v>-1</v>
      </c>
    </row>
    <row r="105" spans="1:26" s="69" customFormat="1" ht="15" hidden="1" customHeight="1" outlineLevel="1" x14ac:dyDescent="0.3">
      <c r="A105" s="47"/>
      <c r="B105" s="9" t="str">
        <f>CONCATENATE("          ","5042"," - ","PURCHASES @ COST-EVERYDAY GIFT")</f>
        <v xml:space="preserve">          5042 - PURCHASES @ COST-EVERYDAY GIFT</v>
      </c>
      <c r="C105" s="9"/>
      <c r="D105" s="3"/>
      <c r="E105" s="3"/>
      <c r="F105" s="26">
        <f t="shared" si="12"/>
        <v>0</v>
      </c>
      <c r="G105" s="3"/>
      <c r="H105" s="3">
        <v>-39.200000000000003</v>
      </c>
      <c r="I105" s="3"/>
      <c r="J105" s="26">
        <f t="shared" si="13"/>
        <v>-1.4820181669718797E-4</v>
      </c>
      <c r="K105" s="3"/>
      <c r="L105" s="3">
        <f t="shared" si="14"/>
        <v>39.200000000000003</v>
      </c>
      <c r="M105" s="3"/>
      <c r="N105" s="26">
        <f t="shared" si="15"/>
        <v>-1</v>
      </c>
      <c r="O105" s="9"/>
      <c r="P105" s="3">
        <v>0</v>
      </c>
      <c r="Q105" s="3"/>
      <c r="R105" s="26">
        <f t="shared" si="16"/>
        <v>0</v>
      </c>
      <c r="S105" s="3"/>
      <c r="T105" s="3">
        <v>18708.87</v>
      </c>
      <c r="U105" s="3"/>
      <c r="V105" s="26">
        <f t="shared" si="17"/>
        <v>3.4178281843111106E-3</v>
      </c>
      <c r="W105" s="3"/>
      <c r="X105" s="3">
        <f t="shared" si="18"/>
        <v>-18708.87</v>
      </c>
      <c r="Y105" s="3"/>
      <c r="Z105" s="26">
        <f t="shared" si="19"/>
        <v>-1</v>
      </c>
    </row>
    <row r="106" spans="1:26" s="69" customFormat="1" ht="15" hidden="1" customHeight="1" outlineLevel="1" x14ac:dyDescent="0.3">
      <c r="A106" s="47"/>
      <c r="B106" s="9" t="str">
        <f>CONCATENATE("          ","5043"," - ","PURCHASES @ COST-CARDS")</f>
        <v xml:space="preserve">          5043 - PURCHASES @ COST-CARDS</v>
      </c>
      <c r="C106" s="9"/>
      <c r="D106" s="3"/>
      <c r="E106" s="3"/>
      <c r="F106" s="26">
        <f t="shared" si="12"/>
        <v>0</v>
      </c>
      <c r="G106" s="3"/>
      <c r="H106" s="3">
        <v>-4615.6499999999996</v>
      </c>
      <c r="I106" s="3"/>
      <c r="J106" s="26">
        <f t="shared" si="13"/>
        <v>-1.7450196817305499E-2</v>
      </c>
      <c r="K106" s="3"/>
      <c r="L106" s="3">
        <f t="shared" si="14"/>
        <v>4615.6499999999996</v>
      </c>
      <c r="M106" s="3"/>
      <c r="N106" s="26">
        <f t="shared" si="15"/>
        <v>-1</v>
      </c>
      <c r="O106" s="9"/>
      <c r="P106" s="3">
        <v>0</v>
      </c>
      <c r="Q106" s="3"/>
      <c r="R106" s="26">
        <f t="shared" si="16"/>
        <v>0</v>
      </c>
      <c r="S106" s="3"/>
      <c r="T106" s="3">
        <v>50967.68</v>
      </c>
      <c r="U106" s="3"/>
      <c r="V106" s="26">
        <f t="shared" si="17"/>
        <v>9.3110259033789711E-3</v>
      </c>
      <c r="W106" s="3"/>
      <c r="X106" s="3">
        <f t="shared" si="18"/>
        <v>-50967.68</v>
      </c>
      <c r="Y106" s="3"/>
      <c r="Z106" s="26">
        <f t="shared" si="19"/>
        <v>-1</v>
      </c>
    </row>
    <row r="107" spans="1:26" s="69" customFormat="1" ht="15" hidden="1" customHeight="1" outlineLevel="1" x14ac:dyDescent="0.3">
      <c r="A107" s="47"/>
      <c r="B107" s="9" t="str">
        <f>CONCATENATE("          ","5044"," - ","PURCHASES @ COST-ACCESSORIES")</f>
        <v xml:space="preserve">          5044 - PURCHASES @ COST-ACCESSORIES</v>
      </c>
      <c r="C107" s="9"/>
      <c r="D107" s="3"/>
      <c r="E107" s="3"/>
      <c r="F107" s="26">
        <f t="shared" si="12"/>
        <v>0</v>
      </c>
      <c r="G107" s="3"/>
      <c r="H107" s="3">
        <v>4371.2</v>
      </c>
      <c r="I107" s="3"/>
      <c r="J107" s="26">
        <f t="shared" si="13"/>
        <v>1.6526014825172141E-2</v>
      </c>
      <c r="K107" s="3"/>
      <c r="L107" s="3">
        <f t="shared" si="14"/>
        <v>-4371.2</v>
      </c>
      <c r="M107" s="3"/>
      <c r="N107" s="26">
        <f t="shared" si="15"/>
        <v>-1</v>
      </c>
      <c r="O107" s="9"/>
      <c r="P107" s="3">
        <v>0</v>
      </c>
      <c r="Q107" s="3"/>
      <c r="R107" s="26">
        <f t="shared" si="16"/>
        <v>0</v>
      </c>
      <c r="S107" s="3"/>
      <c r="T107" s="3">
        <v>6926.91</v>
      </c>
      <c r="U107" s="3"/>
      <c r="V107" s="26">
        <f t="shared" si="17"/>
        <v>1.2654419122152475E-3</v>
      </c>
      <c r="W107" s="3"/>
      <c r="X107" s="3">
        <f t="shared" si="18"/>
        <v>-6926.91</v>
      </c>
      <c r="Y107" s="3"/>
      <c r="Z107" s="26">
        <f t="shared" si="19"/>
        <v>-1</v>
      </c>
    </row>
    <row r="108" spans="1:26" s="69" customFormat="1" ht="15" hidden="1" customHeight="1" outlineLevel="1" x14ac:dyDescent="0.3">
      <c r="A108" s="47"/>
      <c r="B108" s="9" t="str">
        <f>CONCATENATE("          ","5045"," - ","PURCHASES @ COST-SPECIAL ORDER")</f>
        <v xml:space="preserve">          5045 - PURCHASES @ COST-SPECIAL ORDER</v>
      </c>
      <c r="C108" s="9"/>
      <c r="D108" s="3"/>
      <c r="E108" s="3"/>
      <c r="F108" s="26">
        <f t="shared" si="12"/>
        <v>0</v>
      </c>
      <c r="G108" s="3"/>
      <c r="H108" s="3">
        <v>33785.81</v>
      </c>
      <c r="I108" s="3"/>
      <c r="J108" s="26">
        <f t="shared" si="13"/>
        <v>0.12773261277005152</v>
      </c>
      <c r="K108" s="3"/>
      <c r="L108" s="3">
        <f t="shared" si="14"/>
        <v>-33785.81</v>
      </c>
      <c r="M108" s="3"/>
      <c r="N108" s="26">
        <f t="shared" si="15"/>
        <v>-1</v>
      </c>
      <c r="O108" s="9"/>
      <c r="P108" s="3">
        <v>0</v>
      </c>
      <c r="Q108" s="3"/>
      <c r="R108" s="26">
        <f t="shared" si="16"/>
        <v>0</v>
      </c>
      <c r="S108" s="3"/>
      <c r="T108" s="3">
        <v>172925.05</v>
      </c>
      <c r="U108" s="3"/>
      <c r="V108" s="26">
        <f t="shared" si="17"/>
        <v>3.1590796753807583E-2</v>
      </c>
      <c r="W108" s="3"/>
      <c r="X108" s="3">
        <f t="shared" si="18"/>
        <v>-172925.05</v>
      </c>
      <c r="Y108" s="3"/>
      <c r="Z108" s="26">
        <f t="shared" si="19"/>
        <v>-1</v>
      </c>
    </row>
    <row r="109" spans="1:26" s="69" customFormat="1" ht="15" hidden="1" customHeight="1" outlineLevel="1" x14ac:dyDescent="0.3">
      <c r="A109" s="47"/>
      <c r="B109" s="9" t="str">
        <f>CONCATENATE("          ","5081"," - ","PURCHASES @ COST-ELECTRONICS")</f>
        <v xml:space="preserve">          5081 - PURCHASES @ COST-ELECTRONICS</v>
      </c>
      <c r="C109" s="9"/>
      <c r="D109" s="3"/>
      <c r="E109" s="3"/>
      <c r="F109" s="26">
        <f t="shared" si="12"/>
        <v>0</v>
      </c>
      <c r="G109" s="3"/>
      <c r="H109" s="3">
        <v>227</v>
      </c>
      <c r="I109" s="3"/>
      <c r="J109" s="26">
        <f t="shared" si="13"/>
        <v>8.582094997515731E-4</v>
      </c>
      <c r="K109" s="3"/>
      <c r="L109" s="3">
        <f t="shared" si="14"/>
        <v>-227</v>
      </c>
      <c r="M109" s="3"/>
      <c r="N109" s="26">
        <f t="shared" si="15"/>
        <v>-1</v>
      </c>
      <c r="O109" s="9"/>
      <c r="P109" s="3"/>
      <c r="Q109" s="3"/>
      <c r="R109" s="26">
        <f t="shared" si="16"/>
        <v>0</v>
      </c>
      <c r="S109" s="3"/>
      <c r="T109" s="3">
        <v>227</v>
      </c>
      <c r="U109" s="3"/>
      <c r="V109" s="26">
        <f t="shared" si="17"/>
        <v>4.1469473989536631E-5</v>
      </c>
      <c r="W109" s="3"/>
      <c r="X109" s="3">
        <f t="shared" si="18"/>
        <v>-227</v>
      </c>
      <c r="Y109" s="3"/>
      <c r="Z109" s="26">
        <f t="shared" si="19"/>
        <v>-1</v>
      </c>
    </row>
    <row r="110" spans="1:26" s="69" customFormat="1" ht="15" hidden="1" customHeight="1" outlineLevel="1" x14ac:dyDescent="0.3">
      <c r="A110" s="47"/>
      <c r="B110" s="9" t="str">
        <f>CONCATENATE("          ","5082"," - ","PURCHASES @ COST-COMPUTER HARD")</f>
        <v xml:space="preserve">          5082 - PURCHASES @ COST-COMPUTER HARD</v>
      </c>
      <c r="C110" s="9"/>
      <c r="D110" s="3"/>
      <c r="E110" s="3"/>
      <c r="F110" s="26">
        <f t="shared" si="12"/>
        <v>0</v>
      </c>
      <c r="G110" s="3"/>
      <c r="H110" s="3">
        <v>972</v>
      </c>
      <c r="I110" s="3"/>
      <c r="J110" s="26">
        <f t="shared" si="13"/>
        <v>3.6748001487159872E-3</v>
      </c>
      <c r="K110" s="3"/>
      <c r="L110" s="3">
        <f t="shared" si="14"/>
        <v>-972</v>
      </c>
      <c r="M110" s="3"/>
      <c r="N110" s="26">
        <f t="shared" si="15"/>
        <v>-1</v>
      </c>
      <c r="O110" s="9"/>
      <c r="P110" s="3"/>
      <c r="Q110" s="3"/>
      <c r="R110" s="26">
        <f t="shared" si="16"/>
        <v>0</v>
      </c>
      <c r="S110" s="3"/>
      <c r="T110" s="3">
        <v>972</v>
      </c>
      <c r="U110" s="3"/>
      <c r="V110" s="26">
        <f t="shared" si="17"/>
        <v>1.7756973003449166E-4</v>
      </c>
      <c r="W110" s="3"/>
      <c r="X110" s="3">
        <f t="shared" si="18"/>
        <v>-972</v>
      </c>
      <c r="Y110" s="3"/>
      <c r="Z110" s="26">
        <f t="shared" si="19"/>
        <v>-1</v>
      </c>
    </row>
    <row r="111" spans="1:26" s="69" customFormat="1" ht="15" hidden="1" customHeight="1" outlineLevel="1" x14ac:dyDescent="0.3">
      <c r="A111" s="47"/>
      <c r="B111" s="9" t="str">
        <f>CONCATENATE("          ","5083"," - ","PURCHASES @ COST-COMPUTER EQUI")</f>
        <v xml:space="preserve">          5083 - PURCHASES @ COST-COMPUTER EQUI</v>
      </c>
      <c r="C111" s="9"/>
      <c r="D111" s="3"/>
      <c r="E111" s="3"/>
      <c r="F111" s="26">
        <f t="shared" si="12"/>
        <v>0</v>
      </c>
      <c r="G111" s="3"/>
      <c r="H111" s="3">
        <v>170</v>
      </c>
      <c r="I111" s="3"/>
      <c r="J111" s="26">
        <f t="shared" si="13"/>
        <v>6.4271196016637633E-4</v>
      </c>
      <c r="K111" s="3"/>
      <c r="L111" s="3">
        <f t="shared" si="14"/>
        <v>-170</v>
      </c>
      <c r="M111" s="3"/>
      <c r="N111" s="26">
        <f t="shared" si="15"/>
        <v>-1</v>
      </c>
      <c r="O111" s="9"/>
      <c r="P111" s="3"/>
      <c r="Q111" s="3"/>
      <c r="R111" s="26">
        <f t="shared" si="16"/>
        <v>0</v>
      </c>
      <c r="S111" s="3"/>
      <c r="T111" s="3">
        <v>170</v>
      </c>
      <c r="U111" s="3"/>
      <c r="V111" s="26">
        <f t="shared" si="17"/>
        <v>3.1056434265291752E-5</v>
      </c>
      <c r="W111" s="3"/>
      <c r="X111" s="3">
        <f t="shared" si="18"/>
        <v>-170</v>
      </c>
      <c r="Y111" s="3"/>
      <c r="Z111" s="26">
        <f t="shared" si="19"/>
        <v>-1</v>
      </c>
    </row>
    <row r="112" spans="1:26" s="69" customFormat="1" ht="15" hidden="1" customHeight="1" outlineLevel="1" x14ac:dyDescent="0.3">
      <c r="A112" s="47"/>
      <c r="B112" s="9" t="str">
        <f>CONCATENATE("          ","5086"," - ","PURCHASES @ COST-COMPUTER SUPP")</f>
        <v xml:space="preserve">          5086 - PURCHASES @ COST-COMPUTER SUPP</v>
      </c>
      <c r="C112" s="9"/>
      <c r="D112" s="3"/>
      <c r="E112" s="3"/>
      <c r="F112" s="26">
        <f t="shared" si="12"/>
        <v>0</v>
      </c>
      <c r="G112" s="3"/>
      <c r="H112" s="3">
        <v>156.21</v>
      </c>
      <c r="I112" s="3"/>
      <c r="J112" s="26">
        <f t="shared" si="13"/>
        <v>5.9057667822111565E-4</v>
      </c>
      <c r="K112" s="3"/>
      <c r="L112" s="3">
        <f t="shared" si="14"/>
        <v>-156.21</v>
      </c>
      <c r="M112" s="3"/>
      <c r="N112" s="26">
        <f t="shared" si="15"/>
        <v>-1</v>
      </c>
      <c r="O112" s="9"/>
      <c r="P112" s="3"/>
      <c r="Q112" s="3"/>
      <c r="R112" s="26">
        <f t="shared" si="16"/>
        <v>0</v>
      </c>
      <c r="S112" s="3"/>
      <c r="T112" s="3">
        <v>169.42</v>
      </c>
      <c r="U112" s="3"/>
      <c r="V112" s="26">
        <f t="shared" si="17"/>
        <v>3.0950477018974871E-5</v>
      </c>
      <c r="W112" s="3"/>
      <c r="X112" s="3">
        <f t="shared" si="18"/>
        <v>-169.42</v>
      </c>
      <c r="Y112" s="3"/>
      <c r="Z112" s="26">
        <f t="shared" si="19"/>
        <v>-1</v>
      </c>
    </row>
    <row r="113" spans="1:26" s="69" customFormat="1" ht="15" hidden="1" customHeight="1" outlineLevel="1" x14ac:dyDescent="0.3">
      <c r="A113" s="47"/>
      <c r="B113" s="9" t="str">
        <f>CONCATENATE("          ","5092"," - ","PURCHASES @ COST-GRAD MERCH")</f>
        <v xml:space="preserve">          5092 - PURCHASES @ COST-GRAD MERCH</v>
      </c>
      <c r="C113" s="9"/>
      <c r="D113" s="3"/>
      <c r="E113" s="3"/>
      <c r="F113" s="26">
        <f t="shared" si="12"/>
        <v>0</v>
      </c>
      <c r="G113" s="3"/>
      <c r="H113" s="3"/>
      <c r="I113" s="3"/>
      <c r="J113" s="26">
        <f t="shared" si="13"/>
        <v>0</v>
      </c>
      <c r="K113" s="3"/>
      <c r="L113" s="3">
        <f t="shared" si="14"/>
        <v>0</v>
      </c>
      <c r="M113" s="3"/>
      <c r="N113" s="26">
        <f t="shared" si="15"/>
        <v>0</v>
      </c>
      <c r="O113" s="9"/>
      <c r="P113" s="3"/>
      <c r="Q113" s="3"/>
      <c r="R113" s="26">
        <f t="shared" si="16"/>
        <v>0</v>
      </c>
      <c r="S113" s="3"/>
      <c r="T113" s="3">
        <v>0</v>
      </c>
      <c r="U113" s="3"/>
      <c r="V113" s="26">
        <f t="shared" si="17"/>
        <v>0</v>
      </c>
      <c r="W113" s="3"/>
      <c r="X113" s="3">
        <f t="shared" si="18"/>
        <v>0</v>
      </c>
      <c r="Y113" s="3"/>
      <c r="Z113" s="26">
        <f t="shared" si="19"/>
        <v>0</v>
      </c>
    </row>
    <row r="114" spans="1:26" s="69" customFormat="1" ht="15" hidden="1" customHeight="1" outlineLevel="1" x14ac:dyDescent="0.3">
      <c r="A114" s="47"/>
      <c r="B114" s="9" t="str">
        <f>CONCATENATE("          ","5200"," - ","PURCHASES OFFSET")</f>
        <v xml:space="preserve">          5200 - PURCHASES OFFSET</v>
      </c>
      <c r="C114" s="9"/>
      <c r="D114" s="3">
        <v>-235304</v>
      </c>
      <c r="E114" s="3"/>
      <c r="F114" s="26">
        <f t="shared" si="12"/>
        <v>-0.80735136332496038</v>
      </c>
      <c r="G114" s="3"/>
      <c r="H114" s="3">
        <v>-486860.31</v>
      </c>
      <c r="I114" s="3"/>
      <c r="J114" s="26">
        <f t="shared" si="13"/>
        <v>-1.8406526127488803</v>
      </c>
      <c r="K114" s="3"/>
      <c r="L114" s="3">
        <f t="shared" si="14"/>
        <v>251556.31</v>
      </c>
      <c r="M114" s="3"/>
      <c r="N114" s="26">
        <f t="shared" si="15"/>
        <v>-0.51669093748882511</v>
      </c>
      <c r="O114" s="9"/>
      <c r="P114" s="3">
        <v>-4166800.4</v>
      </c>
      <c r="Q114" s="3"/>
      <c r="R114" s="26">
        <f t="shared" si="16"/>
        <v>-0.53346900935263841</v>
      </c>
      <c r="S114" s="3"/>
      <c r="T114" s="3">
        <v>-2334827.4700000002</v>
      </c>
      <c r="U114" s="3"/>
      <c r="V114" s="26">
        <f t="shared" si="17"/>
        <v>-0.42653774025207325</v>
      </c>
      <c r="W114" s="3"/>
      <c r="X114" s="3">
        <f t="shared" si="18"/>
        <v>-1831972.9299999997</v>
      </c>
      <c r="Y114" s="3"/>
      <c r="Z114" s="26">
        <f t="shared" si="19"/>
        <v>0.78462882313098692</v>
      </c>
    </row>
    <row r="115" spans="1:26" s="69" customFormat="1" ht="15" hidden="1" customHeight="1" outlineLevel="1" x14ac:dyDescent="0.3">
      <c r="A115" s="47"/>
      <c r="B115" s="9" t="str">
        <f>CONCATENATE("          ","5300"," - ","COG$ OFFSET")</f>
        <v xml:space="preserve">          5300 - COG$ OFFSET</v>
      </c>
      <c r="C115" s="9"/>
      <c r="D115" s="3">
        <v>148138.38</v>
      </c>
      <c r="E115" s="3"/>
      <c r="F115" s="26">
        <f t="shared" ref="F115:F132" si="20">IF(D$12=0,0,D115/D$12)</f>
        <v>0.50827747532447831</v>
      </c>
      <c r="G115" s="3"/>
      <c r="H115" s="3">
        <v>155831</v>
      </c>
      <c r="I115" s="3"/>
      <c r="J115" s="26">
        <f t="shared" ref="J115:J132" si="21">IF(H$12=0,0,H115/H$12)</f>
        <v>0.58914380861580351</v>
      </c>
      <c r="K115" s="3"/>
      <c r="L115" s="3">
        <f t="shared" ref="L115:L132" si="22">+D115-H115</f>
        <v>-7692.6199999999953</v>
      </c>
      <c r="M115" s="3"/>
      <c r="N115" s="26">
        <f t="shared" ref="N115:N132" si="23">IF(H115=0,0,L115/H115)</f>
        <v>-4.9365145574372209E-2</v>
      </c>
      <c r="O115" s="9"/>
      <c r="P115" s="3">
        <v>3919885.02</v>
      </c>
      <c r="Q115" s="3"/>
      <c r="R115" s="26">
        <f t="shared" ref="R115:R132" si="24">IF(P$12=0,0,P115/P$12)</f>
        <v>0.50185681521861414</v>
      </c>
      <c r="S115" s="3"/>
      <c r="T115" s="3">
        <v>2797463</v>
      </c>
      <c r="U115" s="3"/>
      <c r="V115" s="26">
        <f t="shared" ref="V115:V132" si="25">IF(T$12=0,0,T115/T$12)</f>
        <v>0.51105426922991681</v>
      </c>
      <c r="W115" s="3"/>
      <c r="X115" s="3">
        <f t="shared" ref="X115:X132" si="26">+P115-T115</f>
        <v>1122422.02</v>
      </c>
      <c r="Y115" s="3"/>
      <c r="Z115" s="26">
        <f t="shared" ref="Z115:Z132" si="27">IF(T115=0,0,X115/T115)</f>
        <v>0.40122854886731302</v>
      </c>
    </row>
    <row r="116" spans="1:26" s="69" customFormat="1" ht="15" hidden="1" customHeight="1" outlineLevel="1" x14ac:dyDescent="0.3">
      <c r="A116" s="47"/>
      <c r="B116" s="9" t="str">
        <f>CONCATENATE("          ","5500"," - ","FREIGHT-IN")</f>
        <v xml:space="preserve">          5500 - FREIGHT-IN</v>
      </c>
      <c r="C116" s="9"/>
      <c r="D116" s="3">
        <v>9229.8799999999992</v>
      </c>
      <c r="E116" s="3"/>
      <c r="F116" s="26">
        <f t="shared" si="20"/>
        <v>3.1668633773016118E-2</v>
      </c>
      <c r="G116" s="3"/>
      <c r="H116" s="3">
        <v>65</v>
      </c>
      <c r="I116" s="3"/>
      <c r="J116" s="26">
        <f t="shared" si="21"/>
        <v>2.4574280829890862E-4</v>
      </c>
      <c r="K116" s="3"/>
      <c r="L116" s="3">
        <f t="shared" si="22"/>
        <v>9164.8799999999992</v>
      </c>
      <c r="M116" s="3"/>
      <c r="N116" s="26">
        <f t="shared" si="23"/>
        <v>140.99815384615383</v>
      </c>
      <c r="O116" s="9"/>
      <c r="P116" s="3">
        <v>204405.04</v>
      </c>
      <c r="Q116" s="3"/>
      <c r="R116" s="26">
        <f t="shared" si="24"/>
        <v>2.6169661065475188E-2</v>
      </c>
      <c r="S116" s="3"/>
      <c r="T116" s="3">
        <v>65</v>
      </c>
      <c r="U116" s="3"/>
      <c r="V116" s="26">
        <f t="shared" si="25"/>
        <v>1.1874518983788021E-5</v>
      </c>
      <c r="W116" s="3"/>
      <c r="X116" s="3">
        <f t="shared" si="26"/>
        <v>204340.04</v>
      </c>
      <c r="Y116" s="3"/>
      <c r="Z116" s="26">
        <f t="shared" si="27"/>
        <v>3143.6929230769233</v>
      </c>
    </row>
    <row r="117" spans="1:26" s="69" customFormat="1" ht="15" hidden="1" customHeight="1" outlineLevel="1" x14ac:dyDescent="0.3">
      <c r="A117" s="47"/>
      <c r="B117" s="9" t="str">
        <f>CONCATENATE("          ","5501"," - ","FREIGHT-IN-NEW TEXT")</f>
        <v xml:space="preserve">          5501 - FREIGHT-IN-NEW TEXT</v>
      </c>
      <c r="C117" s="9"/>
      <c r="D117" s="3"/>
      <c r="E117" s="3"/>
      <c r="F117" s="26">
        <f t="shared" si="20"/>
        <v>0</v>
      </c>
      <c r="G117" s="3"/>
      <c r="H117" s="3">
        <v>1565.85</v>
      </c>
      <c r="I117" s="3"/>
      <c r="J117" s="26">
        <f t="shared" si="21"/>
        <v>5.9199442519207082E-3</v>
      </c>
      <c r="K117" s="3"/>
      <c r="L117" s="3">
        <f t="shared" si="22"/>
        <v>-1565.85</v>
      </c>
      <c r="M117" s="3"/>
      <c r="N117" s="26">
        <f t="shared" si="23"/>
        <v>-1</v>
      </c>
      <c r="O117" s="9"/>
      <c r="P117" s="3">
        <v>0</v>
      </c>
      <c r="Q117" s="3"/>
      <c r="R117" s="26">
        <f t="shared" si="24"/>
        <v>0</v>
      </c>
      <c r="S117" s="3"/>
      <c r="T117" s="3">
        <v>53401.99</v>
      </c>
      <c r="U117" s="3"/>
      <c r="V117" s="26">
        <f t="shared" si="25"/>
        <v>9.7557376004162779E-3</v>
      </c>
      <c r="W117" s="3"/>
      <c r="X117" s="3">
        <f t="shared" si="26"/>
        <v>-53401.99</v>
      </c>
      <c r="Y117" s="3"/>
      <c r="Z117" s="26">
        <f t="shared" si="27"/>
        <v>-1</v>
      </c>
    </row>
    <row r="118" spans="1:26" s="69" customFormat="1" ht="15" hidden="1" customHeight="1" outlineLevel="1" x14ac:dyDescent="0.3">
      <c r="A118" s="47"/>
      <c r="B118" s="9" t="str">
        <f>CONCATENATE("          ","5502"," - ","FREIGHT-IN-USED TEXT")</f>
        <v xml:space="preserve">          5502 - FREIGHT-IN-USED TEXT</v>
      </c>
      <c r="C118" s="9"/>
      <c r="D118" s="3"/>
      <c r="E118" s="3"/>
      <c r="F118" s="26">
        <f t="shared" si="20"/>
        <v>0</v>
      </c>
      <c r="G118" s="3"/>
      <c r="H118" s="3">
        <v>149.80000000000001</v>
      </c>
      <c r="I118" s="3"/>
      <c r="J118" s="26">
        <f t="shared" si="21"/>
        <v>5.6634265666425407E-4</v>
      </c>
      <c r="K118" s="3"/>
      <c r="L118" s="3">
        <f t="shared" si="22"/>
        <v>-149.80000000000001</v>
      </c>
      <c r="M118" s="3"/>
      <c r="N118" s="26">
        <f t="shared" si="23"/>
        <v>-1</v>
      </c>
      <c r="O118" s="9"/>
      <c r="P118" s="3">
        <v>0</v>
      </c>
      <c r="Q118" s="3"/>
      <c r="R118" s="26">
        <f t="shared" si="24"/>
        <v>0</v>
      </c>
      <c r="S118" s="3"/>
      <c r="T118" s="3">
        <v>18142.669999999998</v>
      </c>
      <c r="U118" s="3"/>
      <c r="V118" s="26">
        <f t="shared" si="25"/>
        <v>3.314391989716945E-3</v>
      </c>
      <c r="W118" s="3"/>
      <c r="X118" s="3">
        <f t="shared" si="26"/>
        <v>-18142.669999999998</v>
      </c>
      <c r="Y118" s="3"/>
      <c r="Z118" s="26">
        <f t="shared" si="27"/>
        <v>-1</v>
      </c>
    </row>
    <row r="119" spans="1:26" s="69" customFormat="1" ht="15" hidden="1" customHeight="1" outlineLevel="1" x14ac:dyDescent="0.3">
      <c r="A119" s="47"/>
      <c r="B119" s="9" t="str">
        <f>CONCATENATE("          ","5504"," - ","FREIGHT-IN-DIGITAL TEXT")</f>
        <v xml:space="preserve">          5504 - FREIGHT-IN-DIGITAL TEXT</v>
      </c>
      <c r="C119" s="9"/>
      <c r="D119" s="3"/>
      <c r="E119" s="3"/>
      <c r="F119" s="26">
        <f t="shared" si="20"/>
        <v>0</v>
      </c>
      <c r="G119" s="3"/>
      <c r="H119" s="3">
        <v>4.28</v>
      </c>
      <c r="I119" s="3"/>
      <c r="J119" s="26">
        <f t="shared" si="21"/>
        <v>1.6181218761835828E-5</v>
      </c>
      <c r="K119" s="3"/>
      <c r="L119" s="3">
        <f t="shared" si="22"/>
        <v>-4.28</v>
      </c>
      <c r="M119" s="3"/>
      <c r="N119" s="26">
        <f t="shared" si="23"/>
        <v>-1</v>
      </c>
      <c r="O119" s="9"/>
      <c r="P119" s="3"/>
      <c r="Q119" s="3"/>
      <c r="R119" s="26">
        <f t="shared" si="24"/>
        <v>0</v>
      </c>
      <c r="S119" s="3"/>
      <c r="T119" s="3">
        <v>33.200000000000003</v>
      </c>
      <c r="U119" s="3"/>
      <c r="V119" s="26">
        <f t="shared" si="25"/>
        <v>6.065138927104036E-6</v>
      </c>
      <c r="W119" s="3"/>
      <c r="X119" s="3">
        <f t="shared" si="26"/>
        <v>-33.200000000000003</v>
      </c>
      <c r="Y119" s="3"/>
      <c r="Z119" s="26">
        <f t="shared" si="27"/>
        <v>-1</v>
      </c>
    </row>
    <row r="120" spans="1:26" s="69" customFormat="1" ht="15" hidden="1" customHeight="1" outlineLevel="1" x14ac:dyDescent="0.3">
      <c r="A120" s="47"/>
      <c r="B120" s="9" t="str">
        <f>CONCATENATE("          ","5513"," - ","FREIGHT-IN-TRADE BOOKS")</f>
        <v xml:space="preserve">          5513 - FREIGHT-IN-TRADE BOOKS</v>
      </c>
      <c r="C120" s="9"/>
      <c r="D120" s="3"/>
      <c r="E120" s="3"/>
      <c r="F120" s="26">
        <f t="shared" si="20"/>
        <v>0</v>
      </c>
      <c r="G120" s="3"/>
      <c r="H120" s="3"/>
      <c r="I120" s="3"/>
      <c r="J120" s="26">
        <f t="shared" si="21"/>
        <v>0</v>
      </c>
      <c r="K120" s="3"/>
      <c r="L120" s="3">
        <f t="shared" si="22"/>
        <v>0</v>
      </c>
      <c r="M120" s="3"/>
      <c r="N120" s="26">
        <f t="shared" si="23"/>
        <v>0</v>
      </c>
      <c r="O120" s="9"/>
      <c r="P120" s="3"/>
      <c r="Q120" s="3"/>
      <c r="R120" s="26">
        <f t="shared" si="24"/>
        <v>0</v>
      </c>
      <c r="S120" s="3"/>
      <c r="T120" s="3">
        <v>85.28</v>
      </c>
      <c r="U120" s="3"/>
      <c r="V120" s="26">
        <f t="shared" si="25"/>
        <v>1.5579368906729886E-5</v>
      </c>
      <c r="W120" s="3"/>
      <c r="X120" s="3">
        <f t="shared" si="26"/>
        <v>-85.28</v>
      </c>
      <c r="Y120" s="3"/>
      <c r="Z120" s="26">
        <f t="shared" si="27"/>
        <v>-1</v>
      </c>
    </row>
    <row r="121" spans="1:26" s="69" customFormat="1" ht="15" hidden="1" customHeight="1" outlineLevel="1" x14ac:dyDescent="0.3">
      <c r="A121" s="47"/>
      <c r="B121" s="9" t="str">
        <f>CONCATENATE("          ","5518"," - ","FREIGHT-IN-STUDY GUIDES")</f>
        <v xml:space="preserve">          5518 - FREIGHT-IN-STUDY GUIDES</v>
      </c>
      <c r="C121" s="9"/>
      <c r="D121" s="3"/>
      <c r="E121" s="3"/>
      <c r="F121" s="26">
        <f t="shared" si="20"/>
        <v>0</v>
      </c>
      <c r="G121" s="3"/>
      <c r="H121" s="3"/>
      <c r="I121" s="3"/>
      <c r="J121" s="26">
        <f t="shared" si="21"/>
        <v>0</v>
      </c>
      <c r="K121" s="3"/>
      <c r="L121" s="3">
        <f t="shared" si="22"/>
        <v>0</v>
      </c>
      <c r="M121" s="3"/>
      <c r="N121" s="26">
        <f t="shared" si="23"/>
        <v>0</v>
      </c>
      <c r="O121" s="9"/>
      <c r="P121" s="3">
        <v>0</v>
      </c>
      <c r="Q121" s="3"/>
      <c r="R121" s="26">
        <f t="shared" si="24"/>
        <v>0</v>
      </c>
      <c r="S121" s="3"/>
      <c r="T121" s="3"/>
      <c r="U121" s="3"/>
      <c r="V121" s="26">
        <f t="shared" si="25"/>
        <v>0</v>
      </c>
      <c r="W121" s="3"/>
      <c r="X121" s="3">
        <f t="shared" si="26"/>
        <v>0</v>
      </c>
      <c r="Y121" s="3"/>
      <c r="Z121" s="26">
        <f t="shared" si="27"/>
        <v>0</v>
      </c>
    </row>
    <row r="122" spans="1:26" s="69" customFormat="1" ht="15" hidden="1" customHeight="1" outlineLevel="1" x14ac:dyDescent="0.3">
      <c r="A122" s="47"/>
      <c r="B122" s="9" t="str">
        <f>CONCATENATE("          ","5525"," - ","FREIGHT-IN-TEST FORMS")</f>
        <v xml:space="preserve">          5525 - FREIGHT-IN-TEST FORMS</v>
      </c>
      <c r="C122" s="9"/>
      <c r="D122" s="3"/>
      <c r="E122" s="3"/>
      <c r="F122" s="26">
        <f t="shared" si="20"/>
        <v>0</v>
      </c>
      <c r="G122" s="3"/>
      <c r="H122" s="3"/>
      <c r="I122" s="3"/>
      <c r="J122" s="26">
        <f t="shared" si="21"/>
        <v>0</v>
      </c>
      <c r="K122" s="3"/>
      <c r="L122" s="3">
        <f t="shared" si="22"/>
        <v>0</v>
      </c>
      <c r="M122" s="3"/>
      <c r="N122" s="26">
        <f t="shared" si="23"/>
        <v>0</v>
      </c>
      <c r="O122" s="9"/>
      <c r="P122" s="3"/>
      <c r="Q122" s="3"/>
      <c r="R122" s="26">
        <f t="shared" si="24"/>
        <v>0</v>
      </c>
      <c r="S122" s="3"/>
      <c r="T122" s="3">
        <v>48.14</v>
      </c>
      <c r="U122" s="3"/>
      <c r="V122" s="26">
        <f t="shared" si="25"/>
        <v>8.7944514443008524E-6</v>
      </c>
      <c r="W122" s="3"/>
      <c r="X122" s="3">
        <f t="shared" si="26"/>
        <v>-48.14</v>
      </c>
      <c r="Y122" s="3"/>
      <c r="Z122" s="26">
        <f t="shared" si="27"/>
        <v>-1</v>
      </c>
    </row>
    <row r="123" spans="1:26" s="69" customFormat="1" ht="15" hidden="1" customHeight="1" outlineLevel="1" x14ac:dyDescent="0.3">
      <c r="A123" s="47"/>
      <c r="B123" s="9" t="str">
        <f>CONCATENATE("          ","5526"," - ","FREIGHT-IN-WRITING INSTRUMENTS")</f>
        <v xml:space="preserve">          5526 - FREIGHT-IN-WRITING INSTRUMENTS</v>
      </c>
      <c r="C123" s="9"/>
      <c r="D123" s="3"/>
      <c r="E123" s="3"/>
      <c r="F123" s="26">
        <f t="shared" si="20"/>
        <v>0</v>
      </c>
      <c r="G123" s="3"/>
      <c r="H123" s="3"/>
      <c r="I123" s="3"/>
      <c r="J123" s="26">
        <f t="shared" si="21"/>
        <v>0</v>
      </c>
      <c r="K123" s="3"/>
      <c r="L123" s="3">
        <f t="shared" si="22"/>
        <v>0</v>
      </c>
      <c r="M123" s="3"/>
      <c r="N123" s="26">
        <f t="shared" si="23"/>
        <v>0</v>
      </c>
      <c r="O123" s="9"/>
      <c r="P123" s="3"/>
      <c r="Q123" s="3"/>
      <c r="R123" s="26">
        <f t="shared" si="24"/>
        <v>0</v>
      </c>
      <c r="S123" s="3"/>
      <c r="T123" s="3">
        <v>0</v>
      </c>
      <c r="U123" s="3"/>
      <c r="V123" s="26">
        <f t="shared" si="25"/>
        <v>0</v>
      </c>
      <c r="W123" s="3"/>
      <c r="X123" s="3">
        <f t="shared" si="26"/>
        <v>0</v>
      </c>
      <c r="Y123" s="3"/>
      <c r="Z123" s="26">
        <f t="shared" si="27"/>
        <v>0</v>
      </c>
    </row>
    <row r="124" spans="1:26" s="69" customFormat="1" ht="15" hidden="1" customHeight="1" outlineLevel="1" x14ac:dyDescent="0.3">
      <c r="A124" s="47"/>
      <c r="B124" s="9" t="str">
        <f>CONCATENATE("          ","5527"," - ","FREIGHT-IN-SCHOOL SUPPLIES")</f>
        <v xml:space="preserve">          5527 - FREIGHT-IN-SCHOOL SUPPLIES</v>
      </c>
      <c r="C124" s="9"/>
      <c r="D124" s="3"/>
      <c r="E124" s="3"/>
      <c r="F124" s="26">
        <f t="shared" si="20"/>
        <v>0</v>
      </c>
      <c r="G124" s="3"/>
      <c r="H124" s="3">
        <v>58.29</v>
      </c>
      <c r="I124" s="3"/>
      <c r="J124" s="26">
        <f t="shared" si="21"/>
        <v>2.2037458916528282E-4</v>
      </c>
      <c r="K124" s="3"/>
      <c r="L124" s="3">
        <f t="shared" si="22"/>
        <v>-58.29</v>
      </c>
      <c r="M124" s="3"/>
      <c r="N124" s="26">
        <f t="shared" si="23"/>
        <v>-1</v>
      </c>
      <c r="O124" s="9"/>
      <c r="P124" s="3">
        <v>0</v>
      </c>
      <c r="Q124" s="3"/>
      <c r="R124" s="26">
        <f t="shared" si="24"/>
        <v>0</v>
      </c>
      <c r="S124" s="3"/>
      <c r="T124" s="3">
        <v>276.91000000000003</v>
      </c>
      <c r="U124" s="3"/>
      <c r="V124" s="26">
        <f t="shared" si="25"/>
        <v>5.0587277720011405E-5</v>
      </c>
      <c r="W124" s="3"/>
      <c r="X124" s="3">
        <f t="shared" si="26"/>
        <v>-276.91000000000003</v>
      </c>
      <c r="Y124" s="3"/>
      <c r="Z124" s="26">
        <f t="shared" si="27"/>
        <v>-1</v>
      </c>
    </row>
    <row r="125" spans="1:26" s="69" customFormat="1" ht="15" hidden="1" customHeight="1" outlineLevel="1" x14ac:dyDescent="0.3">
      <c r="A125" s="47"/>
      <c r="B125" s="9" t="str">
        <f>CONCATENATE("          ","5528"," - ","FREIGHT-IN-ART/TECH")</f>
        <v xml:space="preserve">          5528 - FREIGHT-IN-ART/TECH</v>
      </c>
      <c r="C125" s="9"/>
      <c r="D125" s="3"/>
      <c r="E125" s="3"/>
      <c r="F125" s="26">
        <f t="shared" si="20"/>
        <v>0</v>
      </c>
      <c r="G125" s="3"/>
      <c r="H125" s="3">
        <v>102.68</v>
      </c>
      <c r="I125" s="3"/>
      <c r="J125" s="26">
        <f t="shared" si="21"/>
        <v>3.8819802394049133E-4</v>
      </c>
      <c r="K125" s="3"/>
      <c r="L125" s="3">
        <f t="shared" si="22"/>
        <v>-102.68</v>
      </c>
      <c r="M125" s="3"/>
      <c r="N125" s="26">
        <f t="shared" si="23"/>
        <v>-1</v>
      </c>
      <c r="O125" s="9"/>
      <c r="P125" s="3">
        <v>0</v>
      </c>
      <c r="Q125" s="3"/>
      <c r="R125" s="26">
        <f t="shared" si="24"/>
        <v>0</v>
      </c>
      <c r="S125" s="3"/>
      <c r="T125" s="3">
        <v>675.64</v>
      </c>
      <c r="U125" s="3"/>
      <c r="V125" s="26">
        <f t="shared" si="25"/>
        <v>1.2342923086471598E-4</v>
      </c>
      <c r="W125" s="3"/>
      <c r="X125" s="3">
        <f t="shared" si="26"/>
        <v>-675.64</v>
      </c>
      <c r="Y125" s="3"/>
      <c r="Z125" s="26">
        <f t="shared" si="27"/>
        <v>-1</v>
      </c>
    </row>
    <row r="126" spans="1:26" s="69" customFormat="1" ht="15" hidden="1" customHeight="1" outlineLevel="1" x14ac:dyDescent="0.3">
      <c r="A126" s="47"/>
      <c r="B126" s="9" t="str">
        <f>CONCATENATE("          ","5540"," - ","FREIGHT-IN-LOGO CLOTHING")</f>
        <v xml:space="preserve">          5540 - FREIGHT-IN-LOGO CLOTHING</v>
      </c>
      <c r="C126" s="9"/>
      <c r="D126" s="3"/>
      <c r="E126" s="3"/>
      <c r="F126" s="26">
        <f t="shared" si="20"/>
        <v>0</v>
      </c>
      <c r="G126" s="3"/>
      <c r="H126" s="3">
        <v>1384.09</v>
      </c>
      <c r="I126" s="3"/>
      <c r="J126" s="26">
        <f t="shared" si="21"/>
        <v>5.232771746745175E-3</v>
      </c>
      <c r="K126" s="3"/>
      <c r="L126" s="3">
        <f t="shared" si="22"/>
        <v>-1384.09</v>
      </c>
      <c r="M126" s="3"/>
      <c r="N126" s="26">
        <f t="shared" si="23"/>
        <v>-1</v>
      </c>
      <c r="O126" s="9"/>
      <c r="P126" s="3">
        <v>0</v>
      </c>
      <c r="Q126" s="3"/>
      <c r="R126" s="26">
        <f t="shared" si="24"/>
        <v>0</v>
      </c>
      <c r="S126" s="3"/>
      <c r="T126" s="3">
        <v>11883.79</v>
      </c>
      <c r="U126" s="3"/>
      <c r="V126" s="26">
        <f t="shared" si="25"/>
        <v>2.1709890762207735E-3</v>
      </c>
      <c r="W126" s="3"/>
      <c r="X126" s="3">
        <f t="shared" si="26"/>
        <v>-11883.79</v>
      </c>
      <c r="Y126" s="3"/>
      <c r="Z126" s="26">
        <f t="shared" si="27"/>
        <v>-1</v>
      </c>
    </row>
    <row r="127" spans="1:26" s="69" customFormat="1" ht="15" hidden="1" customHeight="1" outlineLevel="1" x14ac:dyDescent="0.3">
      <c r="A127" s="47"/>
      <c r="B127" s="9" t="str">
        <f>CONCATENATE("          ","5541"," - ","FREIGHT-IN-LOGO GIFTS")</f>
        <v xml:space="preserve">          5541 - FREIGHT-IN-LOGO GIFTS</v>
      </c>
      <c r="C127" s="9"/>
      <c r="D127" s="3"/>
      <c r="E127" s="3"/>
      <c r="F127" s="26">
        <f t="shared" si="20"/>
        <v>0</v>
      </c>
      <c r="G127" s="3"/>
      <c r="H127" s="3">
        <v>1606.81</v>
      </c>
      <c r="I127" s="3"/>
      <c r="J127" s="26">
        <f t="shared" si="21"/>
        <v>6.0748000277349124E-3</v>
      </c>
      <c r="K127" s="3"/>
      <c r="L127" s="3">
        <f t="shared" si="22"/>
        <v>-1606.81</v>
      </c>
      <c r="M127" s="3"/>
      <c r="N127" s="26">
        <f t="shared" si="23"/>
        <v>-1</v>
      </c>
      <c r="O127" s="9"/>
      <c r="P127" s="3">
        <v>0</v>
      </c>
      <c r="Q127" s="3"/>
      <c r="R127" s="26">
        <f t="shared" si="24"/>
        <v>0</v>
      </c>
      <c r="S127" s="3"/>
      <c r="T127" s="3">
        <v>7584.01</v>
      </c>
      <c r="U127" s="3"/>
      <c r="V127" s="26">
        <f t="shared" si="25"/>
        <v>1.3854841648959723E-3</v>
      </c>
      <c r="W127" s="3"/>
      <c r="X127" s="3">
        <f t="shared" si="26"/>
        <v>-7584.01</v>
      </c>
      <c r="Y127" s="3"/>
      <c r="Z127" s="26">
        <f t="shared" si="27"/>
        <v>-1</v>
      </c>
    </row>
    <row r="128" spans="1:26" s="69" customFormat="1" ht="15" hidden="1" customHeight="1" outlineLevel="1" x14ac:dyDescent="0.3">
      <c r="A128" s="47"/>
      <c r="B128" s="9" t="str">
        <f>CONCATENATE("          ","5542"," - ","FREIGHT-IN-EVERYDAY GIFTS")</f>
        <v xml:space="preserve">          5542 - FREIGHT-IN-EVERYDAY GIFTS</v>
      </c>
      <c r="C128" s="9"/>
      <c r="D128" s="3"/>
      <c r="E128" s="3"/>
      <c r="F128" s="26">
        <f t="shared" si="20"/>
        <v>0</v>
      </c>
      <c r="G128" s="3"/>
      <c r="H128" s="3"/>
      <c r="I128" s="3"/>
      <c r="J128" s="26">
        <f t="shared" si="21"/>
        <v>0</v>
      </c>
      <c r="K128" s="3"/>
      <c r="L128" s="3">
        <f t="shared" si="22"/>
        <v>0</v>
      </c>
      <c r="M128" s="3"/>
      <c r="N128" s="26">
        <f t="shared" si="23"/>
        <v>0</v>
      </c>
      <c r="O128" s="9"/>
      <c r="P128" s="3">
        <v>0</v>
      </c>
      <c r="Q128" s="3"/>
      <c r="R128" s="26">
        <f t="shared" si="24"/>
        <v>0</v>
      </c>
      <c r="S128" s="3"/>
      <c r="T128" s="3">
        <v>681.72</v>
      </c>
      <c r="U128" s="3"/>
      <c r="V128" s="26">
        <f t="shared" si="25"/>
        <v>1.2453995510196877E-4</v>
      </c>
      <c r="W128" s="3"/>
      <c r="X128" s="3">
        <f t="shared" si="26"/>
        <v>-681.72</v>
      </c>
      <c r="Y128" s="3"/>
      <c r="Z128" s="26">
        <f t="shared" si="27"/>
        <v>-1</v>
      </c>
    </row>
    <row r="129" spans="1:26" s="69" customFormat="1" ht="15" hidden="1" customHeight="1" outlineLevel="1" x14ac:dyDescent="0.3">
      <c r="A129" s="47"/>
      <c r="B129" s="9" t="str">
        <f>CONCATENATE("          ","5543"," - ","FREIGHT-IN-CARDS")</f>
        <v xml:space="preserve">          5543 - FREIGHT-IN-CARDS</v>
      </c>
      <c r="C129" s="9"/>
      <c r="D129" s="3"/>
      <c r="E129" s="3"/>
      <c r="F129" s="26">
        <f t="shared" si="20"/>
        <v>0</v>
      </c>
      <c r="G129" s="3"/>
      <c r="H129" s="3"/>
      <c r="I129" s="3"/>
      <c r="J129" s="26">
        <f t="shared" si="21"/>
        <v>0</v>
      </c>
      <c r="K129" s="3"/>
      <c r="L129" s="3">
        <f t="shared" si="22"/>
        <v>0</v>
      </c>
      <c r="M129" s="3"/>
      <c r="N129" s="26">
        <f t="shared" si="23"/>
        <v>0</v>
      </c>
      <c r="O129" s="9"/>
      <c r="P129" s="3"/>
      <c r="Q129" s="3"/>
      <c r="R129" s="26">
        <f t="shared" si="24"/>
        <v>0</v>
      </c>
      <c r="S129" s="3"/>
      <c r="T129" s="3">
        <v>9110.5300000000007</v>
      </c>
      <c r="U129" s="3"/>
      <c r="V129" s="26">
        <f t="shared" si="25"/>
        <v>1.6643563298056969E-3</v>
      </c>
      <c r="W129" s="3"/>
      <c r="X129" s="3">
        <f t="shared" si="26"/>
        <v>-9110.5300000000007</v>
      </c>
      <c r="Y129" s="3"/>
      <c r="Z129" s="26">
        <f t="shared" si="27"/>
        <v>-1</v>
      </c>
    </row>
    <row r="130" spans="1:26" s="69" customFormat="1" ht="15" hidden="1" customHeight="1" outlineLevel="1" x14ac:dyDescent="0.3">
      <c r="A130" s="47"/>
      <c r="B130" s="9" t="str">
        <f>CONCATENATE("          ","5544"," - ","FREIGHT-IN-ACCESSORIES")</f>
        <v xml:space="preserve">          5544 - FREIGHT-IN-ACCESSORIES</v>
      </c>
      <c r="C130" s="9"/>
      <c r="D130" s="3"/>
      <c r="E130" s="3"/>
      <c r="F130" s="26">
        <f t="shared" si="20"/>
        <v>0</v>
      </c>
      <c r="G130" s="3"/>
      <c r="H130" s="3">
        <v>48.59</v>
      </c>
      <c r="I130" s="3"/>
      <c r="J130" s="26">
        <f t="shared" si="21"/>
        <v>1.8370220084990723E-4</v>
      </c>
      <c r="K130" s="3"/>
      <c r="L130" s="3">
        <f t="shared" si="22"/>
        <v>-48.59</v>
      </c>
      <c r="M130" s="3"/>
      <c r="N130" s="26">
        <f t="shared" si="23"/>
        <v>-1</v>
      </c>
      <c r="O130" s="9"/>
      <c r="P130" s="3">
        <v>0</v>
      </c>
      <c r="Q130" s="3"/>
      <c r="R130" s="26">
        <f t="shared" si="24"/>
        <v>0</v>
      </c>
      <c r="S130" s="3"/>
      <c r="T130" s="3">
        <v>48.59</v>
      </c>
      <c r="U130" s="3"/>
      <c r="V130" s="26">
        <f t="shared" si="25"/>
        <v>8.8766596526501535E-6</v>
      </c>
      <c r="W130" s="3"/>
      <c r="X130" s="3">
        <f t="shared" si="26"/>
        <v>-48.59</v>
      </c>
      <c r="Y130" s="3"/>
      <c r="Z130" s="26">
        <f t="shared" si="27"/>
        <v>-1</v>
      </c>
    </row>
    <row r="131" spans="1:26" s="69" customFormat="1" ht="15" hidden="1" customHeight="1" outlineLevel="1" x14ac:dyDescent="0.3">
      <c r="A131" s="47"/>
      <c r="B131" s="9" t="str">
        <f>CONCATENATE("          ","5545"," - ","FREIGHT-IN-SPECIAL ORDERS")</f>
        <v xml:space="preserve">          5545 - FREIGHT-IN-SPECIAL ORDERS</v>
      </c>
      <c r="C131" s="9"/>
      <c r="D131" s="3"/>
      <c r="E131" s="3"/>
      <c r="F131" s="26">
        <f t="shared" si="20"/>
        <v>0</v>
      </c>
      <c r="G131" s="3"/>
      <c r="H131" s="3">
        <v>90.41</v>
      </c>
      <c r="I131" s="3"/>
      <c r="J131" s="26">
        <f t="shared" si="21"/>
        <v>3.4180934305083578E-4</v>
      </c>
      <c r="K131" s="3"/>
      <c r="L131" s="3">
        <f t="shared" si="22"/>
        <v>-90.41</v>
      </c>
      <c r="M131" s="3"/>
      <c r="N131" s="26">
        <f t="shared" si="23"/>
        <v>-1</v>
      </c>
      <c r="O131" s="9"/>
      <c r="P131" s="3">
        <v>0</v>
      </c>
      <c r="Q131" s="3"/>
      <c r="R131" s="26">
        <f t="shared" si="24"/>
        <v>0</v>
      </c>
      <c r="S131" s="3"/>
      <c r="T131" s="3">
        <v>2559.0700000000002</v>
      </c>
      <c r="U131" s="3"/>
      <c r="V131" s="26">
        <f t="shared" si="25"/>
        <v>4.675034660898833E-4</v>
      </c>
      <c r="W131" s="3"/>
      <c r="X131" s="3">
        <f t="shared" si="26"/>
        <v>-2559.0700000000002</v>
      </c>
      <c r="Y131" s="3"/>
      <c r="Z131" s="26">
        <f t="shared" si="27"/>
        <v>-1</v>
      </c>
    </row>
    <row r="132" spans="1:26" s="69" customFormat="1" ht="15" hidden="1" customHeight="1" outlineLevel="1" x14ac:dyDescent="0.3">
      <c r="A132" s="47"/>
      <c r="B132" s="9" t="str">
        <f>CONCATENATE("          ","5592"," - ","FREIGHT-IN-GRAD MERCH")</f>
        <v xml:space="preserve">          5592 - FREIGHT-IN-GRAD MERCH</v>
      </c>
      <c r="C132" s="9"/>
      <c r="D132" s="3"/>
      <c r="E132" s="3"/>
      <c r="F132" s="26">
        <f t="shared" si="20"/>
        <v>0</v>
      </c>
      <c r="G132" s="3"/>
      <c r="H132" s="3"/>
      <c r="I132" s="3"/>
      <c r="J132" s="26">
        <f t="shared" si="21"/>
        <v>0</v>
      </c>
      <c r="K132" s="3"/>
      <c r="L132" s="3">
        <f t="shared" si="22"/>
        <v>0</v>
      </c>
      <c r="M132" s="3"/>
      <c r="N132" s="26">
        <f t="shared" si="23"/>
        <v>0</v>
      </c>
      <c r="O132" s="9"/>
      <c r="P132" s="3"/>
      <c r="Q132" s="3"/>
      <c r="R132" s="26">
        <f t="shared" si="24"/>
        <v>0</v>
      </c>
      <c r="S132" s="3"/>
      <c r="T132" s="3">
        <v>0</v>
      </c>
      <c r="U132" s="3"/>
      <c r="V132" s="26">
        <f t="shared" si="25"/>
        <v>0</v>
      </c>
      <c r="W132" s="3"/>
      <c r="X132" s="3">
        <f t="shared" si="26"/>
        <v>0</v>
      </c>
      <c r="Y132" s="3"/>
      <c r="Z132" s="26">
        <f t="shared" si="27"/>
        <v>0</v>
      </c>
    </row>
    <row r="133" spans="1:26" ht="15" customHeight="1" x14ac:dyDescent="0.3">
      <c r="A133" s="12"/>
      <c r="B133" s="13"/>
      <c r="C133" s="13"/>
      <c r="D133" s="4"/>
      <c r="E133" s="4"/>
      <c r="F133" s="10"/>
      <c r="G133" s="4"/>
      <c r="H133" s="4"/>
      <c r="I133" s="4"/>
      <c r="J133" s="10"/>
      <c r="K133" s="4"/>
      <c r="L133" s="4"/>
      <c r="M133" s="4"/>
      <c r="N133" s="10"/>
      <c r="O133" s="13"/>
      <c r="P133" s="4"/>
      <c r="Q133" s="4"/>
      <c r="R133" s="10"/>
      <c r="S133" s="4"/>
      <c r="T133" s="4"/>
      <c r="U133" s="4"/>
      <c r="V133" s="10"/>
      <c r="W133" s="4"/>
      <c r="X133" s="4"/>
      <c r="Y133" s="4"/>
      <c r="Z133" s="10"/>
    </row>
    <row r="134" spans="1:26" s="62" customFormat="1" ht="15" customHeight="1" x14ac:dyDescent="0.3">
      <c r="A134" s="13"/>
      <c r="B134" s="28" t="s">
        <v>288</v>
      </c>
      <c r="C134" s="28"/>
      <c r="D134" s="22">
        <f>D12-D83</f>
        <v>-141313.4200000001</v>
      </c>
      <c r="E134" s="15"/>
      <c r="F134" s="24">
        <f>IF(D$12=0,0,D134/D$12)</f>
        <v>-0.4848603606105838</v>
      </c>
      <c r="G134" s="15"/>
      <c r="H134" s="22">
        <f>H12-H83</f>
        <v>1209.3600000001024</v>
      </c>
      <c r="I134" s="15"/>
      <c r="J134" s="24">
        <f>IF(H$12=0,0,H134/H$12)</f>
        <v>4.5721772714522046E-3</v>
      </c>
      <c r="K134" s="17"/>
      <c r="L134" s="22">
        <f>+D134-H134</f>
        <v>-142522.7800000002</v>
      </c>
      <c r="M134" s="17"/>
      <c r="N134" s="24">
        <f>IF(H134=0,0,L134/H134)</f>
        <v>-117.84975524243247</v>
      </c>
      <c r="O134" s="27"/>
      <c r="P134" s="22">
        <f>P12-P83</f>
        <v>3304359.8200000012</v>
      </c>
      <c r="Q134" s="15"/>
      <c r="R134" s="24">
        <f>IF(P$12=0,0,P134/P$12)</f>
        <v>0.42305207605338219</v>
      </c>
      <c r="S134" s="15"/>
      <c r="T134" s="22">
        <f>T12-T83</f>
        <v>2017830.2999999984</v>
      </c>
      <c r="U134" s="15"/>
      <c r="V134" s="24">
        <f>IF(T$12=0,0,T134/T$12)</f>
        <v>0.36862714159096399</v>
      </c>
      <c r="W134" s="17"/>
      <c r="X134" s="22">
        <f>+P134-T134</f>
        <v>1286529.5200000028</v>
      </c>
      <c r="Y134" s="17"/>
      <c r="Z134" s="24">
        <f>IF(T134=0,0,X134/T134)</f>
        <v>0.63758063301953782</v>
      </c>
    </row>
    <row r="135" spans="1:26" ht="15" customHeight="1" x14ac:dyDescent="0.3">
      <c r="A135" s="12"/>
      <c r="B135" s="13"/>
      <c r="C135" s="12"/>
      <c r="D135" s="2"/>
      <c r="E135" s="2"/>
      <c r="F135" s="5"/>
      <c r="G135" s="2"/>
      <c r="H135" s="2"/>
      <c r="I135" s="2"/>
      <c r="J135" s="5"/>
      <c r="K135" s="2"/>
      <c r="L135" s="2"/>
      <c r="M135" s="2"/>
      <c r="N135" s="5"/>
      <c r="O135" s="37"/>
      <c r="P135" s="2"/>
      <c r="Q135" s="2"/>
      <c r="R135" s="5"/>
      <c r="S135" s="2"/>
      <c r="T135" s="2"/>
      <c r="U135" s="2"/>
      <c r="V135" s="5"/>
      <c r="W135" s="2"/>
      <c r="X135" s="2"/>
      <c r="Y135" s="2"/>
      <c r="Z135" s="5"/>
    </row>
    <row r="136" spans="1:26" s="62" customFormat="1" ht="15" customHeight="1" x14ac:dyDescent="0.3">
      <c r="A136" s="13"/>
      <c r="B136" s="27" t="s">
        <v>289</v>
      </c>
      <c r="C136" s="13"/>
      <c r="D136" s="23" cm="1">
        <f t="array" ref="D136">SUM(OSRRefD22x_0)</f>
        <v>237402.07000000004</v>
      </c>
      <c r="E136" s="23"/>
      <c r="F136" s="34">
        <f t="shared" ref="F136:F167" si="28">IF(D$12=0,0,D136/D$12)</f>
        <v>0.81455004959825461</v>
      </c>
      <c r="G136" s="23"/>
      <c r="H136" s="23" cm="1">
        <f t="array" ref="H136">SUM(OSRRefH22x_0)</f>
        <v>249472.28</v>
      </c>
      <c r="I136" s="23"/>
      <c r="J136" s="34">
        <f t="shared" ref="J136:J167" si="29">IF(H$12=0,0,H136/H$12)</f>
        <v>0.94316951815279459</v>
      </c>
      <c r="K136" s="8"/>
      <c r="L136" s="23">
        <f t="shared" ref="L136:L167" si="30">+D136-H136</f>
        <v>-12070.209999999963</v>
      </c>
      <c r="M136" s="8"/>
      <c r="N136" s="34">
        <f t="shared" ref="N136:N167" si="31">IF(H136=0,0,L136/H136)</f>
        <v>-4.838297064507513E-2</v>
      </c>
      <c r="O136" s="13"/>
      <c r="P136" s="23" cm="1">
        <f t="array" ref="P136">SUM(OSRRefP22x_0)</f>
        <v>3775251.8799999994</v>
      </c>
      <c r="Q136" s="23"/>
      <c r="R136" s="34">
        <f t="shared" ref="R136:R167" si="32">IF(P$12=0,0,P136/P$12)</f>
        <v>0.48333965804560391</v>
      </c>
      <c r="S136" s="23"/>
      <c r="T136" s="23" cm="1">
        <f t="array" ref="T136">SUM(OSRRefT22x_0)</f>
        <v>3118538.1200000024</v>
      </c>
      <c r="U136" s="23"/>
      <c r="V136" s="34">
        <f t="shared" ref="V136:V167" si="33">IF(T$12=0,0,T136/T$12)</f>
        <v>0.56970984780933287</v>
      </c>
      <c r="W136" s="8"/>
      <c r="X136" s="23">
        <f t="shared" ref="X136:X167" si="34">+P136-T136</f>
        <v>656713.75999999698</v>
      </c>
      <c r="Y136" s="8"/>
      <c r="Z136" s="34">
        <f t="shared" ref="Z136:Z167" si="35">IF(T136=0,0,X136/T136)</f>
        <v>0.21058384881952202</v>
      </c>
    </row>
    <row r="137" spans="1:26" s="68" customFormat="1" ht="15" customHeight="1" outlineLevel="1" collapsed="1" x14ac:dyDescent="0.3">
      <c r="A137" s="20"/>
      <c r="B137" s="11" t="str">
        <f>CONCATENATE("     ","*Benefits                                         ")</f>
        <v xml:space="preserve">     *Benefits                                         </v>
      </c>
      <c r="C137" s="11"/>
      <c r="D137" s="2">
        <f>SUM(OSRRefD22_0x_0)</f>
        <v>27285.49</v>
      </c>
      <c r="E137" s="2"/>
      <c r="F137" s="5">
        <f t="shared" si="28"/>
        <v>9.3619222582232237E-2</v>
      </c>
      <c r="G137" s="2"/>
      <c r="H137" s="2">
        <f>SUM(OSRRefH22_0x_0)</f>
        <v>53691.33</v>
      </c>
      <c r="I137" s="2"/>
      <c r="J137" s="5">
        <f t="shared" si="29"/>
        <v>0.20298858793082217</v>
      </c>
      <c r="K137" s="2"/>
      <c r="L137" s="2">
        <f t="shared" si="30"/>
        <v>-26405.84</v>
      </c>
      <c r="M137" s="2"/>
      <c r="N137" s="5">
        <f t="shared" si="31"/>
        <v>-0.49180826774080655</v>
      </c>
      <c r="O137" s="11"/>
      <c r="P137" s="2">
        <f>SUM(OSRRefP22_0x_0)</f>
        <v>543990.01</v>
      </c>
      <c r="Q137" s="2"/>
      <c r="R137" s="5">
        <f t="shared" si="32"/>
        <v>6.9646199451366061E-2</v>
      </c>
      <c r="S137" s="2"/>
      <c r="T137" s="2">
        <f>SUM(OSRRefT22_0x_0)</f>
        <v>565194.29999999993</v>
      </c>
      <c r="U137" s="2"/>
      <c r="V137" s="5">
        <f t="shared" si="33"/>
        <v>0.10325246838275048</v>
      </c>
      <c r="W137" s="2"/>
      <c r="X137" s="2">
        <f t="shared" si="34"/>
        <v>-21204.289999999921</v>
      </c>
      <c r="Y137" s="2"/>
      <c r="Z137" s="5">
        <f t="shared" si="35"/>
        <v>-3.7516815013880933E-2</v>
      </c>
    </row>
    <row r="138" spans="1:26" s="69" customFormat="1" ht="15" hidden="1" customHeight="1" outlineLevel="2" x14ac:dyDescent="0.3">
      <c r="A138" s="21"/>
      <c r="B138" s="9" t="str">
        <f>CONCATENATE("          ","6111"," - ","F.I.C.A.")</f>
        <v xml:space="preserve">          6111 - F.I.C.A.</v>
      </c>
      <c r="C138" s="9"/>
      <c r="D138" s="6">
        <v>11177.15</v>
      </c>
      <c r="E138" s="3"/>
      <c r="F138" s="7">
        <f t="shared" si="28"/>
        <v>3.8349910288765089E-2</v>
      </c>
      <c r="G138" s="3"/>
      <c r="H138" s="6">
        <v>9383.11</v>
      </c>
      <c r="I138" s="3"/>
      <c r="J138" s="7">
        <f t="shared" si="29"/>
        <v>3.5474335415039575E-2</v>
      </c>
      <c r="K138" s="3"/>
      <c r="L138" s="6">
        <f t="shared" si="30"/>
        <v>1794.0399999999991</v>
      </c>
      <c r="M138" s="3"/>
      <c r="N138" s="7">
        <f t="shared" si="31"/>
        <v>0.19119886690020674</v>
      </c>
      <c r="O138" s="9"/>
      <c r="P138" s="6">
        <v>107477</v>
      </c>
      <c r="Q138" s="3"/>
      <c r="R138" s="7">
        <f t="shared" si="32"/>
        <v>1.3760114047745969E-2</v>
      </c>
      <c r="S138" s="3"/>
      <c r="T138" s="6">
        <v>106861.05</v>
      </c>
      <c r="U138" s="3"/>
      <c r="V138" s="7">
        <f t="shared" si="33"/>
        <v>1.9521901028500325E-2</v>
      </c>
      <c r="W138" s="3"/>
      <c r="X138" s="6">
        <f t="shared" si="34"/>
        <v>615.94999999999709</v>
      </c>
      <c r="Y138" s="3"/>
      <c r="Z138" s="7">
        <f t="shared" si="35"/>
        <v>5.7640272110371094E-3</v>
      </c>
    </row>
    <row r="139" spans="1:26" s="69" customFormat="1" ht="15" hidden="1" customHeight="1" outlineLevel="2" x14ac:dyDescent="0.3">
      <c r="A139" s="21"/>
      <c r="B139" s="9" t="str">
        <f>CONCATENATE("          ","6112"," - ","COMPENSATION INSURANCE")</f>
        <v xml:space="preserve">          6112 - COMPENSATION INSURANCE</v>
      </c>
      <c r="C139" s="9"/>
      <c r="D139" s="6">
        <v>-16853.849999999999</v>
      </c>
      <c r="E139" s="3"/>
      <c r="F139" s="7">
        <f t="shared" si="28"/>
        <v>-5.7827231049087068E-2</v>
      </c>
      <c r="G139" s="3"/>
      <c r="H139" s="6">
        <v>1986.74</v>
      </c>
      <c r="I139" s="3"/>
      <c r="J139" s="7">
        <f t="shared" si="29"/>
        <v>7.5111856455349797E-3</v>
      </c>
      <c r="K139" s="3"/>
      <c r="L139" s="6">
        <f t="shared" si="30"/>
        <v>-18840.59</v>
      </c>
      <c r="M139" s="3"/>
      <c r="N139" s="7">
        <f t="shared" si="31"/>
        <v>-9.483168406535329</v>
      </c>
      <c r="O139" s="9"/>
      <c r="P139" s="6">
        <v>11269.66</v>
      </c>
      <c r="Q139" s="3"/>
      <c r="R139" s="7">
        <f t="shared" si="32"/>
        <v>1.4428371361251322E-3</v>
      </c>
      <c r="S139" s="3"/>
      <c r="T139" s="6">
        <v>26278.76</v>
      </c>
      <c r="U139" s="3"/>
      <c r="V139" s="7">
        <f t="shared" si="33"/>
        <v>4.8007328383139897E-3</v>
      </c>
      <c r="W139" s="3"/>
      <c r="X139" s="6">
        <f t="shared" si="34"/>
        <v>-15009.099999999999</v>
      </c>
      <c r="Y139" s="3"/>
      <c r="Z139" s="7">
        <f t="shared" si="35"/>
        <v>-0.57114947585045872</v>
      </c>
    </row>
    <row r="140" spans="1:26" s="69" customFormat="1" ht="15" hidden="1" customHeight="1" outlineLevel="2" x14ac:dyDescent="0.3">
      <c r="A140" s="21"/>
      <c r="B140" s="9" t="str">
        <f>CONCATENATE("          ","6113"," - ","GROUP INSURANCE")</f>
        <v xml:space="preserve">          6113 - GROUP INSURANCE</v>
      </c>
      <c r="C140" s="9"/>
      <c r="D140" s="6">
        <v>14861.64</v>
      </c>
      <c r="E140" s="3"/>
      <c r="F140" s="7">
        <f t="shared" si="28"/>
        <v>5.0991760935830945E-2</v>
      </c>
      <c r="G140" s="3"/>
      <c r="H140" s="6">
        <v>18284.05</v>
      </c>
      <c r="I140" s="3"/>
      <c r="J140" s="7">
        <f t="shared" si="29"/>
        <v>6.9125750678117839E-2</v>
      </c>
      <c r="K140" s="3"/>
      <c r="L140" s="6">
        <f t="shared" si="30"/>
        <v>-3422.41</v>
      </c>
      <c r="M140" s="3"/>
      <c r="N140" s="7">
        <f t="shared" si="31"/>
        <v>-0.18718008318725884</v>
      </c>
      <c r="O140" s="9"/>
      <c r="P140" s="6">
        <v>193667.46</v>
      </c>
      <c r="Q140" s="3"/>
      <c r="R140" s="7">
        <f t="shared" si="32"/>
        <v>2.4794945308645389E-2</v>
      </c>
      <c r="S140" s="3"/>
      <c r="T140" s="6">
        <v>201438.24</v>
      </c>
      <c r="U140" s="3"/>
      <c r="V140" s="7">
        <f t="shared" si="33"/>
        <v>3.6799726229859192E-2</v>
      </c>
      <c r="W140" s="3"/>
      <c r="X140" s="6">
        <f t="shared" si="34"/>
        <v>-7770.7799999999988</v>
      </c>
      <c r="Y140" s="3"/>
      <c r="Z140" s="7">
        <f t="shared" si="35"/>
        <v>-3.8576488754071714E-2</v>
      </c>
    </row>
    <row r="141" spans="1:26" s="69" customFormat="1" ht="15" hidden="1" customHeight="1" outlineLevel="2" x14ac:dyDescent="0.3">
      <c r="A141" s="21"/>
      <c r="B141" s="9" t="str">
        <f>CONCATENATE("          ","6114"," - ","STATE UNEMPLOYMENT INSURANCE")</f>
        <v xml:space="preserve">          6114 - STATE UNEMPLOYMENT INSURANCE</v>
      </c>
      <c r="C141" s="9"/>
      <c r="D141" s="6"/>
      <c r="E141" s="3"/>
      <c r="F141" s="7">
        <f t="shared" si="28"/>
        <v>0</v>
      </c>
      <c r="G141" s="3"/>
      <c r="H141" s="6">
        <v>346.7</v>
      </c>
      <c r="I141" s="3"/>
      <c r="J141" s="7">
        <f t="shared" si="29"/>
        <v>1.3107543328804863E-3</v>
      </c>
      <c r="K141" s="3"/>
      <c r="L141" s="6">
        <f t="shared" si="30"/>
        <v>-346.7</v>
      </c>
      <c r="M141" s="3"/>
      <c r="N141" s="7">
        <f t="shared" si="31"/>
        <v>-1</v>
      </c>
      <c r="O141" s="9"/>
      <c r="P141" s="6">
        <v>5066.76</v>
      </c>
      <c r="Q141" s="3"/>
      <c r="R141" s="7">
        <f t="shared" si="32"/>
        <v>6.4868944474219948E-4</v>
      </c>
      <c r="S141" s="3"/>
      <c r="T141" s="6">
        <v>4361.7</v>
      </c>
      <c r="U141" s="3"/>
      <c r="V141" s="7">
        <f t="shared" si="33"/>
        <v>7.9681676079366482E-4</v>
      </c>
      <c r="W141" s="3"/>
      <c r="X141" s="6">
        <f t="shared" si="34"/>
        <v>705.0600000000004</v>
      </c>
      <c r="Y141" s="3"/>
      <c r="Z141" s="7">
        <f t="shared" si="35"/>
        <v>0.1616479812916983</v>
      </c>
    </row>
    <row r="142" spans="1:26" s="69" customFormat="1" ht="15" hidden="1" customHeight="1" outlineLevel="2" x14ac:dyDescent="0.3">
      <c r="A142" s="21"/>
      <c r="B142" s="9" t="str">
        <f>CONCATENATE("          ","6115"," - ","P.E.R.S.")</f>
        <v xml:space="preserve">          6115 - P.E.R.S.</v>
      </c>
      <c r="C142" s="9"/>
      <c r="D142" s="6">
        <v>4980.3100000000004</v>
      </c>
      <c r="E142" s="3"/>
      <c r="F142" s="7">
        <f t="shared" si="28"/>
        <v>1.7087937596814904E-2</v>
      </c>
      <c r="G142" s="3"/>
      <c r="H142" s="6">
        <v>11653.4</v>
      </c>
      <c r="I142" s="3"/>
      <c r="J142" s="7">
        <f t="shared" si="29"/>
        <v>4.4057526803546174E-2</v>
      </c>
      <c r="K142" s="3"/>
      <c r="L142" s="6">
        <f t="shared" si="30"/>
        <v>-6673.0899999999992</v>
      </c>
      <c r="M142" s="3"/>
      <c r="N142" s="7">
        <f t="shared" si="31"/>
        <v>-0.57263030531861936</v>
      </c>
      <c r="O142" s="9"/>
      <c r="P142" s="6">
        <v>76766.41</v>
      </c>
      <c r="Q142" s="3"/>
      <c r="R142" s="7">
        <f t="shared" si="32"/>
        <v>9.8282847179957267E-3</v>
      </c>
      <c r="S142" s="3"/>
      <c r="T142" s="6">
        <v>86353.84</v>
      </c>
      <c r="U142" s="3"/>
      <c r="V142" s="7">
        <f t="shared" si="33"/>
        <v>1.5775543267738359E-2</v>
      </c>
      <c r="W142" s="3"/>
      <c r="X142" s="6">
        <f t="shared" si="34"/>
        <v>-9587.429999999993</v>
      </c>
      <c r="Y142" s="3"/>
      <c r="Z142" s="7">
        <f t="shared" si="35"/>
        <v>-0.1110249411027928</v>
      </c>
    </row>
    <row r="143" spans="1:26" s="69" customFormat="1" ht="15" hidden="1" customHeight="1" outlineLevel="2" x14ac:dyDescent="0.3">
      <c r="A143" s="21"/>
      <c r="B143" s="9" t="str">
        <f>CONCATENATE("          ","6116"," - ","EDUCATIONAL BENEFITS")</f>
        <v xml:space="preserve">          6116 - EDUCATIONAL BENEFITS</v>
      </c>
      <c r="C143" s="9"/>
      <c r="D143" s="6"/>
      <c r="E143" s="3"/>
      <c r="F143" s="7">
        <f t="shared" si="28"/>
        <v>0</v>
      </c>
      <c r="G143" s="3"/>
      <c r="H143" s="6"/>
      <c r="I143" s="3"/>
      <c r="J143" s="7">
        <f t="shared" si="29"/>
        <v>0</v>
      </c>
      <c r="K143" s="3"/>
      <c r="L143" s="6">
        <f t="shared" si="30"/>
        <v>0</v>
      </c>
      <c r="M143" s="3"/>
      <c r="N143" s="7">
        <f t="shared" si="31"/>
        <v>0</v>
      </c>
      <c r="O143" s="9"/>
      <c r="P143" s="6"/>
      <c r="Q143" s="3"/>
      <c r="R143" s="7">
        <f t="shared" si="32"/>
        <v>0</v>
      </c>
      <c r="S143" s="3"/>
      <c r="T143" s="6">
        <v>0</v>
      </c>
      <c r="U143" s="3"/>
      <c r="V143" s="7">
        <f t="shared" si="33"/>
        <v>0</v>
      </c>
      <c r="W143" s="3"/>
      <c r="X143" s="6">
        <f t="shared" si="34"/>
        <v>0</v>
      </c>
      <c r="Y143" s="3"/>
      <c r="Z143" s="7">
        <f t="shared" si="35"/>
        <v>0</v>
      </c>
    </row>
    <row r="144" spans="1:26" s="69" customFormat="1" ht="15" hidden="1" customHeight="1" outlineLevel="2" x14ac:dyDescent="0.3">
      <c r="A144" s="21"/>
      <c r="B144" s="9" t="str">
        <f>CONCATENATE("          ","6117"," - ","RETIREMENT STAFF HOURLY")</f>
        <v xml:space="preserve">          6117 - RETIREMENT STAFF HOURLY</v>
      </c>
      <c r="C144" s="9"/>
      <c r="D144" s="6">
        <v>649.72</v>
      </c>
      <c r="E144" s="3"/>
      <c r="F144" s="7">
        <f t="shared" si="28"/>
        <v>2.2292537644047414E-3</v>
      </c>
      <c r="G144" s="3"/>
      <c r="H144" s="6">
        <v>530.78</v>
      </c>
      <c r="I144" s="3"/>
      <c r="J144" s="7">
        <f t="shared" si="29"/>
        <v>2.0066979659829954E-3</v>
      </c>
      <c r="K144" s="3"/>
      <c r="L144" s="6">
        <f t="shared" si="30"/>
        <v>118.94000000000005</v>
      </c>
      <c r="M144" s="3"/>
      <c r="N144" s="7">
        <f t="shared" si="31"/>
        <v>0.22408530841403229</v>
      </c>
      <c r="O144" s="9"/>
      <c r="P144" s="6">
        <v>8185.98</v>
      </c>
      <c r="Q144" s="3"/>
      <c r="R144" s="7">
        <f t="shared" si="32"/>
        <v>1.0480383560442471E-3</v>
      </c>
      <c r="S144" s="3"/>
      <c r="T144" s="6">
        <v>4769.1000000000004</v>
      </c>
      <c r="U144" s="3"/>
      <c r="V144" s="7">
        <f t="shared" si="33"/>
        <v>8.7124259208589934E-4</v>
      </c>
      <c r="W144" s="3"/>
      <c r="X144" s="6">
        <f t="shared" si="34"/>
        <v>3416.8799999999992</v>
      </c>
      <c r="Y144" s="3"/>
      <c r="Z144" s="7">
        <f t="shared" si="35"/>
        <v>0.71646222557715267</v>
      </c>
    </row>
    <row r="145" spans="1:26" s="69" customFormat="1" ht="15" hidden="1" customHeight="1" outlineLevel="2" x14ac:dyDescent="0.3">
      <c r="A145" s="21"/>
      <c r="B145" s="9" t="str">
        <f>CONCATENATE("          ","6118"," - ","VACATION")</f>
        <v xml:space="preserve">          6118 - VACATION</v>
      </c>
      <c r="C145" s="9"/>
      <c r="D145" s="6">
        <v>5383.71</v>
      </c>
      <c r="E145" s="3"/>
      <c r="F145" s="7">
        <f t="shared" si="28"/>
        <v>1.8472043009240057E-2</v>
      </c>
      <c r="G145" s="3"/>
      <c r="H145" s="6">
        <v>5732.87</v>
      </c>
      <c r="I145" s="3"/>
      <c r="J145" s="7">
        <f t="shared" si="29"/>
        <v>2.1674024206347141E-2</v>
      </c>
      <c r="K145" s="3"/>
      <c r="L145" s="6">
        <f t="shared" si="30"/>
        <v>-349.15999999999985</v>
      </c>
      <c r="M145" s="3"/>
      <c r="N145" s="7">
        <f t="shared" si="31"/>
        <v>-6.090492196753107E-2</v>
      </c>
      <c r="O145" s="9"/>
      <c r="P145" s="6">
        <v>74538.92</v>
      </c>
      <c r="Q145" s="3"/>
      <c r="R145" s="7">
        <f t="shared" si="32"/>
        <v>9.5431026191260728E-3</v>
      </c>
      <c r="S145" s="3"/>
      <c r="T145" s="6">
        <v>68857.600000000006</v>
      </c>
      <c r="U145" s="3"/>
      <c r="V145" s="7">
        <f t="shared" si="33"/>
        <v>1.2579244282739726E-2</v>
      </c>
      <c r="W145" s="3"/>
      <c r="X145" s="6">
        <f t="shared" si="34"/>
        <v>5681.3199999999924</v>
      </c>
      <c r="Y145" s="3"/>
      <c r="Z145" s="7">
        <f t="shared" si="35"/>
        <v>8.2508248907890949E-2</v>
      </c>
    </row>
    <row r="146" spans="1:26" s="69" customFormat="1" ht="15" hidden="1" customHeight="1" outlineLevel="2" x14ac:dyDescent="0.3">
      <c r="A146" s="21"/>
      <c r="B146" s="9" t="str">
        <f>CONCATENATE("          ","6119"," - ","SICK LEAVE")</f>
        <v xml:space="preserve">          6119 - SICK LEAVE</v>
      </c>
      <c r="C146" s="9"/>
      <c r="D146" s="6">
        <v>3719.16</v>
      </c>
      <c r="E146" s="3"/>
      <c r="F146" s="7">
        <f t="shared" si="28"/>
        <v>1.2760806855912606E-2</v>
      </c>
      <c r="G146" s="3"/>
      <c r="H146" s="6">
        <v>4267.55</v>
      </c>
      <c r="I146" s="3"/>
      <c r="J146" s="7">
        <f t="shared" si="29"/>
        <v>1.6134149562400116E-2</v>
      </c>
      <c r="K146" s="3"/>
      <c r="L146" s="6">
        <f t="shared" si="30"/>
        <v>-548.39000000000033</v>
      </c>
      <c r="M146" s="3"/>
      <c r="N146" s="7">
        <f t="shared" si="31"/>
        <v>-0.12850230225773576</v>
      </c>
      <c r="O146" s="9"/>
      <c r="P146" s="6">
        <v>31857.57</v>
      </c>
      <c r="Q146" s="3"/>
      <c r="R146" s="7">
        <f t="shared" si="32"/>
        <v>4.0786754048219671E-3</v>
      </c>
      <c r="S146" s="3"/>
      <c r="T146" s="6">
        <v>48796.13</v>
      </c>
      <c r="U146" s="3"/>
      <c r="V146" s="7">
        <f t="shared" si="33"/>
        <v>8.9143164926213572E-3</v>
      </c>
      <c r="W146" s="3"/>
      <c r="X146" s="6">
        <f t="shared" si="34"/>
        <v>-16938.559999999998</v>
      </c>
      <c r="Y146" s="3"/>
      <c r="Z146" s="7">
        <f t="shared" si="35"/>
        <v>-0.34712916782539927</v>
      </c>
    </row>
    <row r="147" spans="1:26" s="69" customFormat="1" ht="15" hidden="1" customHeight="1" outlineLevel="2" x14ac:dyDescent="0.3">
      <c r="A147" s="21"/>
      <c r="B147" s="9" t="str">
        <f>CONCATENATE("          ","6156"," - ","EMPLOYEE MEALS")</f>
        <v xml:space="preserve">          6156 - EMPLOYEE MEALS</v>
      </c>
      <c r="C147" s="9"/>
      <c r="D147" s="6">
        <v>3367.65</v>
      </c>
      <c r="E147" s="3"/>
      <c r="F147" s="7">
        <f t="shared" si="28"/>
        <v>1.1554741180350964E-2</v>
      </c>
      <c r="G147" s="3"/>
      <c r="H147" s="6">
        <v>1506.13</v>
      </c>
      <c r="I147" s="3"/>
      <c r="J147" s="7">
        <f t="shared" si="29"/>
        <v>5.6941633209728502E-3</v>
      </c>
      <c r="K147" s="3"/>
      <c r="L147" s="6">
        <f t="shared" si="30"/>
        <v>1861.52</v>
      </c>
      <c r="M147" s="3"/>
      <c r="N147" s="7">
        <f t="shared" si="31"/>
        <v>1.2359623671263436</v>
      </c>
      <c r="O147" s="9"/>
      <c r="P147" s="6">
        <v>35160.25</v>
      </c>
      <c r="Q147" s="3"/>
      <c r="R147" s="7">
        <f t="shared" si="32"/>
        <v>4.5015124161193578E-3</v>
      </c>
      <c r="S147" s="3"/>
      <c r="T147" s="6">
        <v>17477.88</v>
      </c>
      <c r="U147" s="3"/>
      <c r="V147" s="7">
        <f t="shared" si="33"/>
        <v>3.1929448900979845E-3</v>
      </c>
      <c r="W147" s="3"/>
      <c r="X147" s="6">
        <f t="shared" si="34"/>
        <v>17682.37</v>
      </c>
      <c r="Y147" s="3"/>
      <c r="Z147" s="7">
        <f t="shared" si="35"/>
        <v>1.0116999315706481</v>
      </c>
    </row>
    <row r="148" spans="1:26" s="68" customFormat="1" ht="15" customHeight="1" outlineLevel="1" collapsed="1" x14ac:dyDescent="0.3">
      <c r="A148" s="20"/>
      <c r="B148" s="11" t="str">
        <f>CONCATENATE("     ","*Payroll                                          ")</f>
        <v xml:space="preserve">     *Payroll                                          </v>
      </c>
      <c r="C148" s="11"/>
      <c r="D148" s="2">
        <f>SUM(OSRRefD22_1x_0)</f>
        <v>135390.00999999998</v>
      </c>
      <c r="E148" s="2"/>
      <c r="F148" s="5">
        <f t="shared" si="28"/>
        <v>0.46453655336959848</v>
      </c>
      <c r="G148" s="2"/>
      <c r="H148" s="2">
        <f>SUM(OSRRefH22_1x_0)</f>
        <v>126856.57</v>
      </c>
      <c r="I148" s="2"/>
      <c r="J148" s="5">
        <f t="shared" si="29"/>
        <v>0.47960138096872434</v>
      </c>
      <c r="K148" s="2"/>
      <c r="L148" s="2">
        <f t="shared" si="30"/>
        <v>8533.4399999999732</v>
      </c>
      <c r="M148" s="2"/>
      <c r="N148" s="5">
        <f t="shared" si="31"/>
        <v>6.7268411876499359E-2</v>
      </c>
      <c r="O148" s="11"/>
      <c r="P148" s="2">
        <f>SUM(OSRRefP22_1x_0)</f>
        <v>1983566.6600000001</v>
      </c>
      <c r="Q148" s="2"/>
      <c r="R148" s="5">
        <f t="shared" si="32"/>
        <v>0.25395297098827241</v>
      </c>
      <c r="S148" s="2"/>
      <c r="T148" s="2">
        <f>SUM(OSRRefT22_1x_0)</f>
        <v>1498227.28</v>
      </c>
      <c r="U148" s="2"/>
      <c r="V148" s="5">
        <f t="shared" si="33"/>
        <v>0.27370351197521681</v>
      </c>
      <c r="W148" s="2"/>
      <c r="X148" s="2">
        <f t="shared" si="34"/>
        <v>485339.38000000012</v>
      </c>
      <c r="Y148" s="2"/>
      <c r="Z148" s="5">
        <f t="shared" si="35"/>
        <v>0.32394242614511737</v>
      </c>
    </row>
    <row r="149" spans="1:26" s="69" customFormat="1" ht="15" hidden="1" customHeight="1" outlineLevel="2" x14ac:dyDescent="0.3">
      <c r="A149" s="21"/>
      <c r="B149" s="9" t="str">
        <f>CONCATENATE("          ","6001"," - ","ADMINISTRATIVE SALARIES")</f>
        <v xml:space="preserve">          6001 - ADMINISTRATIVE SALARIES</v>
      </c>
      <c r="C149" s="9"/>
      <c r="D149" s="6">
        <v>5124.17</v>
      </c>
      <c r="E149" s="3"/>
      <c r="F149" s="7">
        <f t="shared" si="28"/>
        <v>1.7581535525995572E-2</v>
      </c>
      <c r="G149" s="3"/>
      <c r="H149" s="6">
        <v>3583.28</v>
      </c>
      <c r="I149" s="3"/>
      <c r="J149" s="7">
        <f t="shared" si="29"/>
        <v>1.3547158309558665E-2</v>
      </c>
      <c r="K149" s="3"/>
      <c r="L149" s="6">
        <f t="shared" si="30"/>
        <v>1540.8899999999999</v>
      </c>
      <c r="M149" s="3"/>
      <c r="N149" s="7">
        <f t="shared" si="31"/>
        <v>0.43002221428411952</v>
      </c>
      <c r="O149" s="9"/>
      <c r="P149" s="6">
        <v>56517.3</v>
      </c>
      <c r="Q149" s="3"/>
      <c r="R149" s="7">
        <f t="shared" si="32"/>
        <v>7.2358224891899969E-3</v>
      </c>
      <c r="S149" s="3"/>
      <c r="T149" s="6">
        <v>50981.81</v>
      </c>
      <c r="U149" s="3"/>
      <c r="V149" s="7">
        <f t="shared" si="33"/>
        <v>9.3136072411211385E-3</v>
      </c>
      <c r="W149" s="3"/>
      <c r="X149" s="6">
        <f t="shared" si="34"/>
        <v>5535.4900000000052</v>
      </c>
      <c r="Y149" s="3"/>
      <c r="Z149" s="7">
        <f t="shared" si="35"/>
        <v>0.10857774567046571</v>
      </c>
    </row>
    <row r="150" spans="1:26" s="69" customFormat="1" ht="15" hidden="1" customHeight="1" outlineLevel="2" x14ac:dyDescent="0.3">
      <c r="A150" s="21"/>
      <c r="B150" s="9" t="str">
        <f>CONCATENATE("          ","6002"," - ","STAFF SALARIES")</f>
        <v xml:space="preserve">          6002 - STAFF SALARIES</v>
      </c>
      <c r="C150" s="9"/>
      <c r="D150" s="6">
        <v>36414.129999999997</v>
      </c>
      <c r="E150" s="3"/>
      <c r="F150" s="7">
        <f t="shared" si="28"/>
        <v>0.12494049187345875</v>
      </c>
      <c r="G150" s="3"/>
      <c r="H150" s="6">
        <v>56900.92</v>
      </c>
      <c r="I150" s="3"/>
      <c r="J150" s="7">
        <f t="shared" si="29"/>
        <v>0.21512295193217745</v>
      </c>
      <c r="K150" s="3"/>
      <c r="L150" s="6">
        <f t="shared" si="30"/>
        <v>-20486.79</v>
      </c>
      <c r="M150" s="3"/>
      <c r="N150" s="7">
        <f t="shared" si="31"/>
        <v>-0.3600432119550967</v>
      </c>
      <c r="O150" s="9"/>
      <c r="P150" s="6">
        <v>652514.55000000005</v>
      </c>
      <c r="Q150" s="3"/>
      <c r="R150" s="7">
        <f t="shared" si="32"/>
        <v>8.3540428424813129E-2</v>
      </c>
      <c r="S150" s="3"/>
      <c r="T150" s="6">
        <v>723631.64</v>
      </c>
      <c r="U150" s="3"/>
      <c r="V150" s="7">
        <f t="shared" si="33"/>
        <v>0.1321965791761486</v>
      </c>
      <c r="W150" s="3"/>
      <c r="X150" s="6">
        <f t="shared" si="34"/>
        <v>-71117.089999999967</v>
      </c>
      <c r="Y150" s="3"/>
      <c r="Z150" s="7">
        <f t="shared" si="35"/>
        <v>-9.8278027201795612E-2</v>
      </c>
    </row>
    <row r="151" spans="1:26" s="69" customFormat="1" ht="15" hidden="1" customHeight="1" outlineLevel="2" x14ac:dyDescent="0.3">
      <c r="A151" s="21"/>
      <c r="B151" s="9" t="str">
        <f>CONCATENATE("          ","6004"," - ","STAFF HOURLY")</f>
        <v xml:space="preserve">          6004 - STAFF HOURLY</v>
      </c>
      <c r="C151" s="9"/>
      <c r="D151" s="6">
        <v>25632.35</v>
      </c>
      <c r="E151" s="3"/>
      <c r="F151" s="7">
        <f t="shared" si="28"/>
        <v>8.7947135270639465E-2</v>
      </c>
      <c r="G151" s="3"/>
      <c r="H151" s="6">
        <v>17280.169999999998</v>
      </c>
      <c r="I151" s="3"/>
      <c r="J151" s="7">
        <f t="shared" si="29"/>
        <v>6.5330423133577703E-2</v>
      </c>
      <c r="K151" s="3"/>
      <c r="L151" s="6">
        <f t="shared" si="30"/>
        <v>8352.18</v>
      </c>
      <c r="M151" s="3"/>
      <c r="N151" s="7">
        <f t="shared" si="31"/>
        <v>0.48333899492886939</v>
      </c>
      <c r="O151" s="9"/>
      <c r="P151" s="6">
        <v>298396.14</v>
      </c>
      <c r="Q151" s="3"/>
      <c r="R151" s="7">
        <f t="shared" si="32"/>
        <v>3.820319619832311E-2</v>
      </c>
      <c r="S151" s="3"/>
      <c r="T151" s="6">
        <v>185624.67</v>
      </c>
      <c r="U151" s="3"/>
      <c r="V151" s="7">
        <f t="shared" si="33"/>
        <v>3.3910825658067495E-2</v>
      </c>
      <c r="W151" s="3"/>
      <c r="X151" s="6">
        <f t="shared" si="34"/>
        <v>112771.47</v>
      </c>
      <c r="Y151" s="3"/>
      <c r="Z151" s="7">
        <f t="shared" si="35"/>
        <v>0.60752415075000532</v>
      </c>
    </row>
    <row r="152" spans="1:26" s="69" customFormat="1" ht="15" hidden="1" customHeight="1" outlineLevel="2" x14ac:dyDescent="0.3">
      <c r="A152" s="21"/>
      <c r="B152" s="9" t="str">
        <f>CONCATENATE("          ","6005"," - ","TEMPORARY WAGES-HOURLY")</f>
        <v xml:space="preserve">          6005 - TEMPORARY WAGES-HOURLY</v>
      </c>
      <c r="C152" s="9"/>
      <c r="D152" s="6">
        <v>2194.77</v>
      </c>
      <c r="E152" s="3"/>
      <c r="F152" s="7">
        <f t="shared" si="28"/>
        <v>7.5304735647703539E-3</v>
      </c>
      <c r="G152" s="3"/>
      <c r="H152" s="6">
        <v>9126.32</v>
      </c>
      <c r="I152" s="3"/>
      <c r="J152" s="7">
        <f t="shared" si="29"/>
        <v>3.4503500095915317E-2</v>
      </c>
      <c r="K152" s="3"/>
      <c r="L152" s="6">
        <f t="shared" si="30"/>
        <v>-6931.5499999999993</v>
      </c>
      <c r="M152" s="3"/>
      <c r="N152" s="7">
        <f t="shared" si="31"/>
        <v>-0.75951204866802824</v>
      </c>
      <c r="O152" s="9"/>
      <c r="P152" s="6">
        <v>83079.39</v>
      </c>
      <c r="Q152" s="3"/>
      <c r="R152" s="7">
        <f t="shared" si="32"/>
        <v>1.0636525781489678E-2</v>
      </c>
      <c r="S152" s="3"/>
      <c r="T152" s="6">
        <v>168966.08</v>
      </c>
      <c r="U152" s="3"/>
      <c r="V152" s="7">
        <f t="shared" si="33"/>
        <v>3.0867552685788391E-2</v>
      </c>
      <c r="W152" s="3"/>
      <c r="X152" s="6">
        <f t="shared" si="34"/>
        <v>-85886.689999999988</v>
      </c>
      <c r="Y152" s="3"/>
      <c r="Z152" s="7">
        <f t="shared" si="35"/>
        <v>-0.50830728865817321</v>
      </c>
    </row>
    <row r="153" spans="1:26" s="69" customFormat="1" ht="15" hidden="1" customHeight="1" outlineLevel="2" x14ac:dyDescent="0.3">
      <c r="A153" s="21"/>
      <c r="B153" s="9" t="str">
        <f>CONCATENATE("          ","6006"," - ","TEMPORARY PART TIME")</f>
        <v xml:space="preserve">          6006 - TEMPORARY PART TIME</v>
      </c>
      <c r="C153" s="9"/>
      <c r="D153" s="6">
        <v>2996.89</v>
      </c>
      <c r="E153" s="3"/>
      <c r="F153" s="7">
        <f t="shared" si="28"/>
        <v>1.028262684542099E-2</v>
      </c>
      <c r="G153" s="3"/>
      <c r="H153" s="6">
        <v>4232.72</v>
      </c>
      <c r="I153" s="3"/>
      <c r="J153" s="7">
        <f t="shared" si="29"/>
        <v>1.6002469223737794E-2</v>
      </c>
      <c r="K153" s="3"/>
      <c r="L153" s="6">
        <f t="shared" si="30"/>
        <v>-1235.8300000000004</v>
      </c>
      <c r="M153" s="3"/>
      <c r="N153" s="7">
        <f t="shared" si="31"/>
        <v>-0.2919706477158896</v>
      </c>
      <c r="O153" s="9"/>
      <c r="P153" s="6">
        <v>22351.83</v>
      </c>
      <c r="Q153" s="3"/>
      <c r="R153" s="7">
        <f t="shared" si="32"/>
        <v>2.8616702175891569E-3</v>
      </c>
      <c r="S153" s="3"/>
      <c r="T153" s="6">
        <v>23949.45</v>
      </c>
      <c r="U153" s="3"/>
      <c r="V153" s="7">
        <f t="shared" si="33"/>
        <v>4.3752030565581855E-3</v>
      </c>
      <c r="W153" s="3"/>
      <c r="X153" s="6">
        <f t="shared" si="34"/>
        <v>-1597.619999999999</v>
      </c>
      <c r="Y153" s="3"/>
      <c r="Z153" s="7">
        <f t="shared" si="35"/>
        <v>-6.67080037328623E-2</v>
      </c>
    </row>
    <row r="154" spans="1:26" s="69" customFormat="1" ht="15" hidden="1" customHeight="1" outlineLevel="2" x14ac:dyDescent="0.3">
      <c r="A154" s="21"/>
      <c r="B154" s="9" t="str">
        <f>CONCATENATE("          ","6007"," - ","STUDENT HOURLY")</f>
        <v xml:space="preserve">          6007 - STUDENT HOURLY</v>
      </c>
      <c r="C154" s="9"/>
      <c r="D154" s="6">
        <v>55713.4</v>
      </c>
      <c r="E154" s="3"/>
      <c r="F154" s="7">
        <f t="shared" si="28"/>
        <v>0.19115820149877966</v>
      </c>
      <c r="G154" s="3"/>
      <c r="H154" s="6">
        <v>28915.24</v>
      </c>
      <c r="I154" s="3"/>
      <c r="J154" s="7">
        <f t="shared" si="29"/>
        <v>0.1093186504651836</v>
      </c>
      <c r="K154" s="3"/>
      <c r="L154" s="6">
        <f t="shared" si="30"/>
        <v>26798.16</v>
      </c>
      <c r="M154" s="3"/>
      <c r="N154" s="7">
        <f t="shared" si="31"/>
        <v>0.926783246481786</v>
      </c>
      <c r="O154" s="9"/>
      <c r="P154" s="6">
        <v>746341.25</v>
      </c>
      <c r="Q154" s="3"/>
      <c r="R154" s="7">
        <f t="shared" si="32"/>
        <v>9.5552915679980713E-2</v>
      </c>
      <c r="S154" s="3"/>
      <c r="T154" s="6">
        <v>325714.3</v>
      </c>
      <c r="U154" s="3"/>
      <c r="V154" s="7">
        <f t="shared" si="33"/>
        <v>5.9503086748326564E-2</v>
      </c>
      <c r="W154" s="3"/>
      <c r="X154" s="6">
        <f t="shared" si="34"/>
        <v>420626.95</v>
      </c>
      <c r="Y154" s="3"/>
      <c r="Z154" s="7">
        <f t="shared" si="35"/>
        <v>1.2913984740614706</v>
      </c>
    </row>
    <row r="155" spans="1:26" s="69" customFormat="1" ht="15" hidden="1" customHeight="1" outlineLevel="2" x14ac:dyDescent="0.3">
      <c r="A155" s="21"/>
      <c r="B155" s="9" t="str">
        <f>CONCATENATE("          ","6008"," - ","STUDENT HOURLY-FICA EXEMPT")</f>
        <v xml:space="preserve">          6008 - STUDENT HOURLY-FICA EXEMPT</v>
      </c>
      <c r="C155" s="9"/>
      <c r="D155" s="6">
        <v>7314.3</v>
      </c>
      <c r="E155" s="3"/>
      <c r="F155" s="7">
        <f t="shared" si="28"/>
        <v>2.5096088790533769E-2</v>
      </c>
      <c r="G155" s="3"/>
      <c r="H155" s="6">
        <v>6817.92</v>
      </c>
      <c r="I155" s="3"/>
      <c r="J155" s="7">
        <f t="shared" si="29"/>
        <v>2.5776227808573769E-2</v>
      </c>
      <c r="K155" s="3"/>
      <c r="L155" s="6">
        <f t="shared" si="30"/>
        <v>496.38000000000011</v>
      </c>
      <c r="M155" s="3"/>
      <c r="N155" s="7">
        <f t="shared" si="31"/>
        <v>7.2805195719515645E-2</v>
      </c>
      <c r="O155" s="9"/>
      <c r="P155" s="6">
        <v>124366.2</v>
      </c>
      <c r="Q155" s="3"/>
      <c r="R155" s="7">
        <f t="shared" si="32"/>
        <v>1.5922412196886632E-2</v>
      </c>
      <c r="S155" s="3"/>
      <c r="T155" s="6">
        <v>19359.330000000002</v>
      </c>
      <c r="U155" s="3"/>
      <c r="V155" s="7">
        <f t="shared" si="33"/>
        <v>3.5366574092064152E-3</v>
      </c>
      <c r="W155" s="3"/>
      <c r="X155" s="6">
        <f t="shared" si="34"/>
        <v>105006.87</v>
      </c>
      <c r="Y155" s="3"/>
      <c r="Z155" s="7">
        <f t="shared" si="35"/>
        <v>5.4240962884562629</v>
      </c>
    </row>
    <row r="156" spans="1:26" s="68" customFormat="1" ht="15" customHeight="1" outlineLevel="1" collapsed="1" x14ac:dyDescent="0.3">
      <c r="A156" s="20"/>
      <c r="B156" s="11" t="str">
        <f>CONCATENATE("     ","Advertising/Promo                                 ")</f>
        <v xml:space="preserve">     Advertising/Promo                                 </v>
      </c>
      <c r="C156" s="11"/>
      <c r="D156" s="2">
        <f>SUM(OSRRefD22_2x_0)</f>
        <v>6464.7</v>
      </c>
      <c r="E156" s="2"/>
      <c r="F156" s="5">
        <f t="shared" si="28"/>
        <v>2.2181026920438544E-2</v>
      </c>
      <c r="G156" s="2"/>
      <c r="H156" s="2">
        <f>SUM(OSRRefH22_2x_0)</f>
        <v>1324.8</v>
      </c>
      <c r="I156" s="2"/>
      <c r="J156" s="5">
        <f t="shared" si="29"/>
        <v>5.0086164989906782E-3</v>
      </c>
      <c r="K156" s="2"/>
      <c r="L156" s="2">
        <f t="shared" si="30"/>
        <v>5139.8999999999996</v>
      </c>
      <c r="M156" s="2"/>
      <c r="N156" s="5">
        <f t="shared" si="31"/>
        <v>3.8797554347826084</v>
      </c>
      <c r="O156" s="11"/>
      <c r="P156" s="2">
        <f>SUM(OSRRefP22_2x_0)</f>
        <v>19949.86</v>
      </c>
      <c r="Q156" s="2"/>
      <c r="R156" s="5">
        <f t="shared" si="32"/>
        <v>2.5541497142324908E-3</v>
      </c>
      <c r="S156" s="2"/>
      <c r="T156" s="2">
        <f>SUM(OSRRefT22_2x_0)</f>
        <v>18868.32</v>
      </c>
      <c r="U156" s="2"/>
      <c r="V156" s="5">
        <f t="shared" si="33"/>
        <v>3.4469572928028801E-3</v>
      </c>
      <c r="W156" s="2"/>
      <c r="X156" s="2">
        <f t="shared" si="34"/>
        <v>1081.5400000000009</v>
      </c>
      <c r="Y156" s="2"/>
      <c r="Z156" s="5">
        <f t="shared" si="35"/>
        <v>5.7320418564026948E-2</v>
      </c>
    </row>
    <row r="157" spans="1:26" s="69" customFormat="1" ht="15" hidden="1" customHeight="1" outlineLevel="2" x14ac:dyDescent="0.3">
      <c r="A157" s="21"/>
      <c r="B157" s="9" t="str">
        <f>CONCATENATE("          ","6362"," - ","ADVERTISING EXPENSE")</f>
        <v xml:space="preserve">          6362 - ADVERTISING EXPENSE</v>
      </c>
      <c r="C157" s="9"/>
      <c r="D157" s="6">
        <v>6464.7</v>
      </c>
      <c r="E157" s="3"/>
      <c r="F157" s="7">
        <f t="shared" si="28"/>
        <v>2.2181026920438544E-2</v>
      </c>
      <c r="G157" s="3"/>
      <c r="H157" s="6">
        <v>1324.8</v>
      </c>
      <c r="I157" s="3"/>
      <c r="J157" s="7">
        <f t="shared" si="29"/>
        <v>5.0086164989906782E-3</v>
      </c>
      <c r="K157" s="3"/>
      <c r="L157" s="6">
        <f t="shared" si="30"/>
        <v>5139.8999999999996</v>
      </c>
      <c r="M157" s="3"/>
      <c r="N157" s="7">
        <f t="shared" si="31"/>
        <v>3.8797554347826084</v>
      </c>
      <c r="O157" s="9"/>
      <c r="P157" s="6">
        <v>19949.86</v>
      </c>
      <c r="Q157" s="3"/>
      <c r="R157" s="7">
        <f t="shared" si="32"/>
        <v>2.5541497142324908E-3</v>
      </c>
      <c r="S157" s="3"/>
      <c r="T157" s="6">
        <v>18868.32</v>
      </c>
      <c r="U157" s="3"/>
      <c r="V157" s="7">
        <f t="shared" si="33"/>
        <v>3.4469572928028801E-3</v>
      </c>
      <c r="W157" s="3"/>
      <c r="X157" s="6">
        <f t="shared" si="34"/>
        <v>1081.5400000000009</v>
      </c>
      <c r="Y157" s="3"/>
      <c r="Z157" s="7">
        <f t="shared" si="35"/>
        <v>5.7320418564026948E-2</v>
      </c>
    </row>
    <row r="158" spans="1:26" s="68" customFormat="1" ht="15" customHeight="1" outlineLevel="1" collapsed="1" x14ac:dyDescent="0.3">
      <c r="A158" s="20"/>
      <c r="B158" s="11" t="str">
        <f>CONCATENATE("     ","Bad Debts/Over/Short                              ")</f>
        <v xml:space="preserve">     Bad Debts/Over/Short                              </v>
      </c>
      <c r="C158" s="11"/>
      <c r="D158" s="2">
        <f>SUM(OSRRefD22_3x_0)</f>
        <v>59.88</v>
      </c>
      <c r="E158" s="2"/>
      <c r="F158" s="5">
        <f t="shared" si="28"/>
        <v>2.0545421937535541E-4</v>
      </c>
      <c r="G158" s="2"/>
      <c r="H158" s="2">
        <f>SUM(OSRRefH22_3x_0)</f>
        <v>10.39</v>
      </c>
      <c r="I158" s="2"/>
      <c r="J158" s="5">
        <f t="shared" si="29"/>
        <v>3.9281042741933242E-5</v>
      </c>
      <c r="K158" s="2"/>
      <c r="L158" s="2">
        <f t="shared" si="30"/>
        <v>49.49</v>
      </c>
      <c r="M158" s="2"/>
      <c r="N158" s="5">
        <f t="shared" si="31"/>
        <v>4.7632338787295474</v>
      </c>
      <c r="O158" s="11"/>
      <c r="P158" s="2">
        <f>SUM(OSRRefP22_3x_0)</f>
        <v>90.12</v>
      </c>
      <c r="Q158" s="2"/>
      <c r="R158" s="5">
        <f t="shared" si="32"/>
        <v>1.1537924188271601E-5</v>
      </c>
      <c r="S158" s="2"/>
      <c r="T158" s="2">
        <f>SUM(OSRRefT22_3x_0)</f>
        <v>5214.6499999999996</v>
      </c>
      <c r="U158" s="2"/>
      <c r="V158" s="5">
        <f t="shared" si="33"/>
        <v>9.5263785259708006E-4</v>
      </c>
      <c r="W158" s="2"/>
      <c r="X158" s="2">
        <f t="shared" si="34"/>
        <v>-5124.53</v>
      </c>
      <c r="Y158" s="2"/>
      <c r="Z158" s="5">
        <f t="shared" si="35"/>
        <v>-0.98271791970697941</v>
      </c>
    </row>
    <row r="159" spans="1:26" s="69" customFormat="1" ht="15" hidden="1" customHeight="1" outlineLevel="2" x14ac:dyDescent="0.3">
      <c r="A159" s="21"/>
      <c r="B159" s="9" t="str">
        <f>CONCATENATE("          ","6272"," - ","CASH (OVER/SHORT)")</f>
        <v xml:space="preserve">          6272 - CASH (OVER/SHORT)</v>
      </c>
      <c r="C159" s="9"/>
      <c r="D159" s="6">
        <v>59.88</v>
      </c>
      <c r="E159" s="3"/>
      <c r="F159" s="7">
        <f t="shared" si="28"/>
        <v>2.0545421937535541E-4</v>
      </c>
      <c r="G159" s="3"/>
      <c r="H159" s="6">
        <v>10.39</v>
      </c>
      <c r="I159" s="3"/>
      <c r="J159" s="7">
        <f t="shared" si="29"/>
        <v>3.9281042741933242E-5</v>
      </c>
      <c r="K159" s="3"/>
      <c r="L159" s="6">
        <f t="shared" si="30"/>
        <v>49.49</v>
      </c>
      <c r="M159" s="3"/>
      <c r="N159" s="7">
        <f t="shared" si="31"/>
        <v>4.7632338787295474</v>
      </c>
      <c r="O159" s="9"/>
      <c r="P159" s="6">
        <v>90.12</v>
      </c>
      <c r="Q159" s="3"/>
      <c r="R159" s="7">
        <f t="shared" si="32"/>
        <v>1.1537924188271601E-5</v>
      </c>
      <c r="S159" s="3"/>
      <c r="T159" s="6">
        <v>-134.77000000000001</v>
      </c>
      <c r="U159" s="3"/>
      <c r="V159" s="7">
        <f t="shared" si="33"/>
        <v>-2.4620444976078643E-5</v>
      </c>
      <c r="W159" s="3"/>
      <c r="X159" s="6">
        <f t="shared" si="34"/>
        <v>224.89000000000001</v>
      </c>
      <c r="Y159" s="3"/>
      <c r="Z159" s="7">
        <f t="shared" si="35"/>
        <v>-1.6686948133857684</v>
      </c>
    </row>
    <row r="160" spans="1:26" s="69" customFormat="1" ht="15" hidden="1" customHeight="1" outlineLevel="2" x14ac:dyDescent="0.3">
      <c r="A160" s="21"/>
      <c r="B160" s="9" t="str">
        <f>CONCATENATE("          ","6342"," - ","BAD DEBT")</f>
        <v xml:space="preserve">          6342 - BAD DEBT</v>
      </c>
      <c r="C160" s="9"/>
      <c r="D160" s="6"/>
      <c r="E160" s="3"/>
      <c r="F160" s="7">
        <f t="shared" si="28"/>
        <v>0</v>
      </c>
      <c r="G160" s="3"/>
      <c r="H160" s="6"/>
      <c r="I160" s="3"/>
      <c r="J160" s="7">
        <f t="shared" si="29"/>
        <v>0</v>
      </c>
      <c r="K160" s="3"/>
      <c r="L160" s="6">
        <f t="shared" si="30"/>
        <v>0</v>
      </c>
      <c r="M160" s="3"/>
      <c r="N160" s="7">
        <f t="shared" si="31"/>
        <v>0</v>
      </c>
      <c r="O160" s="9"/>
      <c r="P160" s="6"/>
      <c r="Q160" s="3"/>
      <c r="R160" s="7">
        <f t="shared" si="32"/>
        <v>0</v>
      </c>
      <c r="S160" s="3"/>
      <c r="T160" s="6">
        <v>5349.42</v>
      </c>
      <c r="U160" s="3"/>
      <c r="V160" s="7">
        <f t="shared" si="33"/>
        <v>9.7725829757315877E-4</v>
      </c>
      <c r="W160" s="3"/>
      <c r="X160" s="6">
        <f t="shared" si="34"/>
        <v>-5349.42</v>
      </c>
      <c r="Y160" s="3"/>
      <c r="Z160" s="7">
        <f t="shared" si="35"/>
        <v>-1</v>
      </c>
    </row>
    <row r="161" spans="1:26" s="68" customFormat="1" ht="15" customHeight="1" outlineLevel="1" collapsed="1" x14ac:dyDescent="0.3">
      <c r="A161" s="20"/>
      <c r="B161" s="11" t="str">
        <f>CONCATENATE("     ","Bank/card Fees                                    ")</f>
        <v xml:space="preserve">     Bank/card Fees                                    </v>
      </c>
      <c r="C161" s="11"/>
      <c r="D161" s="2">
        <f>SUM(OSRRefD22_4x_0)</f>
        <v>6383.29</v>
      </c>
      <c r="E161" s="2"/>
      <c r="F161" s="5">
        <f t="shared" si="28"/>
        <v>2.1901701135546299E-2</v>
      </c>
      <c r="G161" s="2"/>
      <c r="H161" s="2">
        <f>SUM(OSRRefH22_4x_0)</f>
        <v>10272.450000000001</v>
      </c>
      <c r="I161" s="2"/>
      <c r="J161" s="5">
        <f t="shared" si="29"/>
        <v>3.883662632477114E-2</v>
      </c>
      <c r="K161" s="2"/>
      <c r="L161" s="2">
        <f t="shared" si="30"/>
        <v>-3889.1600000000008</v>
      </c>
      <c r="M161" s="2"/>
      <c r="N161" s="5">
        <f t="shared" si="31"/>
        <v>-0.37860101533713969</v>
      </c>
      <c r="O161" s="11"/>
      <c r="P161" s="2">
        <f>SUM(OSRRefP22_4x_0)</f>
        <v>149253.45000000001</v>
      </c>
      <c r="Q161" s="2"/>
      <c r="R161" s="5">
        <f t="shared" si="32"/>
        <v>1.9108688314891101E-2</v>
      </c>
      <c r="S161" s="2"/>
      <c r="T161" s="2">
        <f>SUM(OSRRefT22_4x_0)</f>
        <v>88875.99</v>
      </c>
      <c r="U161" s="2"/>
      <c r="V161" s="5">
        <f t="shared" si="33"/>
        <v>1.6236302007045452E-2</v>
      </c>
      <c r="W161" s="2"/>
      <c r="X161" s="2">
        <f t="shared" si="34"/>
        <v>60377.460000000006</v>
      </c>
      <c r="Y161" s="2"/>
      <c r="Z161" s="5">
        <f t="shared" si="35"/>
        <v>0.67934500645224882</v>
      </c>
    </row>
    <row r="162" spans="1:26" s="69" customFormat="1" ht="15" hidden="1" customHeight="1" outlineLevel="2" x14ac:dyDescent="0.3">
      <c r="A162" s="21"/>
      <c r="B162" s="9" t="str">
        <f>CONCATENATE("          ","6381"," - ","BANK/CREDIT CARD FEES")</f>
        <v xml:space="preserve">          6381 - BANK/CREDIT CARD FEES</v>
      </c>
      <c r="C162" s="9"/>
      <c r="D162" s="6">
        <v>6383.29</v>
      </c>
      <c r="E162" s="3"/>
      <c r="F162" s="7">
        <f t="shared" si="28"/>
        <v>2.1901701135546299E-2</v>
      </c>
      <c r="G162" s="3"/>
      <c r="H162" s="6">
        <v>10272.450000000001</v>
      </c>
      <c r="I162" s="3"/>
      <c r="J162" s="7">
        <f t="shared" si="29"/>
        <v>3.883662632477114E-2</v>
      </c>
      <c r="K162" s="3"/>
      <c r="L162" s="6">
        <f t="shared" si="30"/>
        <v>-3889.1600000000008</v>
      </c>
      <c r="M162" s="3"/>
      <c r="N162" s="7">
        <f t="shared" si="31"/>
        <v>-0.37860101533713969</v>
      </c>
      <c r="O162" s="9"/>
      <c r="P162" s="6">
        <v>149253.45000000001</v>
      </c>
      <c r="Q162" s="3"/>
      <c r="R162" s="7">
        <f t="shared" si="32"/>
        <v>1.9108688314891101E-2</v>
      </c>
      <c r="S162" s="3"/>
      <c r="T162" s="6">
        <v>88875.99</v>
      </c>
      <c r="U162" s="3"/>
      <c r="V162" s="7">
        <f t="shared" si="33"/>
        <v>1.6236302007045452E-2</v>
      </c>
      <c r="W162" s="3"/>
      <c r="X162" s="6">
        <f t="shared" si="34"/>
        <v>60377.460000000006</v>
      </c>
      <c r="Y162" s="3"/>
      <c r="Z162" s="7">
        <f t="shared" si="35"/>
        <v>0.67934500645224882</v>
      </c>
    </row>
    <row r="163" spans="1:26" s="68" customFormat="1" ht="15" customHeight="1" outlineLevel="1" collapsed="1" x14ac:dyDescent="0.3">
      <c r="A163" s="20"/>
      <c r="B163" s="11" t="str">
        <f>CONCATENATE("     ","Depreciation                                      ")</f>
        <v xml:space="preserve">     Depreciation                                      </v>
      </c>
      <c r="C163" s="11"/>
      <c r="D163" s="2">
        <f>SUM(OSRRefD22_5x_0)</f>
        <v>16379.849999999999</v>
      </c>
      <c r="E163" s="2"/>
      <c r="F163" s="5">
        <f t="shared" si="28"/>
        <v>5.620089003399157E-2</v>
      </c>
      <c r="G163" s="2"/>
      <c r="H163" s="2">
        <f>SUM(OSRRefH22_5x_0)</f>
        <v>30718.46</v>
      </c>
      <c r="I163" s="2"/>
      <c r="J163" s="5">
        <f t="shared" si="29"/>
        <v>0.11613600964642602</v>
      </c>
      <c r="K163" s="2"/>
      <c r="L163" s="2">
        <f t="shared" si="30"/>
        <v>-14338.61</v>
      </c>
      <c r="M163" s="2"/>
      <c r="N163" s="5">
        <f t="shared" si="31"/>
        <v>-0.4667750271335217</v>
      </c>
      <c r="O163" s="11"/>
      <c r="P163" s="2">
        <f>SUM(OSRRefP22_5x_0)</f>
        <v>316576.52</v>
      </c>
      <c r="Q163" s="2"/>
      <c r="R163" s="5">
        <f t="shared" si="32"/>
        <v>4.0530802125464359E-2</v>
      </c>
      <c r="S163" s="2"/>
      <c r="T163" s="2">
        <f>SUM(OSRRefT22_5x_0)</f>
        <v>369108.3</v>
      </c>
      <c r="U163" s="2"/>
      <c r="V163" s="5">
        <f t="shared" si="33"/>
        <v>6.7430515621903456E-2</v>
      </c>
      <c r="W163" s="2"/>
      <c r="X163" s="2">
        <f t="shared" si="34"/>
        <v>-52531.77999999997</v>
      </c>
      <c r="Y163" s="2"/>
      <c r="Z163" s="5">
        <f t="shared" si="35"/>
        <v>-0.14232077685600669</v>
      </c>
    </row>
    <row r="164" spans="1:26" s="69" customFormat="1" ht="15" hidden="1" customHeight="1" outlineLevel="2" x14ac:dyDescent="0.3">
      <c r="A164" s="21"/>
      <c r="B164" s="9" t="str">
        <f>CONCATENATE("          ","6321"," - ","BUILDING DEPRECIATION")</f>
        <v xml:space="preserve">          6321 - BUILDING DEPRECIATION</v>
      </c>
      <c r="C164" s="9"/>
      <c r="D164" s="6">
        <v>13321.47</v>
      </c>
      <c r="E164" s="3"/>
      <c r="F164" s="7">
        <f t="shared" si="28"/>
        <v>4.5707284899502598E-2</v>
      </c>
      <c r="G164" s="3"/>
      <c r="H164" s="6">
        <v>16396.25</v>
      </c>
      <c r="I164" s="3"/>
      <c r="J164" s="7">
        <f t="shared" si="29"/>
        <v>6.1988623393399694E-2</v>
      </c>
      <c r="K164" s="3"/>
      <c r="L164" s="6">
        <f t="shared" si="30"/>
        <v>-3074.7800000000007</v>
      </c>
      <c r="M164" s="3"/>
      <c r="N164" s="7">
        <f t="shared" si="31"/>
        <v>-0.18752946557901964</v>
      </c>
      <c r="O164" s="9"/>
      <c r="P164" s="6">
        <v>179119.02</v>
      </c>
      <c r="Q164" s="3"/>
      <c r="R164" s="7">
        <f t="shared" si="32"/>
        <v>2.2932331041250604E-2</v>
      </c>
      <c r="S164" s="3"/>
      <c r="T164" s="6">
        <v>196757.97</v>
      </c>
      <c r="U164" s="3"/>
      <c r="V164" s="7">
        <f t="shared" si="33"/>
        <v>3.594471153810145E-2</v>
      </c>
      <c r="W164" s="3"/>
      <c r="X164" s="6">
        <f t="shared" si="34"/>
        <v>-17638.950000000012</v>
      </c>
      <c r="Y164" s="3"/>
      <c r="Z164" s="7">
        <f t="shared" si="35"/>
        <v>-8.9647956827365177E-2</v>
      </c>
    </row>
    <row r="165" spans="1:26" s="69" customFormat="1" ht="15" hidden="1" customHeight="1" outlineLevel="2" x14ac:dyDescent="0.3">
      <c r="A165" s="21"/>
      <c r="B165" s="9" t="str">
        <f>CONCATENATE("          ","6322"," - ","EQUIPMENT DEPRECIATION EXPENSE")</f>
        <v xml:space="preserve">          6322 - EQUIPMENT DEPRECIATION EXPENSE</v>
      </c>
      <c r="C165" s="9"/>
      <c r="D165" s="6">
        <v>3058.38</v>
      </c>
      <c r="E165" s="3"/>
      <c r="F165" s="7">
        <f t="shared" si="28"/>
        <v>1.049360513448897E-2</v>
      </c>
      <c r="G165" s="3"/>
      <c r="H165" s="6">
        <v>14322.21</v>
      </c>
      <c r="I165" s="3"/>
      <c r="J165" s="7">
        <f t="shared" si="29"/>
        <v>5.4147386253026335E-2</v>
      </c>
      <c r="K165" s="3"/>
      <c r="L165" s="6">
        <f t="shared" si="30"/>
        <v>-11263.829999999998</v>
      </c>
      <c r="M165" s="3"/>
      <c r="N165" s="7">
        <f t="shared" si="31"/>
        <v>-0.7864589333629376</v>
      </c>
      <c r="O165" s="9"/>
      <c r="P165" s="6">
        <v>137457.5</v>
      </c>
      <c r="Q165" s="3"/>
      <c r="R165" s="7">
        <f t="shared" si="32"/>
        <v>1.7598471084213755E-2</v>
      </c>
      <c r="S165" s="3"/>
      <c r="T165" s="6">
        <v>172350.33</v>
      </c>
      <c r="U165" s="3"/>
      <c r="V165" s="7">
        <f t="shared" si="33"/>
        <v>3.1485804083801999E-2</v>
      </c>
      <c r="W165" s="3"/>
      <c r="X165" s="6">
        <f t="shared" si="34"/>
        <v>-34892.829999999987</v>
      </c>
      <c r="Y165" s="3"/>
      <c r="Z165" s="7">
        <f t="shared" si="35"/>
        <v>-0.20245293409069764</v>
      </c>
    </row>
    <row r="166" spans="1:26" s="68" customFormat="1" ht="15" customHeight="1" outlineLevel="1" collapsed="1" x14ac:dyDescent="0.3">
      <c r="A166" s="20"/>
      <c r="B166" s="11" t="str">
        <f>CONCATENATE("     ","Discounts and Markdowns                           ")</f>
        <v xml:space="preserve">     Discounts and Markdowns                           </v>
      </c>
      <c r="C166" s="11"/>
      <c r="D166" s="2">
        <f>SUM(OSRRefD22_6x_0)</f>
        <v>30.17</v>
      </c>
      <c r="E166" s="2"/>
      <c r="F166" s="5">
        <f t="shared" si="28"/>
        <v>1.035162625009097E-4</v>
      </c>
      <c r="G166" s="2"/>
      <c r="H166" s="2">
        <f>SUM(OSRRefH22_6x_0)</f>
        <v>0</v>
      </c>
      <c r="I166" s="2"/>
      <c r="J166" s="5">
        <f t="shared" si="29"/>
        <v>0</v>
      </c>
      <c r="K166" s="2"/>
      <c r="L166" s="2">
        <f t="shared" si="30"/>
        <v>30.17</v>
      </c>
      <c r="M166" s="2"/>
      <c r="N166" s="5">
        <f t="shared" si="31"/>
        <v>0</v>
      </c>
      <c r="O166" s="11"/>
      <c r="P166" s="2">
        <f>SUM(OSRRefP22_6x_0)</f>
        <v>2019.25</v>
      </c>
      <c r="Q166" s="2"/>
      <c r="R166" s="5">
        <f t="shared" si="32"/>
        <v>2.5852145380789426E-4</v>
      </c>
      <c r="S166" s="2"/>
      <c r="T166" s="2">
        <f>SUM(OSRRefT22_6x_0)</f>
        <v>-15.43</v>
      </c>
      <c r="U166" s="2"/>
      <c r="V166" s="5">
        <f t="shared" si="33"/>
        <v>-2.8188281218438336E-6</v>
      </c>
      <c r="W166" s="2"/>
      <c r="X166" s="2">
        <f t="shared" si="34"/>
        <v>2034.68</v>
      </c>
      <c r="Y166" s="2"/>
      <c r="Z166" s="5">
        <f t="shared" si="35"/>
        <v>-131.86519766688269</v>
      </c>
    </row>
    <row r="167" spans="1:26" s="69" customFormat="1" ht="15" hidden="1" customHeight="1" outlineLevel="2" x14ac:dyDescent="0.3">
      <c r="A167" s="21"/>
      <c r="B167" s="9" t="str">
        <f>CONCATENATE("          ","6382"," - ","DISCOUNTS/MARK DOWNS")</f>
        <v xml:space="preserve">          6382 - DISCOUNTS/MARK DOWNS</v>
      </c>
      <c r="C167" s="9"/>
      <c r="D167" s="6"/>
      <c r="E167" s="3"/>
      <c r="F167" s="7">
        <f t="shared" si="28"/>
        <v>0</v>
      </c>
      <c r="G167" s="3"/>
      <c r="H167" s="6">
        <v>0</v>
      </c>
      <c r="I167" s="3"/>
      <c r="J167" s="7">
        <f t="shared" si="29"/>
        <v>0</v>
      </c>
      <c r="K167" s="3"/>
      <c r="L167" s="6">
        <f t="shared" si="30"/>
        <v>0</v>
      </c>
      <c r="M167" s="3"/>
      <c r="N167" s="7">
        <f t="shared" si="31"/>
        <v>0</v>
      </c>
      <c r="O167" s="9"/>
      <c r="P167" s="6">
        <v>2171.35</v>
      </c>
      <c r="Q167" s="3"/>
      <c r="R167" s="7">
        <f t="shared" si="32"/>
        <v>2.7799458151579601E-4</v>
      </c>
      <c r="S167" s="3"/>
      <c r="T167" s="6">
        <v>0</v>
      </c>
      <c r="U167" s="3"/>
      <c r="V167" s="7">
        <f t="shared" si="33"/>
        <v>0</v>
      </c>
      <c r="W167" s="3"/>
      <c r="X167" s="6">
        <f t="shared" si="34"/>
        <v>2171.35</v>
      </c>
      <c r="Y167" s="3"/>
      <c r="Z167" s="7">
        <f t="shared" si="35"/>
        <v>0</v>
      </c>
    </row>
    <row r="168" spans="1:26" s="69" customFormat="1" ht="15" hidden="1" customHeight="1" outlineLevel="2" x14ac:dyDescent="0.3">
      <c r="A168" s="21"/>
      <c r="B168" s="9" t="str">
        <f>CONCATENATE("          ","9175"," - ","EARNED DISCOUNTS")</f>
        <v xml:space="preserve">          9175 - EARNED DISCOUNTS</v>
      </c>
      <c r="C168" s="9"/>
      <c r="D168" s="6">
        <v>30.17</v>
      </c>
      <c r="E168" s="3"/>
      <c r="F168" s="7">
        <f t="shared" ref="F168:F199" si="36">IF(D$12=0,0,D168/D$12)</f>
        <v>1.035162625009097E-4</v>
      </c>
      <c r="G168" s="3"/>
      <c r="H168" s="6">
        <v>0</v>
      </c>
      <c r="I168" s="3"/>
      <c r="J168" s="7">
        <f t="shared" ref="J168:J199" si="37">IF(H$12=0,0,H168/H$12)</f>
        <v>0</v>
      </c>
      <c r="K168" s="3"/>
      <c r="L168" s="6">
        <f t="shared" ref="L168:L199" si="38">+D168-H168</f>
        <v>30.17</v>
      </c>
      <c r="M168" s="3"/>
      <c r="N168" s="7">
        <f t="shared" ref="N168:N199" si="39">IF(H168=0,0,L168/H168)</f>
        <v>0</v>
      </c>
      <c r="O168" s="9"/>
      <c r="P168" s="6">
        <v>-152.1</v>
      </c>
      <c r="Q168" s="3"/>
      <c r="R168" s="7">
        <f t="shared" ref="R168:R199" si="40">IF(P$12=0,0,P168/P$12)</f>
        <v>-1.9473127707901801E-5</v>
      </c>
      <c r="S168" s="3"/>
      <c r="T168" s="6">
        <v>-15.43</v>
      </c>
      <c r="U168" s="3"/>
      <c r="V168" s="7">
        <f t="shared" ref="V168:V199" si="41">IF(T$12=0,0,T168/T$12)</f>
        <v>-2.8188281218438336E-6</v>
      </c>
      <c r="W168" s="3"/>
      <c r="X168" s="6">
        <f t="shared" ref="X168:X199" si="42">+P168-T168</f>
        <v>-136.66999999999999</v>
      </c>
      <c r="Y168" s="3"/>
      <c r="Z168" s="7">
        <f t="shared" ref="Z168:Z199" si="43">IF(T168=0,0,X168/T168)</f>
        <v>8.8574206092028511</v>
      </c>
    </row>
    <row r="169" spans="1:26" s="68" customFormat="1" ht="15" customHeight="1" outlineLevel="1" collapsed="1" x14ac:dyDescent="0.3">
      <c r="A169" s="20"/>
      <c r="B169" s="11" t="str">
        <f>CONCATENATE("     ","Donations                                         ")</f>
        <v xml:space="preserve">     Donations                                         </v>
      </c>
      <c r="C169" s="11"/>
      <c r="D169" s="2">
        <f>SUM(OSRRefD22_7x_0)</f>
        <v>2379.11</v>
      </c>
      <c r="E169" s="2"/>
      <c r="F169" s="5">
        <f t="shared" si="36"/>
        <v>8.1629623890798562E-3</v>
      </c>
      <c r="G169" s="2"/>
      <c r="H169" s="2">
        <f>SUM(OSRRefH22_7x_0)</f>
        <v>0</v>
      </c>
      <c r="I169" s="2"/>
      <c r="J169" s="5">
        <f t="shared" si="37"/>
        <v>0</v>
      </c>
      <c r="K169" s="2"/>
      <c r="L169" s="2">
        <f t="shared" si="38"/>
        <v>2379.11</v>
      </c>
      <c r="M169" s="2"/>
      <c r="N169" s="5">
        <f t="shared" si="39"/>
        <v>0</v>
      </c>
      <c r="O169" s="11"/>
      <c r="P169" s="2">
        <f>SUM(OSRRefP22_7x_0)</f>
        <v>9817.98</v>
      </c>
      <c r="Q169" s="2"/>
      <c r="R169" s="5">
        <f t="shared" si="40"/>
        <v>1.2569807914110829E-3</v>
      </c>
      <c r="S169" s="2"/>
      <c r="T169" s="2">
        <f>SUM(OSRRefT22_7x_0)</f>
        <v>360.9</v>
      </c>
      <c r="U169" s="2"/>
      <c r="V169" s="5">
        <f t="shared" si="41"/>
        <v>6.593098309613995E-5</v>
      </c>
      <c r="W169" s="2"/>
      <c r="X169" s="2">
        <f t="shared" si="42"/>
        <v>9457.08</v>
      </c>
      <c r="Y169" s="2"/>
      <c r="Z169" s="5">
        <f t="shared" si="43"/>
        <v>26.204156275976725</v>
      </c>
    </row>
    <row r="170" spans="1:26" s="69" customFormat="1" ht="15" hidden="1" customHeight="1" outlineLevel="2" x14ac:dyDescent="0.3">
      <c r="A170" s="21"/>
      <c r="B170" s="9" t="str">
        <f>CONCATENATE("          ","6399"," - ","DONATION-ON CAMPUS")</f>
        <v xml:space="preserve">          6399 - DONATION-ON CAMPUS</v>
      </c>
      <c r="C170" s="9"/>
      <c r="D170" s="6">
        <v>2379.11</v>
      </c>
      <c r="E170" s="3"/>
      <c r="F170" s="7">
        <f t="shared" si="36"/>
        <v>8.1629623890798562E-3</v>
      </c>
      <c r="G170" s="3"/>
      <c r="H170" s="6"/>
      <c r="I170" s="3"/>
      <c r="J170" s="7">
        <f t="shared" si="37"/>
        <v>0</v>
      </c>
      <c r="K170" s="3"/>
      <c r="L170" s="6">
        <f t="shared" si="38"/>
        <v>2379.11</v>
      </c>
      <c r="M170" s="3"/>
      <c r="N170" s="7">
        <f t="shared" si="39"/>
        <v>0</v>
      </c>
      <c r="O170" s="9"/>
      <c r="P170" s="6">
        <v>9817.98</v>
      </c>
      <c r="Q170" s="3"/>
      <c r="R170" s="7">
        <f t="shared" si="40"/>
        <v>1.2569807914110829E-3</v>
      </c>
      <c r="S170" s="3"/>
      <c r="T170" s="6">
        <v>360.9</v>
      </c>
      <c r="U170" s="3"/>
      <c r="V170" s="7">
        <f t="shared" si="41"/>
        <v>6.593098309613995E-5</v>
      </c>
      <c r="W170" s="3"/>
      <c r="X170" s="6">
        <f t="shared" si="42"/>
        <v>9457.08</v>
      </c>
      <c r="Y170" s="3"/>
      <c r="Z170" s="7">
        <f t="shared" si="43"/>
        <v>26.204156275976725</v>
      </c>
    </row>
    <row r="171" spans="1:26" s="68" customFormat="1" ht="15" customHeight="1" outlineLevel="1" collapsed="1" x14ac:dyDescent="0.3">
      <c r="A171" s="20"/>
      <c r="B171" s="11" t="str">
        <f>CONCATENATE("     ","Employees' Appreciation                           ")</f>
        <v xml:space="preserve">     Employees' Appreciation                           </v>
      </c>
      <c r="C171" s="11"/>
      <c r="D171" s="2">
        <f>SUM(OSRRefD22_8x_0)</f>
        <v>1840.15</v>
      </c>
      <c r="E171" s="2"/>
      <c r="F171" s="5">
        <f t="shared" si="36"/>
        <v>6.3137371707341393E-3</v>
      </c>
      <c r="G171" s="2"/>
      <c r="H171" s="2">
        <f>SUM(OSRRefH22_8x_0)</f>
        <v>522.86</v>
      </c>
      <c r="I171" s="2"/>
      <c r="J171" s="5">
        <f t="shared" si="37"/>
        <v>1.9767551499564207E-3</v>
      </c>
      <c r="K171" s="2"/>
      <c r="L171" s="2">
        <f t="shared" si="38"/>
        <v>1317.29</v>
      </c>
      <c r="M171" s="2"/>
      <c r="N171" s="5">
        <f t="shared" si="39"/>
        <v>2.5193933366484336</v>
      </c>
      <c r="O171" s="11"/>
      <c r="P171" s="2">
        <f>SUM(OSRRefP22_8x_0)</f>
        <v>6181.53</v>
      </c>
      <c r="Q171" s="2"/>
      <c r="R171" s="5">
        <f t="shared" si="40"/>
        <v>7.9141172334139525E-4</v>
      </c>
      <c r="S171" s="2"/>
      <c r="T171" s="2">
        <f>SUM(OSRRefT22_8x_0)</f>
        <v>708.89</v>
      </c>
      <c r="U171" s="2"/>
      <c r="V171" s="5">
        <f t="shared" si="41"/>
        <v>1.2950350403719216E-4</v>
      </c>
      <c r="W171" s="2"/>
      <c r="X171" s="2">
        <f t="shared" si="42"/>
        <v>5472.6399999999994</v>
      </c>
      <c r="Y171" s="2"/>
      <c r="Z171" s="5">
        <f t="shared" si="43"/>
        <v>7.7200129780360838</v>
      </c>
    </row>
    <row r="172" spans="1:26" s="69" customFormat="1" ht="15" hidden="1" customHeight="1" outlineLevel="2" x14ac:dyDescent="0.3">
      <c r="A172" s="21"/>
      <c r="B172" s="9" t="str">
        <f>CONCATENATE("          ","6277"," - ","EMPLOYEE APPRECIATION")</f>
        <v xml:space="preserve">          6277 - EMPLOYEE APPRECIATION</v>
      </c>
      <c r="C172" s="9"/>
      <c r="D172" s="6">
        <v>1840.15</v>
      </c>
      <c r="E172" s="3"/>
      <c r="F172" s="7">
        <f t="shared" si="36"/>
        <v>6.3137371707341393E-3</v>
      </c>
      <c r="G172" s="3"/>
      <c r="H172" s="6">
        <v>522.86</v>
      </c>
      <c r="I172" s="3"/>
      <c r="J172" s="7">
        <f t="shared" si="37"/>
        <v>1.9767551499564207E-3</v>
      </c>
      <c r="K172" s="3"/>
      <c r="L172" s="6">
        <f t="shared" si="38"/>
        <v>1317.29</v>
      </c>
      <c r="M172" s="3"/>
      <c r="N172" s="7">
        <f t="shared" si="39"/>
        <v>2.5193933366484336</v>
      </c>
      <c r="O172" s="9"/>
      <c r="P172" s="6">
        <v>6181.53</v>
      </c>
      <c r="Q172" s="3"/>
      <c r="R172" s="7">
        <f t="shared" si="40"/>
        <v>7.9141172334139525E-4</v>
      </c>
      <c r="S172" s="3"/>
      <c r="T172" s="6">
        <v>708.89</v>
      </c>
      <c r="U172" s="3"/>
      <c r="V172" s="7">
        <f t="shared" si="41"/>
        <v>1.2950350403719216E-4</v>
      </c>
      <c r="W172" s="3"/>
      <c r="X172" s="6">
        <f t="shared" si="42"/>
        <v>5472.6399999999994</v>
      </c>
      <c r="Y172" s="3"/>
      <c r="Z172" s="7">
        <f t="shared" si="43"/>
        <v>7.7200129780360838</v>
      </c>
    </row>
    <row r="173" spans="1:26" s="68" customFormat="1" ht="15" customHeight="1" outlineLevel="1" collapsed="1" x14ac:dyDescent="0.3">
      <c r="A173" s="20"/>
      <c r="B173" s="11" t="str">
        <f>CONCATENATE("     ","Equipment Rental                                  ")</f>
        <v xml:space="preserve">     Equipment Rental                                  </v>
      </c>
      <c r="C173" s="11"/>
      <c r="D173" s="2">
        <f>SUM(OSRRefD22_9x_0)</f>
        <v>2900.76</v>
      </c>
      <c r="E173" s="2"/>
      <c r="F173" s="5">
        <f t="shared" si="36"/>
        <v>9.9527952804818968E-3</v>
      </c>
      <c r="G173" s="2"/>
      <c r="H173" s="2">
        <f>SUM(OSRRefH22_9x_0)</f>
        <v>2220.81</v>
      </c>
      <c r="I173" s="2"/>
      <c r="J173" s="5">
        <f t="shared" si="37"/>
        <v>8.3961244015122952E-3</v>
      </c>
      <c r="K173" s="2"/>
      <c r="L173" s="2">
        <f t="shared" si="38"/>
        <v>679.95000000000027</v>
      </c>
      <c r="M173" s="2"/>
      <c r="N173" s="5">
        <f t="shared" si="39"/>
        <v>0.3061720723519798</v>
      </c>
      <c r="O173" s="11"/>
      <c r="P173" s="2">
        <f>SUM(OSRRefP22_9x_0)</f>
        <v>20411.12</v>
      </c>
      <c r="Q173" s="2"/>
      <c r="R173" s="5">
        <f t="shared" si="40"/>
        <v>2.6132041184832914E-3</v>
      </c>
      <c r="S173" s="2"/>
      <c r="T173" s="2">
        <f>SUM(OSRRefT22_9x_0)</f>
        <v>18767.03</v>
      </c>
      <c r="U173" s="2"/>
      <c r="V173" s="5">
        <f t="shared" si="41"/>
        <v>3.4284531385279896E-3</v>
      </c>
      <c r="W173" s="2"/>
      <c r="X173" s="2">
        <f t="shared" si="42"/>
        <v>1644.0900000000001</v>
      </c>
      <c r="Y173" s="2"/>
      <c r="Z173" s="5">
        <f t="shared" si="43"/>
        <v>8.760523108877645E-2</v>
      </c>
    </row>
    <row r="174" spans="1:26" s="69" customFormat="1" ht="15" hidden="1" customHeight="1" outlineLevel="2" x14ac:dyDescent="0.3">
      <c r="A174" s="21"/>
      <c r="B174" s="9" t="str">
        <f>CONCATENATE("          ","6351"," - ","EQUIPMENT RENTAL")</f>
        <v xml:space="preserve">          6351 - EQUIPMENT RENTAL</v>
      </c>
      <c r="C174" s="9"/>
      <c r="D174" s="6">
        <v>2900.76</v>
      </c>
      <c r="E174" s="3"/>
      <c r="F174" s="7">
        <f t="shared" si="36"/>
        <v>9.9527952804818968E-3</v>
      </c>
      <c r="G174" s="3"/>
      <c r="H174" s="6">
        <v>2220.81</v>
      </c>
      <c r="I174" s="3"/>
      <c r="J174" s="7">
        <f t="shared" si="37"/>
        <v>8.3961244015122952E-3</v>
      </c>
      <c r="K174" s="3"/>
      <c r="L174" s="6">
        <f t="shared" si="38"/>
        <v>679.95000000000027</v>
      </c>
      <c r="M174" s="3"/>
      <c r="N174" s="7">
        <f t="shared" si="39"/>
        <v>0.3061720723519798</v>
      </c>
      <c r="O174" s="9"/>
      <c r="P174" s="6">
        <v>20411.12</v>
      </c>
      <c r="Q174" s="3"/>
      <c r="R174" s="7">
        <f t="shared" si="40"/>
        <v>2.6132041184832914E-3</v>
      </c>
      <c r="S174" s="3"/>
      <c r="T174" s="6">
        <v>18767.03</v>
      </c>
      <c r="U174" s="3"/>
      <c r="V174" s="7">
        <f t="shared" si="41"/>
        <v>3.4284531385279896E-3</v>
      </c>
      <c r="W174" s="3"/>
      <c r="X174" s="6">
        <f t="shared" si="42"/>
        <v>1644.0900000000001</v>
      </c>
      <c r="Y174" s="3"/>
      <c r="Z174" s="7">
        <f t="shared" si="43"/>
        <v>8.760523108877645E-2</v>
      </c>
    </row>
    <row r="175" spans="1:26" s="68" customFormat="1" ht="15" customHeight="1" outlineLevel="1" collapsed="1" x14ac:dyDescent="0.3">
      <c r="A175" s="20"/>
      <c r="B175" s="11" t="str">
        <f>CONCATENATE("     ","Freight out/Postage                               ")</f>
        <v xml:space="preserve">     Freight out/Postage                               </v>
      </c>
      <c r="C175" s="11"/>
      <c r="D175" s="2">
        <f>SUM(OSRRefD22_10x_0)</f>
        <v>6549</v>
      </c>
      <c r="E175" s="2"/>
      <c r="F175" s="5">
        <f t="shared" si="36"/>
        <v>2.2470268581984011E-2</v>
      </c>
      <c r="G175" s="2"/>
      <c r="H175" s="2">
        <f>SUM(OSRRefH22_10x_0)</f>
        <v>-7501.3200000000006</v>
      </c>
      <c r="I175" s="2"/>
      <c r="J175" s="5">
        <f t="shared" si="37"/>
        <v>-2.8359929888442603E-2</v>
      </c>
      <c r="K175" s="2"/>
      <c r="L175" s="2">
        <f t="shared" si="38"/>
        <v>14050.32</v>
      </c>
      <c r="M175" s="2"/>
      <c r="N175" s="5">
        <f t="shared" si="39"/>
        <v>-1.8730463438434835</v>
      </c>
      <c r="O175" s="11"/>
      <c r="P175" s="2">
        <f>SUM(OSRRefP22_10x_0)</f>
        <v>-38669.649999999994</v>
      </c>
      <c r="Q175" s="2"/>
      <c r="R175" s="5">
        <f t="shared" si="40"/>
        <v>-4.9508154692298805E-3</v>
      </c>
      <c r="S175" s="2"/>
      <c r="T175" s="2">
        <f>SUM(OSRRefT22_10x_0)</f>
        <v>-75388.09</v>
      </c>
      <c r="U175" s="2"/>
      <c r="V175" s="5">
        <f t="shared" si="41"/>
        <v>-1.377226624394646E-2</v>
      </c>
      <c r="W175" s="2"/>
      <c r="X175" s="2">
        <f t="shared" si="42"/>
        <v>36718.44</v>
      </c>
      <c r="Y175" s="2"/>
      <c r="Z175" s="5">
        <f t="shared" si="43"/>
        <v>-0.48705889749959186</v>
      </c>
    </row>
    <row r="176" spans="1:26" s="69" customFormat="1" ht="15" hidden="1" customHeight="1" outlineLevel="2" x14ac:dyDescent="0.3">
      <c r="A176" s="21"/>
      <c r="B176" s="9" t="str">
        <f>CONCATENATE("          ","6305"," - ","FREIGHT OUT")</f>
        <v xml:space="preserve">          6305 - FREIGHT OUT</v>
      </c>
      <c r="C176" s="9"/>
      <c r="D176" s="6">
        <v>19990.48</v>
      </c>
      <c r="E176" s="3"/>
      <c r="F176" s="7">
        <f t="shared" si="36"/>
        <v>6.8589319695034318E-2</v>
      </c>
      <c r="G176" s="3"/>
      <c r="H176" s="6">
        <v>7012.69</v>
      </c>
      <c r="I176" s="3"/>
      <c r="J176" s="7">
        <f t="shared" si="37"/>
        <v>2.6512586681994976E-2</v>
      </c>
      <c r="K176" s="3"/>
      <c r="L176" s="6">
        <f t="shared" si="38"/>
        <v>12977.79</v>
      </c>
      <c r="M176" s="3"/>
      <c r="N176" s="7">
        <f t="shared" si="39"/>
        <v>1.8506150991987385</v>
      </c>
      <c r="O176" s="9"/>
      <c r="P176" s="6">
        <v>154410.6</v>
      </c>
      <c r="Q176" s="3"/>
      <c r="R176" s="7">
        <f t="shared" si="40"/>
        <v>1.9768950251503891E-2</v>
      </c>
      <c r="S176" s="3"/>
      <c r="T176" s="6">
        <v>231396.33</v>
      </c>
      <c r="U176" s="3"/>
      <c r="V176" s="7">
        <f t="shared" si="41"/>
        <v>4.2272617128675041E-2</v>
      </c>
      <c r="W176" s="3"/>
      <c r="X176" s="6">
        <f t="shared" si="42"/>
        <v>-76985.729999999981</v>
      </c>
      <c r="Y176" s="3"/>
      <c r="Z176" s="7">
        <f t="shared" si="43"/>
        <v>-0.33270073903073566</v>
      </c>
    </row>
    <row r="177" spans="1:26" s="69" customFormat="1" ht="15" hidden="1" customHeight="1" outlineLevel="2" x14ac:dyDescent="0.3">
      <c r="A177" s="21"/>
      <c r="B177" s="9" t="str">
        <f>CONCATENATE("          ","6307"," - ","POSTAGE")</f>
        <v xml:space="preserve">          6307 - POSTAGE</v>
      </c>
      <c r="C177" s="9"/>
      <c r="D177" s="6">
        <v>-13441.48</v>
      </c>
      <c r="E177" s="3"/>
      <c r="F177" s="7">
        <f t="shared" si="36"/>
        <v>-4.6119051113050306E-2</v>
      </c>
      <c r="G177" s="3"/>
      <c r="H177" s="6">
        <v>-14514.01</v>
      </c>
      <c r="I177" s="3"/>
      <c r="J177" s="7">
        <f t="shared" si="37"/>
        <v>-5.4872516570437575E-2</v>
      </c>
      <c r="K177" s="3"/>
      <c r="L177" s="6">
        <f t="shared" si="38"/>
        <v>1072.5300000000007</v>
      </c>
      <c r="M177" s="3"/>
      <c r="N177" s="7">
        <f t="shared" si="39"/>
        <v>-7.3896187201193925E-2</v>
      </c>
      <c r="O177" s="9"/>
      <c r="P177" s="6">
        <v>-193080.25</v>
      </c>
      <c r="Q177" s="3"/>
      <c r="R177" s="7">
        <f t="shared" si="40"/>
        <v>-2.4719765720733772E-2</v>
      </c>
      <c r="S177" s="3"/>
      <c r="T177" s="6">
        <v>-306784.42</v>
      </c>
      <c r="U177" s="3"/>
      <c r="V177" s="7">
        <f t="shared" si="41"/>
        <v>-5.60448833726215E-2</v>
      </c>
      <c r="W177" s="3"/>
      <c r="X177" s="6">
        <f t="shared" si="42"/>
        <v>113704.16999999998</v>
      </c>
      <c r="Y177" s="3"/>
      <c r="Z177" s="7">
        <f t="shared" si="43"/>
        <v>-0.37063215270188749</v>
      </c>
    </row>
    <row r="178" spans="1:26" s="68" customFormat="1" ht="15" customHeight="1" outlineLevel="1" collapsed="1" x14ac:dyDescent="0.3">
      <c r="A178" s="20"/>
      <c r="B178" s="11" t="str">
        <f>CONCATENATE("     ","General                                           ")</f>
        <v xml:space="preserve">     General                                           </v>
      </c>
      <c r="C178" s="11"/>
      <c r="D178" s="2">
        <f>SUM(OSRRefD22_11x_0)</f>
        <v>200</v>
      </c>
      <c r="E178" s="2"/>
      <c r="F178" s="5">
        <f t="shared" si="36"/>
        <v>6.8621983759303742E-4</v>
      </c>
      <c r="G178" s="2"/>
      <c r="H178" s="2">
        <f>SUM(OSRRefH22_11x_0)</f>
        <v>-3391.74</v>
      </c>
      <c r="I178" s="2"/>
      <c r="J178" s="5">
        <f t="shared" si="37"/>
        <v>-1.2823010963380619E-2</v>
      </c>
      <c r="K178" s="2"/>
      <c r="L178" s="2">
        <f t="shared" si="38"/>
        <v>3591.74</v>
      </c>
      <c r="M178" s="2"/>
      <c r="N178" s="5">
        <f t="shared" si="39"/>
        <v>-1.0589667840105668</v>
      </c>
      <c r="O178" s="11"/>
      <c r="P178" s="2">
        <f>SUM(OSRRefP22_11x_0)</f>
        <v>6685.51</v>
      </c>
      <c r="Q178" s="2"/>
      <c r="R178" s="5">
        <f t="shared" si="40"/>
        <v>8.5593550310621028E-4</v>
      </c>
      <c r="S178" s="2"/>
      <c r="T178" s="2">
        <f>SUM(OSRRefT22_11x_0)</f>
        <v>-788.11</v>
      </c>
      <c r="U178" s="2"/>
      <c r="V178" s="5">
        <f t="shared" si="41"/>
        <v>-1.4397580240481812E-4</v>
      </c>
      <c r="W178" s="2"/>
      <c r="X178" s="2">
        <f t="shared" si="42"/>
        <v>7473.62</v>
      </c>
      <c r="Y178" s="2"/>
      <c r="Z178" s="5">
        <f t="shared" si="43"/>
        <v>-9.482965575871388</v>
      </c>
    </row>
    <row r="179" spans="1:26" s="69" customFormat="1" ht="15" hidden="1" customHeight="1" outlineLevel="2" x14ac:dyDescent="0.3">
      <c r="A179" s="21"/>
      <c r="B179" s="9" t="str">
        <f>CONCATENATE("          ","6279"," - ","GENERAL EXPENSE")</f>
        <v xml:space="preserve">          6279 - GENERAL EXPENSE</v>
      </c>
      <c r="C179" s="9"/>
      <c r="D179" s="6">
        <v>200</v>
      </c>
      <c r="E179" s="3"/>
      <c r="F179" s="7">
        <f t="shared" si="36"/>
        <v>6.8621983759303742E-4</v>
      </c>
      <c r="G179" s="3"/>
      <c r="H179" s="6">
        <v>-3391.74</v>
      </c>
      <c r="I179" s="3"/>
      <c r="J179" s="7">
        <f t="shared" si="37"/>
        <v>-1.2823010963380619E-2</v>
      </c>
      <c r="K179" s="3"/>
      <c r="L179" s="6">
        <f t="shared" si="38"/>
        <v>3591.74</v>
      </c>
      <c r="M179" s="3"/>
      <c r="N179" s="7">
        <f t="shared" si="39"/>
        <v>-1.0589667840105668</v>
      </c>
      <c r="O179" s="9"/>
      <c r="P179" s="6">
        <v>6685.51</v>
      </c>
      <c r="Q179" s="3"/>
      <c r="R179" s="7">
        <f t="shared" si="40"/>
        <v>8.5593550310621028E-4</v>
      </c>
      <c r="S179" s="3"/>
      <c r="T179" s="6">
        <v>-788.11</v>
      </c>
      <c r="U179" s="3"/>
      <c r="V179" s="7">
        <f t="shared" si="41"/>
        <v>-1.4397580240481812E-4</v>
      </c>
      <c r="W179" s="3"/>
      <c r="X179" s="6">
        <f t="shared" si="42"/>
        <v>7473.62</v>
      </c>
      <c r="Y179" s="3"/>
      <c r="Z179" s="7">
        <f t="shared" si="43"/>
        <v>-9.482965575871388</v>
      </c>
    </row>
    <row r="180" spans="1:26" s="68" customFormat="1" ht="15" customHeight="1" outlineLevel="1" collapsed="1" x14ac:dyDescent="0.3">
      <c r="A180" s="20"/>
      <c r="B180" s="11" t="str">
        <f>CONCATENATE("     ","Insurance                                         ")</f>
        <v xml:space="preserve">     Insurance                                         </v>
      </c>
      <c r="C180" s="11"/>
      <c r="D180" s="2">
        <f>SUM(OSRRefD22_12x_0)</f>
        <v>-1699.4</v>
      </c>
      <c r="E180" s="2"/>
      <c r="F180" s="5">
        <f t="shared" si="36"/>
        <v>-5.8308099600280399E-3</v>
      </c>
      <c r="G180" s="2"/>
      <c r="H180" s="2">
        <f>SUM(OSRRefH22_12x_0)</f>
        <v>8663.02</v>
      </c>
      <c r="I180" s="2"/>
      <c r="J180" s="5">
        <f t="shared" si="37"/>
        <v>3.2751920971532483E-2</v>
      </c>
      <c r="K180" s="2"/>
      <c r="L180" s="2">
        <f t="shared" si="38"/>
        <v>-10362.42</v>
      </c>
      <c r="M180" s="2"/>
      <c r="N180" s="5">
        <f t="shared" si="39"/>
        <v>-1.1961671564881531</v>
      </c>
      <c r="O180" s="11"/>
      <c r="P180" s="2">
        <f>SUM(OSRRefP22_12x_0)</f>
        <v>58740.87</v>
      </c>
      <c r="Q180" s="2"/>
      <c r="R180" s="5">
        <f t="shared" si="40"/>
        <v>7.5205027165237198E-3</v>
      </c>
      <c r="S180" s="2"/>
      <c r="T180" s="2">
        <f>SUM(OSRRefT22_12x_0)</f>
        <v>53155.16</v>
      </c>
      <c r="U180" s="2"/>
      <c r="V180" s="5">
        <f t="shared" si="41"/>
        <v>9.7106454847121493E-3</v>
      </c>
      <c r="W180" s="2"/>
      <c r="X180" s="2">
        <f t="shared" si="42"/>
        <v>5585.7099999999991</v>
      </c>
      <c r="Y180" s="2"/>
      <c r="Z180" s="5">
        <f t="shared" si="43"/>
        <v>0.10508311892956392</v>
      </c>
    </row>
    <row r="181" spans="1:26" s="69" customFormat="1" ht="15" hidden="1" customHeight="1" outlineLevel="2" x14ac:dyDescent="0.3">
      <c r="A181" s="21"/>
      <c r="B181" s="9" t="str">
        <f>CONCATENATE("          ","6314"," - ","LIABILITY INSURANCE")</f>
        <v xml:space="preserve">          6314 - LIABILITY INSURANCE</v>
      </c>
      <c r="C181" s="9"/>
      <c r="D181" s="6">
        <v>-1699.4</v>
      </c>
      <c r="E181" s="3"/>
      <c r="F181" s="7">
        <f t="shared" si="36"/>
        <v>-5.8308099600280399E-3</v>
      </c>
      <c r="G181" s="3"/>
      <c r="H181" s="6">
        <v>8663.02</v>
      </c>
      <c r="I181" s="3"/>
      <c r="J181" s="7">
        <f t="shared" si="37"/>
        <v>3.2751920971532483E-2</v>
      </c>
      <c r="K181" s="3"/>
      <c r="L181" s="6">
        <f t="shared" si="38"/>
        <v>-10362.42</v>
      </c>
      <c r="M181" s="3"/>
      <c r="N181" s="7">
        <f t="shared" si="39"/>
        <v>-1.1961671564881531</v>
      </c>
      <c r="O181" s="9"/>
      <c r="P181" s="6">
        <v>58740.87</v>
      </c>
      <c r="Q181" s="3"/>
      <c r="R181" s="7">
        <f t="shared" si="40"/>
        <v>7.5205027165237198E-3</v>
      </c>
      <c r="S181" s="3"/>
      <c r="T181" s="6">
        <v>53155.16</v>
      </c>
      <c r="U181" s="3"/>
      <c r="V181" s="7">
        <f t="shared" si="41"/>
        <v>9.7106454847121493E-3</v>
      </c>
      <c r="W181" s="3"/>
      <c r="X181" s="6">
        <f t="shared" si="42"/>
        <v>5585.7099999999991</v>
      </c>
      <c r="Y181" s="3"/>
      <c r="Z181" s="7">
        <f t="shared" si="43"/>
        <v>0.10508311892956392</v>
      </c>
    </row>
    <row r="182" spans="1:26" s="68" customFormat="1" ht="15" customHeight="1" outlineLevel="1" collapsed="1" x14ac:dyDescent="0.3">
      <c r="A182" s="20"/>
      <c r="B182" s="11" t="str">
        <f>CONCATENATE("     ","Inventory Adjustment                              ")</f>
        <v xml:space="preserve">     Inventory Adjustment                              </v>
      </c>
      <c r="C182" s="11"/>
      <c r="D182" s="2">
        <f>SUM(OSRRefD22_13x_0)</f>
        <v>-60100</v>
      </c>
      <c r="E182" s="2"/>
      <c r="F182" s="5">
        <f t="shared" si="36"/>
        <v>-0.20620906119670776</v>
      </c>
      <c r="G182" s="2"/>
      <c r="H182" s="2">
        <f>SUM(OSRRefH22_13x_0)</f>
        <v>-28100</v>
      </c>
      <c r="I182" s="2"/>
      <c r="J182" s="5">
        <f t="shared" si="37"/>
        <v>-0.1062365063569128</v>
      </c>
      <c r="K182" s="2"/>
      <c r="L182" s="2">
        <f t="shared" si="38"/>
        <v>-32000</v>
      </c>
      <c r="M182" s="2"/>
      <c r="N182" s="5">
        <f t="shared" si="39"/>
        <v>1.1387900355871887</v>
      </c>
      <c r="O182" s="11"/>
      <c r="P182" s="2">
        <f>SUM(OSRRefP22_13x_0)</f>
        <v>0</v>
      </c>
      <c r="Q182" s="2"/>
      <c r="R182" s="5">
        <f t="shared" si="40"/>
        <v>0</v>
      </c>
      <c r="S182" s="2"/>
      <c r="T182" s="2">
        <f>SUM(OSRRefT22_13x_0)</f>
        <v>0</v>
      </c>
      <c r="U182" s="2"/>
      <c r="V182" s="5">
        <f t="shared" si="41"/>
        <v>0</v>
      </c>
      <c r="W182" s="2"/>
      <c r="X182" s="2">
        <f t="shared" si="42"/>
        <v>0</v>
      </c>
      <c r="Y182" s="2"/>
      <c r="Z182" s="5">
        <f t="shared" si="43"/>
        <v>0</v>
      </c>
    </row>
    <row r="183" spans="1:26" s="69" customFormat="1" ht="15" hidden="1" customHeight="1" outlineLevel="2" x14ac:dyDescent="0.3">
      <c r="A183" s="21"/>
      <c r="B183" s="9" t="str">
        <f>CONCATENATE("          ","6408"," - ","INVENTORY ADJUSTMENT")</f>
        <v xml:space="preserve">          6408 - INVENTORY ADJUSTMENT</v>
      </c>
      <c r="C183" s="9"/>
      <c r="D183" s="6">
        <v>-60100</v>
      </c>
      <c r="E183" s="3"/>
      <c r="F183" s="7">
        <f t="shared" si="36"/>
        <v>-0.20620906119670776</v>
      </c>
      <c r="G183" s="3"/>
      <c r="H183" s="6">
        <v>-28100</v>
      </c>
      <c r="I183" s="3"/>
      <c r="J183" s="7">
        <f t="shared" si="37"/>
        <v>-0.1062365063569128</v>
      </c>
      <c r="K183" s="3"/>
      <c r="L183" s="6">
        <f t="shared" si="38"/>
        <v>-32000</v>
      </c>
      <c r="M183" s="3"/>
      <c r="N183" s="7">
        <f t="shared" si="39"/>
        <v>1.1387900355871887</v>
      </c>
      <c r="O183" s="9"/>
      <c r="P183" s="6">
        <v>0</v>
      </c>
      <c r="Q183" s="3"/>
      <c r="R183" s="7">
        <f t="shared" si="40"/>
        <v>0</v>
      </c>
      <c r="S183" s="3"/>
      <c r="T183" s="6">
        <v>0</v>
      </c>
      <c r="U183" s="3"/>
      <c r="V183" s="7">
        <f t="shared" si="41"/>
        <v>0</v>
      </c>
      <c r="W183" s="3"/>
      <c r="X183" s="6">
        <f t="shared" si="42"/>
        <v>0</v>
      </c>
      <c r="Y183" s="3"/>
      <c r="Z183" s="7">
        <f t="shared" si="43"/>
        <v>0</v>
      </c>
    </row>
    <row r="184" spans="1:26" s="69" customFormat="1" ht="15" hidden="1" customHeight="1" outlineLevel="2" x14ac:dyDescent="0.3">
      <c r="A184" s="21"/>
      <c r="B184" s="9" t="str">
        <f>CONCATENATE("          ","7741"," - ","INV. SHRINKAGE-LOGO GIFTS")</f>
        <v xml:space="preserve">          7741 - INV. SHRINKAGE-LOGO GIFTS</v>
      </c>
      <c r="C184" s="9"/>
      <c r="D184" s="6"/>
      <c r="E184" s="3"/>
      <c r="F184" s="7">
        <f t="shared" si="36"/>
        <v>0</v>
      </c>
      <c r="G184" s="3"/>
      <c r="H184" s="6"/>
      <c r="I184" s="3"/>
      <c r="J184" s="7">
        <f t="shared" si="37"/>
        <v>0</v>
      </c>
      <c r="K184" s="3"/>
      <c r="L184" s="6">
        <f t="shared" si="38"/>
        <v>0</v>
      </c>
      <c r="M184" s="3"/>
      <c r="N184" s="7">
        <f t="shared" si="39"/>
        <v>0</v>
      </c>
      <c r="O184" s="9"/>
      <c r="P184" s="6"/>
      <c r="Q184" s="3"/>
      <c r="R184" s="7">
        <f t="shared" si="40"/>
        <v>0</v>
      </c>
      <c r="S184" s="3"/>
      <c r="T184" s="6">
        <v>0</v>
      </c>
      <c r="U184" s="3"/>
      <c r="V184" s="7">
        <f t="shared" si="41"/>
        <v>0</v>
      </c>
      <c r="W184" s="3"/>
      <c r="X184" s="6">
        <f t="shared" si="42"/>
        <v>0</v>
      </c>
      <c r="Y184" s="3"/>
      <c r="Z184" s="7">
        <f t="shared" si="43"/>
        <v>0</v>
      </c>
    </row>
    <row r="185" spans="1:26" s="68" customFormat="1" ht="15" customHeight="1" outlineLevel="1" collapsed="1" x14ac:dyDescent="0.3">
      <c r="A185" s="20"/>
      <c r="B185" s="11" t="str">
        <f>CONCATENATE("     ","Professional Services                             ")</f>
        <v xml:space="preserve">     Professional Services                             </v>
      </c>
      <c r="C185" s="11"/>
      <c r="D185" s="2">
        <f>SUM(OSRRefD22_14x_0)</f>
        <v>1551.33</v>
      </c>
      <c r="E185" s="2"/>
      <c r="F185" s="5">
        <f t="shared" si="36"/>
        <v>5.3227671032660337E-3</v>
      </c>
      <c r="G185" s="2"/>
      <c r="H185" s="2">
        <f>SUM(OSRRefH22_14x_0)</f>
        <v>1966.87</v>
      </c>
      <c r="I185" s="2"/>
      <c r="J185" s="5">
        <f t="shared" si="37"/>
        <v>7.436063959367298E-3</v>
      </c>
      <c r="K185" s="2"/>
      <c r="L185" s="2">
        <f t="shared" si="38"/>
        <v>-415.53999999999996</v>
      </c>
      <c r="M185" s="2"/>
      <c r="N185" s="5">
        <f t="shared" si="39"/>
        <v>-0.21126968228708556</v>
      </c>
      <c r="O185" s="11"/>
      <c r="P185" s="2">
        <f>SUM(OSRRefP22_14x_0)</f>
        <v>11177.86</v>
      </c>
      <c r="Q185" s="2"/>
      <c r="R185" s="5">
        <f t="shared" si="40"/>
        <v>1.4310841241357479E-3</v>
      </c>
      <c r="S185" s="2"/>
      <c r="T185" s="2">
        <f>SUM(OSRRefT22_14x_0)</f>
        <v>1966.87</v>
      </c>
      <c r="U185" s="2"/>
      <c r="V185" s="5">
        <f t="shared" si="41"/>
        <v>3.5931746390220224E-4</v>
      </c>
      <c r="W185" s="2"/>
      <c r="X185" s="2">
        <f t="shared" si="42"/>
        <v>9210.9900000000016</v>
      </c>
      <c r="Y185" s="2"/>
      <c r="Z185" s="5">
        <f t="shared" si="43"/>
        <v>4.6830700554688427</v>
      </c>
    </row>
    <row r="186" spans="1:26" s="69" customFormat="1" ht="15" hidden="1" customHeight="1" outlineLevel="2" x14ac:dyDescent="0.3">
      <c r="A186" s="21"/>
      <c r="B186" s="9" t="str">
        <f>CONCATENATE("          ","6336"," - ","PROFESSIONAL SERVICES")</f>
        <v xml:space="preserve">          6336 - PROFESSIONAL SERVICES</v>
      </c>
      <c r="C186" s="9"/>
      <c r="D186" s="6">
        <v>1551.33</v>
      </c>
      <c r="E186" s="3"/>
      <c r="F186" s="7">
        <f t="shared" si="36"/>
        <v>5.3227671032660337E-3</v>
      </c>
      <c r="G186" s="3"/>
      <c r="H186" s="6">
        <v>1966.87</v>
      </c>
      <c r="I186" s="3"/>
      <c r="J186" s="7">
        <f t="shared" si="37"/>
        <v>7.436063959367298E-3</v>
      </c>
      <c r="K186" s="3"/>
      <c r="L186" s="6">
        <f t="shared" si="38"/>
        <v>-415.53999999999996</v>
      </c>
      <c r="M186" s="3"/>
      <c r="N186" s="7">
        <f t="shared" si="39"/>
        <v>-0.21126968228708556</v>
      </c>
      <c r="O186" s="9"/>
      <c r="P186" s="6">
        <v>11177.86</v>
      </c>
      <c r="Q186" s="3"/>
      <c r="R186" s="7">
        <f t="shared" si="40"/>
        <v>1.4310841241357479E-3</v>
      </c>
      <c r="S186" s="3"/>
      <c r="T186" s="6">
        <v>1966.87</v>
      </c>
      <c r="U186" s="3"/>
      <c r="V186" s="7">
        <f t="shared" si="41"/>
        <v>3.5931746390220224E-4</v>
      </c>
      <c r="W186" s="3"/>
      <c r="X186" s="6">
        <f t="shared" si="42"/>
        <v>9210.9900000000016</v>
      </c>
      <c r="Y186" s="3"/>
      <c r="Z186" s="7">
        <f t="shared" si="43"/>
        <v>4.6830700554688427</v>
      </c>
    </row>
    <row r="187" spans="1:26" s="68" customFormat="1" ht="15" customHeight="1" outlineLevel="1" collapsed="1" x14ac:dyDescent="0.3">
      <c r="A187" s="20"/>
      <c r="B187" s="11" t="str">
        <f>CONCATENATE("     ","Rent                                              ")</f>
        <v xml:space="preserve">     Rent                                              </v>
      </c>
      <c r="C187" s="11"/>
      <c r="D187" s="2">
        <f>SUM(OSRRefD22_15x_0)</f>
        <v>6900</v>
      </c>
      <c r="E187" s="2"/>
      <c r="F187" s="5">
        <f t="shared" si="36"/>
        <v>2.3674584396959793E-2</v>
      </c>
      <c r="G187" s="2"/>
      <c r="H187" s="2">
        <f>SUM(OSRRefH22_15x_0)</f>
        <v>6100</v>
      </c>
      <c r="I187" s="2"/>
      <c r="J187" s="5">
        <f t="shared" si="37"/>
        <v>2.306201739420527E-2</v>
      </c>
      <c r="K187" s="2"/>
      <c r="L187" s="2">
        <f t="shared" si="38"/>
        <v>800</v>
      </c>
      <c r="M187" s="2"/>
      <c r="N187" s="5">
        <f t="shared" si="39"/>
        <v>0.13114754098360656</v>
      </c>
      <c r="O187" s="11"/>
      <c r="P187" s="2">
        <f>SUM(OSRRefP22_15x_0)</f>
        <v>74000</v>
      </c>
      <c r="Q187" s="2"/>
      <c r="R187" s="5">
        <f t="shared" si="40"/>
        <v>9.4741055252119226E-3</v>
      </c>
      <c r="S187" s="2"/>
      <c r="T187" s="2">
        <f>SUM(OSRRefT22_15x_0)</f>
        <v>73200</v>
      </c>
      <c r="U187" s="2"/>
      <c r="V187" s="5">
        <f t="shared" si="41"/>
        <v>1.3372535224819742E-2</v>
      </c>
      <c r="W187" s="2"/>
      <c r="X187" s="2">
        <f t="shared" si="42"/>
        <v>800</v>
      </c>
      <c r="Y187" s="2"/>
      <c r="Z187" s="5">
        <f t="shared" si="43"/>
        <v>1.092896174863388E-2</v>
      </c>
    </row>
    <row r="188" spans="1:26" s="69" customFormat="1" ht="15" hidden="1" customHeight="1" outlineLevel="2" x14ac:dyDescent="0.3">
      <c r="A188" s="21"/>
      <c r="B188" s="9" t="str">
        <f>CONCATENATE("          ","6273"," - ","RENT")</f>
        <v xml:space="preserve">          6273 - RENT</v>
      </c>
      <c r="C188" s="9"/>
      <c r="D188" s="6">
        <v>6900</v>
      </c>
      <c r="E188" s="3"/>
      <c r="F188" s="7">
        <f t="shared" si="36"/>
        <v>2.3674584396959793E-2</v>
      </c>
      <c r="G188" s="3"/>
      <c r="H188" s="6">
        <v>6100</v>
      </c>
      <c r="I188" s="3"/>
      <c r="J188" s="7">
        <f t="shared" si="37"/>
        <v>2.306201739420527E-2</v>
      </c>
      <c r="K188" s="3"/>
      <c r="L188" s="6">
        <f t="shared" si="38"/>
        <v>800</v>
      </c>
      <c r="M188" s="3"/>
      <c r="N188" s="7">
        <f t="shared" si="39"/>
        <v>0.13114754098360656</v>
      </c>
      <c r="O188" s="9"/>
      <c r="P188" s="6">
        <v>74000</v>
      </c>
      <c r="Q188" s="3"/>
      <c r="R188" s="7">
        <f t="shared" si="40"/>
        <v>9.4741055252119226E-3</v>
      </c>
      <c r="S188" s="3"/>
      <c r="T188" s="6">
        <v>73200</v>
      </c>
      <c r="U188" s="3"/>
      <c r="V188" s="7">
        <f t="shared" si="41"/>
        <v>1.3372535224819742E-2</v>
      </c>
      <c r="W188" s="3"/>
      <c r="X188" s="6">
        <f t="shared" si="42"/>
        <v>800</v>
      </c>
      <c r="Y188" s="3"/>
      <c r="Z188" s="7">
        <f t="shared" si="43"/>
        <v>1.092896174863388E-2</v>
      </c>
    </row>
    <row r="189" spans="1:26" s="68" customFormat="1" ht="15" customHeight="1" outlineLevel="1" collapsed="1" x14ac:dyDescent="0.3">
      <c r="A189" s="20"/>
      <c r="B189" s="11" t="str">
        <f>CONCATENATE("     ","Repair and Maintenance                            ")</f>
        <v xml:space="preserve">     Repair and Maintenance                            </v>
      </c>
      <c r="C189" s="11"/>
      <c r="D189" s="2">
        <f>SUM(OSRRefD22_16x_0)</f>
        <v>29969.57</v>
      </c>
      <c r="E189" s="2"/>
      <c r="F189" s="5">
        <f t="shared" si="36"/>
        <v>0.10282856729066583</v>
      </c>
      <c r="G189" s="2"/>
      <c r="H189" s="2">
        <f>SUM(OSRRefH22_16x_0)</f>
        <v>17771.3</v>
      </c>
      <c r="I189" s="2"/>
      <c r="J189" s="5">
        <f t="shared" si="37"/>
        <v>6.7187217986498377E-2</v>
      </c>
      <c r="K189" s="2"/>
      <c r="L189" s="2">
        <f t="shared" si="38"/>
        <v>12198.27</v>
      </c>
      <c r="M189" s="2"/>
      <c r="N189" s="5">
        <f t="shared" si="39"/>
        <v>0.68640279551861716</v>
      </c>
      <c r="O189" s="11"/>
      <c r="P189" s="2">
        <f>SUM(OSRRefP22_16x_0)</f>
        <v>172539.96000000002</v>
      </c>
      <c r="Q189" s="2"/>
      <c r="R189" s="5">
        <f t="shared" si="40"/>
        <v>2.2090024166970867E-2</v>
      </c>
      <c r="S189" s="2"/>
      <c r="T189" s="2">
        <f>SUM(OSRRefT22_16x_0)</f>
        <v>159926.21000000002</v>
      </c>
      <c r="U189" s="2"/>
      <c r="V189" s="5">
        <f t="shared" si="41"/>
        <v>2.9216104871542616E-2</v>
      </c>
      <c r="W189" s="2"/>
      <c r="X189" s="2">
        <f t="shared" si="42"/>
        <v>12613.75</v>
      </c>
      <c r="Y189" s="2"/>
      <c r="Z189" s="5">
        <f t="shared" si="43"/>
        <v>7.8872312424586297E-2</v>
      </c>
    </row>
    <row r="190" spans="1:26" s="69" customFormat="1" ht="15" hidden="1" customHeight="1" outlineLevel="2" x14ac:dyDescent="0.3">
      <c r="A190" s="21"/>
      <c r="B190" s="9" t="str">
        <f>CONCATENATE("          ","6371"," - ","COMPUTER SOFTWARE MAINTENANCE")</f>
        <v xml:space="preserve">          6371 - COMPUTER SOFTWARE MAINTENANCE</v>
      </c>
      <c r="C190" s="9"/>
      <c r="D190" s="6"/>
      <c r="E190" s="3"/>
      <c r="F190" s="7">
        <f t="shared" si="36"/>
        <v>0</v>
      </c>
      <c r="G190" s="3"/>
      <c r="H190" s="6"/>
      <c r="I190" s="3"/>
      <c r="J190" s="7">
        <f t="shared" si="37"/>
        <v>0</v>
      </c>
      <c r="K190" s="3"/>
      <c r="L190" s="6">
        <f t="shared" si="38"/>
        <v>0</v>
      </c>
      <c r="M190" s="3"/>
      <c r="N190" s="7">
        <f t="shared" si="39"/>
        <v>0</v>
      </c>
      <c r="O190" s="9"/>
      <c r="P190" s="6">
        <v>62511</v>
      </c>
      <c r="Q190" s="3"/>
      <c r="R190" s="7">
        <f t="shared" si="40"/>
        <v>8.0031866281962492E-3</v>
      </c>
      <c r="S190" s="3"/>
      <c r="T190" s="6">
        <v>59767.72</v>
      </c>
      <c r="U190" s="3"/>
      <c r="V190" s="7">
        <f t="shared" si="41"/>
        <v>1.0918660396272723E-2</v>
      </c>
      <c r="W190" s="3"/>
      <c r="X190" s="6">
        <f t="shared" si="42"/>
        <v>2743.2799999999988</v>
      </c>
      <c r="Y190" s="3"/>
      <c r="Z190" s="7">
        <f t="shared" si="43"/>
        <v>4.5899023753959475E-2</v>
      </c>
    </row>
    <row r="191" spans="1:26" s="69" customFormat="1" ht="15" hidden="1" customHeight="1" outlineLevel="2" x14ac:dyDescent="0.3">
      <c r="A191" s="21"/>
      <c r="B191" s="9" t="str">
        <f>CONCATENATE("          ","6372"," - ","COMPUTER HARDWARE MAINTENANCE")</f>
        <v xml:space="preserve">          6372 - COMPUTER HARDWARE MAINTENANCE</v>
      </c>
      <c r="C191" s="9"/>
      <c r="D191" s="6"/>
      <c r="E191" s="3"/>
      <c r="F191" s="7">
        <f t="shared" si="36"/>
        <v>0</v>
      </c>
      <c r="G191" s="3"/>
      <c r="H191" s="6"/>
      <c r="I191" s="3"/>
      <c r="J191" s="7">
        <f t="shared" si="37"/>
        <v>0</v>
      </c>
      <c r="K191" s="3"/>
      <c r="L191" s="6">
        <f t="shared" si="38"/>
        <v>0</v>
      </c>
      <c r="M191" s="3"/>
      <c r="N191" s="7">
        <f t="shared" si="39"/>
        <v>0</v>
      </c>
      <c r="O191" s="9"/>
      <c r="P191" s="6"/>
      <c r="Q191" s="3"/>
      <c r="R191" s="7">
        <f t="shared" si="40"/>
        <v>0</v>
      </c>
      <c r="S191" s="3"/>
      <c r="T191" s="6">
        <v>-1.1499999999999999</v>
      </c>
      <c r="U191" s="3"/>
      <c r="V191" s="7">
        <f t="shared" si="41"/>
        <v>-2.1008764355932653E-7</v>
      </c>
      <c r="W191" s="3"/>
      <c r="X191" s="6">
        <f t="shared" si="42"/>
        <v>1.1499999999999999</v>
      </c>
      <c r="Y191" s="3"/>
      <c r="Z191" s="7">
        <f t="shared" si="43"/>
        <v>-1</v>
      </c>
    </row>
    <row r="192" spans="1:26" s="69" customFormat="1" ht="15" hidden="1" customHeight="1" outlineLevel="2" x14ac:dyDescent="0.3">
      <c r="A192" s="21"/>
      <c r="B192" s="9" t="str">
        <f>CONCATENATE("          ","6373"," - ","MAINTENANCE CONTRACTS")</f>
        <v xml:space="preserve">          6373 - MAINTENANCE CONTRACTS</v>
      </c>
      <c r="C192" s="9"/>
      <c r="D192" s="6">
        <v>4242.3999999999996</v>
      </c>
      <c r="E192" s="3"/>
      <c r="F192" s="7">
        <f t="shared" si="36"/>
        <v>1.4556095195023509E-2</v>
      </c>
      <c r="G192" s="3"/>
      <c r="H192" s="6">
        <v>2085.3200000000002</v>
      </c>
      <c r="I192" s="3"/>
      <c r="J192" s="7">
        <f t="shared" si="37"/>
        <v>7.8838829692596951E-3</v>
      </c>
      <c r="K192" s="3"/>
      <c r="L192" s="6">
        <f t="shared" si="38"/>
        <v>2157.0799999999995</v>
      </c>
      <c r="M192" s="3"/>
      <c r="N192" s="7">
        <f t="shared" si="39"/>
        <v>1.0344119847313598</v>
      </c>
      <c r="O192" s="9"/>
      <c r="P192" s="6">
        <v>28262.89</v>
      </c>
      <c r="Q192" s="3"/>
      <c r="R192" s="7">
        <f t="shared" si="40"/>
        <v>3.6184540852359022E-3</v>
      </c>
      <c r="S192" s="3"/>
      <c r="T192" s="6">
        <v>51391.34</v>
      </c>
      <c r="U192" s="3"/>
      <c r="V192" s="7">
        <f t="shared" si="41"/>
        <v>9.3884221912662255E-3</v>
      </c>
      <c r="W192" s="3"/>
      <c r="X192" s="6">
        <f t="shared" si="42"/>
        <v>-23128.449999999997</v>
      </c>
      <c r="Y192" s="3"/>
      <c r="Z192" s="7">
        <f t="shared" si="43"/>
        <v>-0.45004566917305522</v>
      </c>
    </row>
    <row r="193" spans="1:26" s="69" customFormat="1" ht="15" hidden="1" customHeight="1" outlineLevel="2" x14ac:dyDescent="0.3">
      <c r="A193" s="21"/>
      <c r="B193" s="9" t="str">
        <f>CONCATENATE("          ","6375"," - ","OUTSIDE REPAIRS &amp; MAINTENANCE")</f>
        <v xml:space="preserve">          6375 - OUTSIDE REPAIRS &amp; MAINTENANCE</v>
      </c>
      <c r="C193" s="9"/>
      <c r="D193" s="6">
        <v>25727.17</v>
      </c>
      <c r="E193" s="3"/>
      <c r="F193" s="7">
        <f t="shared" si="36"/>
        <v>8.8272472095642318E-2</v>
      </c>
      <c r="G193" s="3"/>
      <c r="H193" s="6">
        <v>15685.98</v>
      </c>
      <c r="I193" s="3"/>
      <c r="J193" s="7">
        <f t="shared" si="37"/>
        <v>5.9303335017238681E-2</v>
      </c>
      <c r="K193" s="3"/>
      <c r="L193" s="6">
        <f t="shared" si="38"/>
        <v>10041.189999999999</v>
      </c>
      <c r="M193" s="3"/>
      <c r="N193" s="7">
        <f t="shared" si="39"/>
        <v>0.64013788108871739</v>
      </c>
      <c r="O193" s="9"/>
      <c r="P193" s="6">
        <v>81766.070000000007</v>
      </c>
      <c r="Q193" s="3"/>
      <c r="R193" s="7">
        <f t="shared" si="40"/>
        <v>1.0468383453538715E-2</v>
      </c>
      <c r="S193" s="3"/>
      <c r="T193" s="6">
        <v>48768.3</v>
      </c>
      <c r="U193" s="3"/>
      <c r="V193" s="7">
        <f t="shared" si="41"/>
        <v>8.9092323716472212E-3</v>
      </c>
      <c r="W193" s="3"/>
      <c r="X193" s="6">
        <f t="shared" si="42"/>
        <v>32997.770000000004</v>
      </c>
      <c r="Y193" s="3"/>
      <c r="Z193" s="7">
        <f t="shared" si="43"/>
        <v>0.67662333934133445</v>
      </c>
    </row>
    <row r="194" spans="1:26" s="68" customFormat="1" ht="15" customHeight="1" outlineLevel="1" collapsed="1" x14ac:dyDescent="0.3">
      <c r="A194" s="20"/>
      <c r="B194" s="11" t="str">
        <f>CONCATENATE("     ","Royalty &amp; Commissions                             ")</f>
        <v xml:space="preserve">     Royalty &amp; Commissions                             </v>
      </c>
      <c r="C194" s="11"/>
      <c r="D194" s="2">
        <f>SUM(OSRRefD22_17x_0)</f>
        <v>503.53</v>
      </c>
      <c r="E194" s="2"/>
      <c r="F194" s="5">
        <f t="shared" si="36"/>
        <v>1.7276613741161106E-3</v>
      </c>
      <c r="G194" s="2"/>
      <c r="H194" s="2">
        <f>SUM(OSRRefH22_17x_0)</f>
        <v>2549.25</v>
      </c>
      <c r="I194" s="2"/>
      <c r="J194" s="5">
        <f t="shared" si="37"/>
        <v>9.6378439085537341E-3</v>
      </c>
      <c r="K194" s="2"/>
      <c r="L194" s="2">
        <f t="shared" si="38"/>
        <v>-2045.72</v>
      </c>
      <c r="M194" s="2"/>
      <c r="N194" s="5">
        <f t="shared" si="39"/>
        <v>-0.80247916053741297</v>
      </c>
      <c r="O194" s="11"/>
      <c r="P194" s="2">
        <f>SUM(OSRRefP22_17x_0)</f>
        <v>85971</v>
      </c>
      <c r="Q194" s="2"/>
      <c r="R194" s="5">
        <f t="shared" si="40"/>
        <v>1.1006734136594516E-2</v>
      </c>
      <c r="S194" s="2"/>
      <c r="T194" s="2">
        <f>SUM(OSRRefT22_17x_0)</f>
        <v>51336.18</v>
      </c>
      <c r="U194" s="2"/>
      <c r="V194" s="5">
        <f t="shared" si="41"/>
        <v>9.378345291771676E-3</v>
      </c>
      <c r="W194" s="2"/>
      <c r="X194" s="2">
        <f t="shared" si="42"/>
        <v>34634.82</v>
      </c>
      <c r="Y194" s="2"/>
      <c r="Z194" s="5">
        <f t="shared" si="43"/>
        <v>0.67466687236954526</v>
      </c>
    </row>
    <row r="195" spans="1:26" s="69" customFormat="1" ht="15" hidden="1" customHeight="1" outlineLevel="2" x14ac:dyDescent="0.3">
      <c r="A195" s="21"/>
      <c r="B195" s="9" t="str">
        <f>CONCATENATE("          ","6253"," - ","ROYALTY DUE ATHLETICS-LRG")</f>
        <v xml:space="preserve">          6253 - ROYALTY DUE ATHLETICS-LRG</v>
      </c>
      <c r="C195" s="9"/>
      <c r="D195" s="6"/>
      <c r="E195" s="3"/>
      <c r="F195" s="7">
        <f t="shared" si="36"/>
        <v>0</v>
      </c>
      <c r="G195" s="3"/>
      <c r="H195" s="6"/>
      <c r="I195" s="3"/>
      <c r="J195" s="7">
        <f t="shared" si="37"/>
        <v>0</v>
      </c>
      <c r="K195" s="3"/>
      <c r="L195" s="6">
        <f t="shared" si="38"/>
        <v>0</v>
      </c>
      <c r="M195" s="3"/>
      <c r="N195" s="7">
        <f t="shared" si="39"/>
        <v>0</v>
      </c>
      <c r="O195" s="9"/>
      <c r="P195" s="6">
        <v>51456.52</v>
      </c>
      <c r="Q195" s="3"/>
      <c r="R195" s="7">
        <f t="shared" si="40"/>
        <v>6.5878986545969964E-3</v>
      </c>
      <c r="S195" s="3"/>
      <c r="T195" s="6">
        <v>35159.06</v>
      </c>
      <c r="U195" s="3"/>
      <c r="V195" s="7">
        <f t="shared" si="41"/>
        <v>6.4230296218791083E-3</v>
      </c>
      <c r="W195" s="3"/>
      <c r="X195" s="6">
        <f t="shared" si="42"/>
        <v>16297.46</v>
      </c>
      <c r="Y195" s="3"/>
      <c r="Z195" s="7">
        <f t="shared" si="43"/>
        <v>0.46353514570639831</v>
      </c>
    </row>
    <row r="196" spans="1:26" s="69" customFormat="1" ht="15" hidden="1" customHeight="1" outlineLevel="2" x14ac:dyDescent="0.3">
      <c r="A196" s="21"/>
      <c r="B196" s="9" t="str">
        <f>CONCATENATE("          ","6254"," - ","ROYALTY &amp; COMMISSIONS")</f>
        <v xml:space="preserve">          6254 - ROYALTY &amp; COMMISSIONS</v>
      </c>
      <c r="C196" s="9"/>
      <c r="D196" s="6">
        <v>108</v>
      </c>
      <c r="E196" s="3"/>
      <c r="F196" s="7">
        <f t="shared" si="36"/>
        <v>3.7055871230024022E-4</v>
      </c>
      <c r="G196" s="3"/>
      <c r="H196" s="6"/>
      <c r="I196" s="3"/>
      <c r="J196" s="7">
        <f t="shared" si="37"/>
        <v>0</v>
      </c>
      <c r="K196" s="3"/>
      <c r="L196" s="6">
        <f t="shared" si="38"/>
        <v>108</v>
      </c>
      <c r="M196" s="3"/>
      <c r="N196" s="7">
        <f t="shared" si="39"/>
        <v>0</v>
      </c>
      <c r="O196" s="9"/>
      <c r="P196" s="6">
        <v>20807.490000000002</v>
      </c>
      <c r="Q196" s="3"/>
      <c r="R196" s="7">
        <f t="shared" si="40"/>
        <v>2.663950756416106E-3</v>
      </c>
      <c r="S196" s="3"/>
      <c r="T196" s="6"/>
      <c r="U196" s="3"/>
      <c r="V196" s="7">
        <f t="shared" si="41"/>
        <v>0</v>
      </c>
      <c r="W196" s="3"/>
      <c r="X196" s="6">
        <f t="shared" si="42"/>
        <v>20807.490000000002</v>
      </c>
      <c r="Y196" s="3"/>
      <c r="Z196" s="7">
        <f t="shared" si="43"/>
        <v>0</v>
      </c>
    </row>
    <row r="197" spans="1:26" s="69" customFormat="1" ht="15" hidden="1" customHeight="1" outlineLevel="2" x14ac:dyDescent="0.3">
      <c r="A197" s="21"/>
      <c r="B197" s="9" t="str">
        <f>CONCATENATE("          ","6259"," - ","ROYALTY &amp; COMMISSIONS")</f>
        <v xml:space="preserve">          6259 - ROYALTY &amp; COMMISSIONS</v>
      </c>
      <c r="C197" s="9"/>
      <c r="D197" s="6">
        <v>395.53</v>
      </c>
      <c r="E197" s="3"/>
      <c r="F197" s="7">
        <f t="shared" si="36"/>
        <v>1.3571026618158703E-3</v>
      </c>
      <c r="G197" s="3"/>
      <c r="H197" s="6">
        <v>2549.25</v>
      </c>
      <c r="I197" s="3"/>
      <c r="J197" s="7">
        <f t="shared" si="37"/>
        <v>9.6378439085537341E-3</v>
      </c>
      <c r="K197" s="3"/>
      <c r="L197" s="6">
        <f t="shared" si="38"/>
        <v>-2153.7200000000003</v>
      </c>
      <c r="M197" s="3"/>
      <c r="N197" s="7">
        <f t="shared" si="39"/>
        <v>-0.84484456212611558</v>
      </c>
      <c r="O197" s="9"/>
      <c r="P197" s="6">
        <v>13706.99</v>
      </c>
      <c r="Q197" s="3"/>
      <c r="R197" s="7">
        <f t="shared" si="40"/>
        <v>1.7548847255814131E-3</v>
      </c>
      <c r="S197" s="3"/>
      <c r="T197" s="6">
        <v>16177.12</v>
      </c>
      <c r="U197" s="3"/>
      <c r="V197" s="7">
        <f t="shared" si="41"/>
        <v>2.9553156698925677E-3</v>
      </c>
      <c r="W197" s="3"/>
      <c r="X197" s="6">
        <f t="shared" si="42"/>
        <v>-2470.130000000001</v>
      </c>
      <c r="Y197" s="3"/>
      <c r="Z197" s="7">
        <f t="shared" si="43"/>
        <v>-0.15269281553206016</v>
      </c>
    </row>
    <row r="198" spans="1:26" s="68" customFormat="1" ht="15" customHeight="1" outlineLevel="1" collapsed="1" x14ac:dyDescent="0.3">
      <c r="A198" s="20"/>
      <c r="B198" s="11" t="str">
        <f>CONCATENATE("     ","Services                                          ")</f>
        <v xml:space="preserve">     Services                                          </v>
      </c>
      <c r="C198" s="11"/>
      <c r="D198" s="2">
        <f>SUM(OSRRefD22_18x_0)</f>
        <v>8646.16</v>
      </c>
      <c r="E198" s="2"/>
      <c r="F198" s="5">
        <f t="shared" si="36"/>
        <v>2.9665832555017084E-2</v>
      </c>
      <c r="G198" s="2"/>
      <c r="H198" s="2">
        <f>SUM(OSRRefH22_18x_0)</f>
        <v>4588.32</v>
      </c>
      <c r="I198" s="2"/>
      <c r="J198" s="5">
        <f t="shared" si="37"/>
        <v>1.7346871418062283E-2</v>
      </c>
      <c r="K198" s="2"/>
      <c r="L198" s="2">
        <f t="shared" si="38"/>
        <v>4057.84</v>
      </c>
      <c r="M198" s="2"/>
      <c r="N198" s="5">
        <f t="shared" si="39"/>
        <v>0.88438469853889889</v>
      </c>
      <c r="O198" s="11"/>
      <c r="P198" s="2">
        <f>SUM(OSRRefP22_18x_0)</f>
        <v>70241.070000000007</v>
      </c>
      <c r="Q198" s="2"/>
      <c r="R198" s="5">
        <f t="shared" si="40"/>
        <v>8.9928555322134791E-3</v>
      </c>
      <c r="S198" s="2"/>
      <c r="T198" s="2">
        <f>SUM(OSRRefT22_18x_0)</f>
        <v>49029.62</v>
      </c>
      <c r="U198" s="2"/>
      <c r="V198" s="5">
        <f t="shared" si="41"/>
        <v>8.9569715916601993E-3</v>
      </c>
      <c r="W198" s="2"/>
      <c r="X198" s="2">
        <f t="shared" si="42"/>
        <v>21211.450000000004</v>
      </c>
      <c r="Y198" s="2"/>
      <c r="Z198" s="5">
        <f t="shared" si="43"/>
        <v>0.43262521716464464</v>
      </c>
    </row>
    <row r="199" spans="1:26" s="69" customFormat="1" ht="15" hidden="1" customHeight="1" outlineLevel="2" x14ac:dyDescent="0.3">
      <c r="A199" s="21"/>
      <c r="B199" s="9" t="str">
        <f>CONCATENATE("          ","6282"," - ","JANITORIAL/EXTERMINATOR EXPENS")</f>
        <v xml:space="preserve">          6282 - JANITORIAL/EXTERMINATOR EXPENS</v>
      </c>
      <c r="C199" s="9"/>
      <c r="D199" s="6">
        <v>350.3</v>
      </c>
      <c r="E199" s="3"/>
      <c r="F199" s="7">
        <f t="shared" si="36"/>
        <v>1.201914045544205E-3</v>
      </c>
      <c r="G199" s="3"/>
      <c r="H199" s="6">
        <v>582</v>
      </c>
      <c r="I199" s="3"/>
      <c r="J199" s="7">
        <f t="shared" si="37"/>
        <v>2.2003432989225356E-3</v>
      </c>
      <c r="K199" s="3"/>
      <c r="L199" s="6">
        <f t="shared" si="38"/>
        <v>-231.7</v>
      </c>
      <c r="M199" s="3"/>
      <c r="N199" s="7">
        <f t="shared" si="39"/>
        <v>-0.39810996563573881</v>
      </c>
      <c r="O199" s="9"/>
      <c r="P199" s="6">
        <v>3549.63</v>
      </c>
      <c r="Q199" s="3"/>
      <c r="R199" s="7">
        <f t="shared" si="40"/>
        <v>4.5445363777645942E-4</v>
      </c>
      <c r="S199" s="3"/>
      <c r="T199" s="6">
        <v>8279.1200000000008</v>
      </c>
      <c r="U199" s="3"/>
      <c r="V199" s="7">
        <f t="shared" si="41"/>
        <v>1.5124702709086015E-3</v>
      </c>
      <c r="W199" s="3"/>
      <c r="X199" s="6">
        <f t="shared" si="42"/>
        <v>-4729.4900000000007</v>
      </c>
      <c r="Y199" s="3"/>
      <c r="Z199" s="7">
        <f t="shared" si="43"/>
        <v>-0.57125515755297662</v>
      </c>
    </row>
    <row r="200" spans="1:26" s="69" customFormat="1" ht="15" hidden="1" customHeight="1" outlineLevel="2" x14ac:dyDescent="0.3">
      <c r="A200" s="21"/>
      <c r="B200" s="9" t="str">
        <f>CONCATENATE("          ","6283"," - ","PLANT SERVICE")</f>
        <v xml:space="preserve">          6283 - PLANT SERVICE</v>
      </c>
      <c r="C200" s="9"/>
      <c r="D200" s="6"/>
      <c r="E200" s="3"/>
      <c r="F200" s="7">
        <f t="shared" ref="F200:F224" si="44">IF(D$12=0,0,D200/D$12)</f>
        <v>0</v>
      </c>
      <c r="G200" s="3"/>
      <c r="H200" s="6"/>
      <c r="I200" s="3"/>
      <c r="J200" s="7">
        <f t="shared" ref="J200:J224" si="45">IF(H$12=0,0,H200/H$12)</f>
        <v>0</v>
      </c>
      <c r="K200" s="3"/>
      <c r="L200" s="6">
        <f t="shared" ref="L200:L224" si="46">+D200-H200</f>
        <v>0</v>
      </c>
      <c r="M200" s="3"/>
      <c r="N200" s="7">
        <f t="shared" ref="N200:N224" si="47">IF(H200=0,0,L200/H200)</f>
        <v>0</v>
      </c>
      <c r="O200" s="9"/>
      <c r="P200" s="6"/>
      <c r="Q200" s="3"/>
      <c r="R200" s="7">
        <f t="shared" ref="R200:R224" si="48">IF(P$12=0,0,P200/P$12)</f>
        <v>0</v>
      </c>
      <c r="S200" s="3"/>
      <c r="T200" s="6">
        <v>171.31</v>
      </c>
      <c r="U200" s="3"/>
      <c r="V200" s="7">
        <f t="shared" ref="V200:V224" si="49">IF(T$12=0,0,T200/T$12)</f>
        <v>3.129575149404194E-5</v>
      </c>
      <c r="W200" s="3"/>
      <c r="X200" s="6">
        <f t="shared" ref="X200:X224" si="50">+P200-T200</f>
        <v>-171.31</v>
      </c>
      <c r="Y200" s="3"/>
      <c r="Z200" s="7">
        <f t="shared" ref="Z200:Z224" si="51">IF(T200=0,0,X200/T200)</f>
        <v>-1</v>
      </c>
    </row>
    <row r="201" spans="1:26" s="69" customFormat="1" ht="15" hidden="1" customHeight="1" outlineLevel="2" x14ac:dyDescent="0.3">
      <c r="A201" s="21"/>
      <c r="B201" s="9" t="str">
        <f>CONCATENATE("          ","6284"," - ","TRASH REMOVAL EXPENSE")</f>
        <v xml:space="preserve">          6284 - TRASH REMOVAL EXPENSE</v>
      </c>
      <c r="C201" s="9"/>
      <c r="D201" s="6">
        <v>149.69999999999999</v>
      </c>
      <c r="E201" s="3"/>
      <c r="F201" s="7">
        <f t="shared" si="44"/>
        <v>5.1363554843838848E-4</v>
      </c>
      <c r="G201" s="3"/>
      <c r="H201" s="6">
        <v>142.57</v>
      </c>
      <c r="I201" s="3"/>
      <c r="J201" s="7">
        <f t="shared" si="45"/>
        <v>5.3900849506423689E-4</v>
      </c>
      <c r="K201" s="3"/>
      <c r="L201" s="6">
        <f t="shared" si="46"/>
        <v>7.1299999999999955</v>
      </c>
      <c r="M201" s="3"/>
      <c r="N201" s="7">
        <f t="shared" si="47"/>
        <v>5.0010521147506461E-2</v>
      </c>
      <c r="O201" s="9"/>
      <c r="P201" s="6">
        <v>1639.57</v>
      </c>
      <c r="Q201" s="3"/>
      <c r="R201" s="7">
        <f t="shared" si="48"/>
        <v>2.0991161075637447E-4</v>
      </c>
      <c r="S201" s="3"/>
      <c r="T201" s="6">
        <v>1725.86</v>
      </c>
      <c r="U201" s="3"/>
      <c r="V201" s="7">
        <f t="shared" si="49"/>
        <v>3.1528857435939066E-4</v>
      </c>
      <c r="W201" s="3"/>
      <c r="X201" s="6">
        <f t="shared" si="50"/>
        <v>-86.289999999999964</v>
      </c>
      <c r="Y201" s="3"/>
      <c r="Z201" s="7">
        <f t="shared" si="51"/>
        <v>-4.9998261736177885E-2</v>
      </c>
    </row>
    <row r="202" spans="1:26" s="69" customFormat="1" ht="15" hidden="1" customHeight="1" outlineLevel="2" x14ac:dyDescent="0.3">
      <c r="A202" s="21"/>
      <c r="B202" s="9" t="str">
        <f>CONCATENATE("          ","6285"," - ","JANITORIAL SERVICES")</f>
        <v xml:space="preserve">          6285 - JANITORIAL SERVICES</v>
      </c>
      <c r="C202" s="9"/>
      <c r="D202" s="6">
        <v>8146.16</v>
      </c>
      <c r="E202" s="3"/>
      <c r="F202" s="7">
        <f t="shared" si="44"/>
        <v>2.7950282961034488E-2</v>
      </c>
      <c r="G202" s="3"/>
      <c r="H202" s="6">
        <v>3863.75</v>
      </c>
      <c r="I202" s="3"/>
      <c r="J202" s="7">
        <f t="shared" si="45"/>
        <v>1.4607519624075509E-2</v>
      </c>
      <c r="K202" s="3"/>
      <c r="L202" s="6">
        <f t="shared" si="46"/>
        <v>4282.41</v>
      </c>
      <c r="M202" s="3"/>
      <c r="N202" s="7">
        <f t="shared" si="47"/>
        <v>1.1083558718861211</v>
      </c>
      <c r="O202" s="9"/>
      <c r="P202" s="6">
        <v>65051.87</v>
      </c>
      <c r="Q202" s="3"/>
      <c r="R202" s="7">
        <f t="shared" si="48"/>
        <v>8.3284902836806441E-3</v>
      </c>
      <c r="S202" s="3"/>
      <c r="T202" s="6">
        <v>38853.33</v>
      </c>
      <c r="U202" s="3"/>
      <c r="V202" s="7">
        <f t="shared" si="49"/>
        <v>7.0979169948981648E-3</v>
      </c>
      <c r="W202" s="3"/>
      <c r="X202" s="6">
        <f t="shared" si="50"/>
        <v>26198.54</v>
      </c>
      <c r="Y202" s="3"/>
      <c r="Z202" s="7">
        <f t="shared" si="51"/>
        <v>0.6742932973827469</v>
      </c>
    </row>
    <row r="203" spans="1:26" s="68" customFormat="1" ht="15" customHeight="1" outlineLevel="1" collapsed="1" x14ac:dyDescent="0.3">
      <c r="A203" s="20"/>
      <c r="B203" s="11" t="str">
        <f>CONCATENATE("     ","Subscriptions &amp; Dues                              ")</f>
        <v xml:space="preserve">     Subscriptions &amp; Dues                              </v>
      </c>
      <c r="C203" s="11"/>
      <c r="D203" s="2">
        <f>SUM(OSRRefD22_19x_0)</f>
        <v>272.35000000000002</v>
      </c>
      <c r="E203" s="2"/>
      <c r="F203" s="5">
        <f t="shared" si="44"/>
        <v>9.3445986384231886E-4</v>
      </c>
      <c r="G203" s="2"/>
      <c r="H203" s="2">
        <f>SUM(OSRRefH22_19x_0)</f>
        <v>694</v>
      </c>
      <c r="I203" s="2"/>
      <c r="J203" s="5">
        <f t="shared" si="45"/>
        <v>2.6237770609145012E-3</v>
      </c>
      <c r="K203" s="2"/>
      <c r="L203" s="2">
        <f t="shared" si="46"/>
        <v>-421.65</v>
      </c>
      <c r="M203" s="2"/>
      <c r="N203" s="5">
        <f t="shared" si="47"/>
        <v>-0.60756484149855905</v>
      </c>
      <c r="O203" s="11"/>
      <c r="P203" s="2">
        <f>SUM(OSRRefP22_19x_0)</f>
        <v>7455.8799999999992</v>
      </c>
      <c r="Q203" s="2"/>
      <c r="R203" s="5">
        <f t="shared" si="48"/>
        <v>9.5456478247725755E-4</v>
      </c>
      <c r="S203" s="2"/>
      <c r="T203" s="2">
        <f>SUM(OSRRefT22_19x_0)</f>
        <v>7983.13</v>
      </c>
      <c r="U203" s="2"/>
      <c r="V203" s="5">
        <f t="shared" si="49"/>
        <v>1.4583973651545795E-3</v>
      </c>
      <c r="W203" s="2"/>
      <c r="X203" s="2">
        <f t="shared" si="50"/>
        <v>-527.25000000000091</v>
      </c>
      <c r="Y203" s="2"/>
      <c r="Z203" s="5">
        <f t="shared" si="51"/>
        <v>-6.604552349767584E-2</v>
      </c>
    </row>
    <row r="204" spans="1:26" s="69" customFormat="1" ht="15" hidden="1" customHeight="1" outlineLevel="2" x14ac:dyDescent="0.3">
      <c r="A204" s="21"/>
      <c r="B204" s="9" t="str">
        <f>CONCATENATE("          ","6258"," - ","MEMBERSHIP DUES")</f>
        <v xml:space="preserve">          6258 - MEMBERSHIP DUES</v>
      </c>
      <c r="C204" s="9"/>
      <c r="D204" s="6">
        <v>272.35000000000002</v>
      </c>
      <c r="E204" s="3"/>
      <c r="F204" s="7">
        <f t="shared" si="44"/>
        <v>9.3445986384231886E-4</v>
      </c>
      <c r="G204" s="3"/>
      <c r="H204" s="6">
        <v>609</v>
      </c>
      <c r="I204" s="3"/>
      <c r="J204" s="7">
        <f t="shared" si="45"/>
        <v>2.3024210808313128E-3</v>
      </c>
      <c r="K204" s="3"/>
      <c r="L204" s="6">
        <f t="shared" si="46"/>
        <v>-336.65</v>
      </c>
      <c r="M204" s="3"/>
      <c r="N204" s="7">
        <f t="shared" si="47"/>
        <v>-0.55279146141215108</v>
      </c>
      <c r="O204" s="9"/>
      <c r="P204" s="6">
        <v>4104.49</v>
      </c>
      <c r="Q204" s="3"/>
      <c r="R204" s="7">
        <f t="shared" si="48"/>
        <v>5.2549150523212274E-4</v>
      </c>
      <c r="S204" s="3"/>
      <c r="T204" s="6">
        <v>3655.45</v>
      </c>
      <c r="U204" s="3"/>
      <c r="V204" s="7">
        <f t="shared" si="49"/>
        <v>6.6779554491212193E-4</v>
      </c>
      <c r="W204" s="3"/>
      <c r="X204" s="6">
        <f t="shared" si="50"/>
        <v>449.03999999999996</v>
      </c>
      <c r="Y204" s="3"/>
      <c r="Z204" s="7">
        <f t="shared" si="51"/>
        <v>0.12284123705699708</v>
      </c>
    </row>
    <row r="205" spans="1:26" s="69" customFormat="1" ht="15" hidden="1" customHeight="1" outlineLevel="2" x14ac:dyDescent="0.3">
      <c r="A205" s="21"/>
      <c r="B205" s="9" t="str">
        <f>CONCATENATE("          ","6275"," - ","SUBSCRIPTIONS")</f>
        <v xml:space="preserve">          6275 - SUBSCRIPTIONS</v>
      </c>
      <c r="C205" s="9"/>
      <c r="D205" s="6"/>
      <c r="E205" s="3"/>
      <c r="F205" s="7">
        <f t="shared" si="44"/>
        <v>0</v>
      </c>
      <c r="G205" s="3"/>
      <c r="H205" s="6">
        <v>85</v>
      </c>
      <c r="I205" s="3"/>
      <c r="J205" s="7">
        <f t="shared" si="45"/>
        <v>3.2135598008318817E-4</v>
      </c>
      <c r="K205" s="3"/>
      <c r="L205" s="6">
        <f t="shared" si="46"/>
        <v>-85</v>
      </c>
      <c r="M205" s="3"/>
      <c r="N205" s="7">
        <f t="shared" si="47"/>
        <v>-1</v>
      </c>
      <c r="O205" s="9"/>
      <c r="P205" s="6">
        <v>3351.39</v>
      </c>
      <c r="Q205" s="3"/>
      <c r="R205" s="7">
        <f t="shared" si="48"/>
        <v>4.2907327724513487E-4</v>
      </c>
      <c r="S205" s="3"/>
      <c r="T205" s="6">
        <v>4327.68</v>
      </c>
      <c r="U205" s="3"/>
      <c r="V205" s="7">
        <f t="shared" si="49"/>
        <v>7.9060182024245766E-4</v>
      </c>
      <c r="W205" s="3"/>
      <c r="X205" s="6">
        <f t="shared" si="50"/>
        <v>-976.29000000000042</v>
      </c>
      <c r="Y205" s="3"/>
      <c r="Z205" s="7">
        <f t="shared" si="51"/>
        <v>-0.22559200310559013</v>
      </c>
    </row>
    <row r="206" spans="1:26" s="68" customFormat="1" ht="15" customHeight="1" outlineLevel="1" collapsed="1" x14ac:dyDescent="0.3">
      <c r="A206" s="20"/>
      <c r="B206" s="11" t="str">
        <f>CONCATENATE("     ","Supplies                                          ")</f>
        <v xml:space="preserve">     Supplies                                          </v>
      </c>
      <c r="C206" s="11"/>
      <c r="D206" s="2">
        <f>SUM(OSRRefD22_20x_0)</f>
        <v>35844.949999999997</v>
      </c>
      <c r="E206" s="2"/>
      <c r="F206" s="5">
        <f t="shared" si="44"/>
        <v>0.12298757883765273</v>
      </c>
      <c r="G206" s="2"/>
      <c r="H206" s="2">
        <f>SUM(OSRRefH22_20x_0)</f>
        <v>12432.029999999999</v>
      </c>
      <c r="I206" s="2"/>
      <c r="J206" s="5">
        <f t="shared" si="45"/>
        <v>4.7001261000865852E-2</v>
      </c>
      <c r="K206" s="2"/>
      <c r="L206" s="2">
        <f t="shared" si="46"/>
        <v>23412.92</v>
      </c>
      <c r="M206" s="2"/>
      <c r="N206" s="5">
        <f t="shared" si="47"/>
        <v>1.8832740911982999</v>
      </c>
      <c r="O206" s="11"/>
      <c r="P206" s="2">
        <f>SUM(OSRRefP22_20x_0)</f>
        <v>151922.52000000002</v>
      </c>
      <c r="Q206" s="2"/>
      <c r="R206" s="5">
        <f t="shared" si="48"/>
        <v>1.9450405218055661E-2</v>
      </c>
      <c r="S206" s="2"/>
      <c r="T206" s="2">
        <f>SUM(OSRRefT22_20x_0)</f>
        <v>134330.78000000003</v>
      </c>
      <c r="U206" s="2"/>
      <c r="V206" s="5">
        <f t="shared" si="49"/>
        <v>2.4540206111031578E-2</v>
      </c>
      <c r="W206" s="2"/>
      <c r="X206" s="2">
        <f t="shared" si="50"/>
        <v>17591.739999999991</v>
      </c>
      <c r="Y206" s="2"/>
      <c r="Z206" s="5">
        <f t="shared" si="51"/>
        <v>0.13095837007720781</v>
      </c>
    </row>
    <row r="207" spans="1:26" s="69" customFormat="1" ht="15" hidden="1" customHeight="1" outlineLevel="2" x14ac:dyDescent="0.3">
      <c r="A207" s="21"/>
      <c r="B207" s="9" t="str">
        <f>CONCATENATE("          ","6234"," - ","EXPENDABLE SUPPLIES &amp; EQUIPMEN")</f>
        <v xml:space="preserve">          6234 - EXPENDABLE SUPPLIES &amp; EQUIPMEN</v>
      </c>
      <c r="C207" s="9"/>
      <c r="D207" s="6"/>
      <c r="E207" s="3"/>
      <c r="F207" s="7">
        <f t="shared" si="44"/>
        <v>0</v>
      </c>
      <c r="G207" s="3"/>
      <c r="H207" s="6"/>
      <c r="I207" s="3"/>
      <c r="J207" s="7">
        <f t="shared" si="45"/>
        <v>0</v>
      </c>
      <c r="K207" s="3"/>
      <c r="L207" s="6">
        <f t="shared" si="46"/>
        <v>0</v>
      </c>
      <c r="M207" s="3"/>
      <c r="N207" s="7">
        <f t="shared" si="47"/>
        <v>0</v>
      </c>
      <c r="O207" s="9"/>
      <c r="P207" s="6">
        <v>10282.879999999999</v>
      </c>
      <c r="Q207" s="3"/>
      <c r="R207" s="7">
        <f t="shared" si="48"/>
        <v>1.3165012192309616E-3</v>
      </c>
      <c r="S207" s="3"/>
      <c r="T207" s="6">
        <v>0.16</v>
      </c>
      <c r="U207" s="3"/>
      <c r="V207" s="7">
        <f t="shared" si="49"/>
        <v>2.9229585190862825E-8</v>
      </c>
      <c r="W207" s="3"/>
      <c r="X207" s="6">
        <f t="shared" si="50"/>
        <v>10282.719999999999</v>
      </c>
      <c r="Y207" s="3"/>
      <c r="Z207" s="7">
        <f t="shared" si="51"/>
        <v>64266.999999999993</v>
      </c>
    </row>
    <row r="208" spans="1:26" s="69" customFormat="1" ht="15" hidden="1" customHeight="1" outlineLevel="2" x14ac:dyDescent="0.3">
      <c r="A208" s="21"/>
      <c r="B208" s="9" t="str">
        <f>CONCATENATE("          ","6235"," - ","COVID-19 EXPENSES")</f>
        <v xml:space="preserve">          6235 - COVID-19 EXPENSES</v>
      </c>
      <c r="C208" s="9"/>
      <c r="D208" s="6"/>
      <c r="E208" s="3"/>
      <c r="F208" s="7">
        <f t="shared" si="44"/>
        <v>0</v>
      </c>
      <c r="G208" s="3"/>
      <c r="H208" s="6">
        <v>957.91</v>
      </c>
      <c r="I208" s="3"/>
      <c r="J208" s="7">
        <f t="shared" si="45"/>
        <v>3.6215306691939619E-3</v>
      </c>
      <c r="K208" s="3"/>
      <c r="L208" s="6">
        <f t="shared" si="46"/>
        <v>-957.91</v>
      </c>
      <c r="M208" s="3"/>
      <c r="N208" s="7">
        <f t="shared" si="47"/>
        <v>-1</v>
      </c>
      <c r="O208" s="9"/>
      <c r="P208" s="6">
        <v>3586.32</v>
      </c>
      <c r="Q208" s="3"/>
      <c r="R208" s="7">
        <f t="shared" si="48"/>
        <v>4.5915100171862192E-4</v>
      </c>
      <c r="S208" s="3"/>
      <c r="T208" s="6">
        <v>44955.97</v>
      </c>
      <c r="U208" s="3"/>
      <c r="V208" s="7">
        <f t="shared" si="49"/>
        <v>8.2127772184554595E-3</v>
      </c>
      <c r="W208" s="3"/>
      <c r="X208" s="6">
        <f t="shared" si="50"/>
        <v>-41369.65</v>
      </c>
      <c r="Y208" s="3"/>
      <c r="Z208" s="7">
        <f t="shared" si="51"/>
        <v>-0.92022594551958281</v>
      </c>
    </row>
    <row r="209" spans="1:26" s="69" customFormat="1" ht="15" hidden="1" customHeight="1" outlineLevel="2" x14ac:dyDescent="0.3">
      <c r="A209" s="21"/>
      <c r="B209" s="9" t="str">
        <f>CONCATENATE("          ","6237"," - ","JANITORIAL SUPPLIES")</f>
        <v xml:space="preserve">          6237 - JANITORIAL SUPPLIES</v>
      </c>
      <c r="C209" s="9"/>
      <c r="D209" s="6">
        <v>1431.01</v>
      </c>
      <c r="E209" s="3"/>
      <c r="F209" s="7">
        <f t="shared" si="44"/>
        <v>4.909937248970063E-3</v>
      </c>
      <c r="G209" s="3"/>
      <c r="H209" s="6">
        <v>321.05</v>
      </c>
      <c r="I209" s="3"/>
      <c r="J209" s="7">
        <f t="shared" si="45"/>
        <v>1.2137804400671479E-3</v>
      </c>
      <c r="K209" s="3"/>
      <c r="L209" s="6">
        <f t="shared" si="46"/>
        <v>1109.96</v>
      </c>
      <c r="M209" s="3"/>
      <c r="N209" s="7">
        <f t="shared" si="47"/>
        <v>3.4572807973835853</v>
      </c>
      <c r="O209" s="9"/>
      <c r="P209" s="6">
        <v>8079.26</v>
      </c>
      <c r="Q209" s="3"/>
      <c r="R209" s="7">
        <f t="shared" si="48"/>
        <v>1.0343751595354551E-3</v>
      </c>
      <c r="S209" s="3"/>
      <c r="T209" s="6">
        <v>4201.33</v>
      </c>
      <c r="U209" s="3"/>
      <c r="V209" s="7">
        <f t="shared" si="49"/>
        <v>7.6751958218704817E-4</v>
      </c>
      <c r="W209" s="3"/>
      <c r="X209" s="6">
        <f t="shared" si="50"/>
        <v>3877.9300000000003</v>
      </c>
      <c r="Y209" s="3"/>
      <c r="Z209" s="7">
        <f t="shared" si="51"/>
        <v>0.92302437561438888</v>
      </c>
    </row>
    <row r="210" spans="1:26" s="69" customFormat="1" ht="15" hidden="1" customHeight="1" outlineLevel="2" x14ac:dyDescent="0.3">
      <c r="A210" s="21"/>
      <c r="B210" s="9" t="str">
        <f>CONCATENATE("          ","6241"," - ","OFFICE EXPENSE")</f>
        <v xml:space="preserve">          6241 - OFFICE EXPENSE</v>
      </c>
      <c r="C210" s="9"/>
      <c r="D210" s="6">
        <v>4473.38</v>
      </c>
      <c r="E210" s="3"/>
      <c r="F210" s="7">
        <f t="shared" si="44"/>
        <v>1.5348610485459709E-2</v>
      </c>
      <c r="G210" s="3"/>
      <c r="H210" s="6">
        <v>983.08</v>
      </c>
      <c r="I210" s="3"/>
      <c r="J210" s="7">
        <f t="shared" si="45"/>
        <v>3.7166898458844784E-3</v>
      </c>
      <c r="K210" s="3"/>
      <c r="L210" s="6">
        <f t="shared" si="46"/>
        <v>3490.3</v>
      </c>
      <c r="M210" s="3"/>
      <c r="N210" s="7">
        <f t="shared" si="47"/>
        <v>3.5503722993042275</v>
      </c>
      <c r="O210" s="9"/>
      <c r="P210" s="6">
        <v>22129.360000000001</v>
      </c>
      <c r="Q210" s="3"/>
      <c r="R210" s="7">
        <f t="shared" si="48"/>
        <v>2.8331877276405906E-3</v>
      </c>
      <c r="S210" s="3"/>
      <c r="T210" s="6">
        <v>11988.5</v>
      </c>
      <c r="U210" s="3"/>
      <c r="V210" s="7">
        <f t="shared" si="49"/>
        <v>2.1901180128791184E-3</v>
      </c>
      <c r="W210" s="3"/>
      <c r="X210" s="6">
        <f t="shared" si="50"/>
        <v>10140.86</v>
      </c>
      <c r="Y210" s="3"/>
      <c r="Z210" s="7">
        <f t="shared" si="51"/>
        <v>0.84588230387454644</v>
      </c>
    </row>
    <row r="211" spans="1:26" s="69" customFormat="1" ht="15" hidden="1" customHeight="1" outlineLevel="2" x14ac:dyDescent="0.3">
      <c r="A211" s="21"/>
      <c r="B211" s="9" t="str">
        <f>CONCATENATE("          ","6243"," - ","PAPER SUPPLIES")</f>
        <v xml:space="preserve">          6243 - PAPER SUPPLIES</v>
      </c>
      <c r="C211" s="9"/>
      <c r="D211" s="6">
        <v>742</v>
      </c>
      <c r="E211" s="3"/>
      <c r="F211" s="7">
        <f t="shared" si="44"/>
        <v>2.5458755974701688E-3</v>
      </c>
      <c r="G211" s="3"/>
      <c r="H211" s="6">
        <v>548.02</v>
      </c>
      <c r="I211" s="3"/>
      <c r="J211" s="7">
        <f t="shared" si="45"/>
        <v>2.0718765200610444E-3</v>
      </c>
      <c r="K211" s="3"/>
      <c r="L211" s="6">
        <f t="shared" si="46"/>
        <v>193.98000000000002</v>
      </c>
      <c r="M211" s="3"/>
      <c r="N211" s="7">
        <f t="shared" si="47"/>
        <v>0.35396518375241787</v>
      </c>
      <c r="O211" s="9"/>
      <c r="P211" s="6">
        <v>10832.94</v>
      </c>
      <c r="Q211" s="3"/>
      <c r="R211" s="7">
        <f t="shared" si="48"/>
        <v>1.3869245501120168E-3</v>
      </c>
      <c r="S211" s="3"/>
      <c r="T211" s="6">
        <v>7230.6</v>
      </c>
      <c r="U211" s="3"/>
      <c r="V211" s="7">
        <f t="shared" si="49"/>
        <v>1.3209214917565795E-3</v>
      </c>
      <c r="W211" s="3"/>
      <c r="X211" s="6">
        <f t="shared" si="50"/>
        <v>3602.34</v>
      </c>
      <c r="Y211" s="3"/>
      <c r="Z211" s="7">
        <f t="shared" si="51"/>
        <v>0.49820761762509336</v>
      </c>
    </row>
    <row r="212" spans="1:26" s="69" customFormat="1" ht="15" hidden="1" customHeight="1" outlineLevel="2" x14ac:dyDescent="0.3">
      <c r="A212" s="21"/>
      <c r="B212" s="9" t="str">
        <f>CONCATENATE("          ","6245"," - ","PRINTING")</f>
        <v xml:space="preserve">          6245 - PRINTING</v>
      </c>
      <c r="C212" s="9"/>
      <c r="D212" s="6">
        <v>4642.3999999999996</v>
      </c>
      <c r="E212" s="3"/>
      <c r="F212" s="7">
        <f t="shared" si="44"/>
        <v>1.5928534870209583E-2</v>
      </c>
      <c r="G212" s="3"/>
      <c r="H212" s="6">
        <v>2921.89</v>
      </c>
      <c r="I212" s="3"/>
      <c r="J212" s="7">
        <f t="shared" si="45"/>
        <v>1.1046668525238432E-2</v>
      </c>
      <c r="K212" s="3"/>
      <c r="L212" s="6">
        <f t="shared" si="46"/>
        <v>1720.5099999999998</v>
      </c>
      <c r="M212" s="3"/>
      <c r="N212" s="7">
        <f t="shared" si="47"/>
        <v>0.58883462416449617</v>
      </c>
      <c r="O212" s="9"/>
      <c r="P212" s="6">
        <v>16345.8</v>
      </c>
      <c r="Q212" s="3"/>
      <c r="R212" s="7">
        <f t="shared" si="48"/>
        <v>2.0927274877568787E-3</v>
      </c>
      <c r="S212" s="3"/>
      <c r="T212" s="6">
        <v>12006.27</v>
      </c>
      <c r="U212" s="3"/>
      <c r="V212" s="7">
        <f t="shared" si="49"/>
        <v>2.1933643236843789E-3</v>
      </c>
      <c r="W212" s="3"/>
      <c r="X212" s="6">
        <f t="shared" si="50"/>
        <v>4339.5299999999988</v>
      </c>
      <c r="Y212" s="3"/>
      <c r="Z212" s="7">
        <f t="shared" si="51"/>
        <v>0.36143864830625988</v>
      </c>
    </row>
    <row r="213" spans="1:26" s="69" customFormat="1" ht="15" hidden="1" customHeight="1" outlineLevel="2" x14ac:dyDescent="0.3">
      <c r="A213" s="21"/>
      <c r="B213" s="9" t="str">
        <f>CONCATENATE("          ","6247"," - ","STORE SUPPLIES")</f>
        <v xml:space="preserve">          6247 - STORE SUPPLIES</v>
      </c>
      <c r="C213" s="9"/>
      <c r="D213" s="6">
        <v>24556.16</v>
      </c>
      <c r="E213" s="3"/>
      <c r="F213" s="7">
        <f t="shared" si="44"/>
        <v>8.4254620635543218E-2</v>
      </c>
      <c r="G213" s="3"/>
      <c r="H213" s="6">
        <v>6700.08</v>
      </c>
      <c r="I213" s="3"/>
      <c r="J213" s="7">
        <f t="shared" si="45"/>
        <v>2.5330715000420792E-2</v>
      </c>
      <c r="K213" s="3"/>
      <c r="L213" s="6">
        <f t="shared" si="46"/>
        <v>17856.080000000002</v>
      </c>
      <c r="M213" s="3"/>
      <c r="N213" s="7">
        <f t="shared" si="47"/>
        <v>2.6650547456149782</v>
      </c>
      <c r="O213" s="9"/>
      <c r="P213" s="6">
        <v>80665.960000000006</v>
      </c>
      <c r="Q213" s="3"/>
      <c r="R213" s="7">
        <f t="shared" si="48"/>
        <v>1.0327538072061134E-2</v>
      </c>
      <c r="S213" s="3"/>
      <c r="T213" s="6">
        <v>53947.95</v>
      </c>
      <c r="U213" s="3"/>
      <c r="V213" s="7">
        <f t="shared" si="49"/>
        <v>9.8554762524837997E-3</v>
      </c>
      <c r="W213" s="3"/>
      <c r="X213" s="6">
        <f t="shared" si="50"/>
        <v>26718.010000000009</v>
      </c>
      <c r="Y213" s="3"/>
      <c r="Z213" s="7">
        <f t="shared" si="51"/>
        <v>0.49525533407664257</v>
      </c>
    </row>
    <row r="214" spans="1:26" s="68" customFormat="1" ht="15" customHeight="1" outlineLevel="1" collapsed="1" x14ac:dyDescent="0.3">
      <c r="A214" s="20"/>
      <c r="B214" s="11" t="str">
        <f>CONCATENATE("     ","Telephone/Data Lines                              ")</f>
        <v xml:space="preserve">     Telephone/Data Lines                              </v>
      </c>
      <c r="C214" s="11"/>
      <c r="D214" s="2">
        <f>SUM(OSRRefD22_21x_0)</f>
        <v>1277.03</v>
      </c>
      <c r="E214" s="2"/>
      <c r="F214" s="5">
        <f t="shared" si="44"/>
        <v>4.3816165960071833E-3</v>
      </c>
      <c r="G214" s="2"/>
      <c r="H214" s="2">
        <f>SUM(OSRRefH22_21x_0)</f>
        <v>2502.3200000000002</v>
      </c>
      <c r="I214" s="2"/>
      <c r="J214" s="5">
        <f t="shared" si="45"/>
        <v>9.4604176009619231E-3</v>
      </c>
      <c r="K214" s="2"/>
      <c r="L214" s="2">
        <f t="shared" si="46"/>
        <v>-1225.2900000000002</v>
      </c>
      <c r="M214" s="2"/>
      <c r="N214" s="5">
        <f t="shared" si="47"/>
        <v>-0.48966159404073023</v>
      </c>
      <c r="O214" s="11"/>
      <c r="P214" s="2">
        <f>SUM(OSRRefP22_21x_0)</f>
        <v>21429.08</v>
      </c>
      <c r="Q214" s="2"/>
      <c r="R214" s="5">
        <f t="shared" si="48"/>
        <v>2.7435319625433554E-3</v>
      </c>
      <c r="S214" s="2"/>
      <c r="T214" s="2">
        <f>SUM(OSRRefT22_21x_0)</f>
        <v>26185.1</v>
      </c>
      <c r="U214" s="2"/>
      <c r="V214" s="5">
        <f t="shared" si="49"/>
        <v>4.7836225698828878E-3</v>
      </c>
      <c r="W214" s="2"/>
      <c r="X214" s="2">
        <f t="shared" si="50"/>
        <v>-4756.0199999999968</v>
      </c>
      <c r="Y214" s="2"/>
      <c r="Z214" s="5">
        <f t="shared" si="51"/>
        <v>-0.18163077475358114</v>
      </c>
    </row>
    <row r="215" spans="1:26" s="69" customFormat="1" ht="15" hidden="1" customHeight="1" outlineLevel="2" x14ac:dyDescent="0.3">
      <c r="A215" s="21"/>
      <c r="B215" s="9" t="str">
        <f>CONCATENATE("          ","6303"," - ","DATA PHONE LINES")</f>
        <v xml:space="preserve">          6303 - DATA PHONE LINES</v>
      </c>
      <c r="C215" s="9"/>
      <c r="D215" s="6"/>
      <c r="E215" s="3"/>
      <c r="F215" s="7">
        <f t="shared" si="44"/>
        <v>0</v>
      </c>
      <c r="G215" s="3"/>
      <c r="H215" s="6"/>
      <c r="I215" s="3"/>
      <c r="J215" s="7">
        <f t="shared" si="45"/>
        <v>0</v>
      </c>
      <c r="K215" s="3"/>
      <c r="L215" s="6">
        <f t="shared" si="46"/>
        <v>0</v>
      </c>
      <c r="M215" s="3"/>
      <c r="N215" s="7">
        <f t="shared" si="47"/>
        <v>0</v>
      </c>
      <c r="O215" s="9"/>
      <c r="P215" s="6">
        <v>295</v>
      </c>
      <c r="Q215" s="3"/>
      <c r="R215" s="7">
        <f t="shared" si="48"/>
        <v>3.7768393647804283E-5</v>
      </c>
      <c r="S215" s="3"/>
      <c r="T215" s="6">
        <v>3540</v>
      </c>
      <c r="U215" s="3"/>
      <c r="V215" s="7">
        <f t="shared" si="49"/>
        <v>6.4670457234783992E-4</v>
      </c>
      <c r="W215" s="3"/>
      <c r="X215" s="6">
        <f t="shared" si="50"/>
        <v>-3245</v>
      </c>
      <c r="Y215" s="3"/>
      <c r="Z215" s="7">
        <f t="shared" si="51"/>
        <v>-0.91666666666666663</v>
      </c>
    </row>
    <row r="216" spans="1:26" s="69" customFormat="1" ht="15" hidden="1" customHeight="1" outlineLevel="2" x14ac:dyDescent="0.3">
      <c r="A216" s="21"/>
      <c r="B216" s="9" t="str">
        <f>CONCATENATE("          ","6309"," - ","TELEPHONE")</f>
        <v xml:space="preserve">          6309 - TELEPHONE</v>
      </c>
      <c r="C216" s="9"/>
      <c r="D216" s="6">
        <v>1277.03</v>
      </c>
      <c r="E216" s="3"/>
      <c r="F216" s="7">
        <f t="shared" si="44"/>
        <v>4.3816165960071833E-3</v>
      </c>
      <c r="G216" s="3"/>
      <c r="H216" s="6">
        <v>2502.3200000000002</v>
      </c>
      <c r="I216" s="3"/>
      <c r="J216" s="7">
        <f t="shared" si="45"/>
        <v>9.4604176009619231E-3</v>
      </c>
      <c r="K216" s="3"/>
      <c r="L216" s="6">
        <f t="shared" si="46"/>
        <v>-1225.2900000000002</v>
      </c>
      <c r="M216" s="3"/>
      <c r="N216" s="7">
        <f t="shared" si="47"/>
        <v>-0.48966159404073023</v>
      </c>
      <c r="O216" s="9"/>
      <c r="P216" s="6">
        <v>21134.080000000002</v>
      </c>
      <c r="Q216" s="3"/>
      <c r="R216" s="7">
        <f t="shared" si="48"/>
        <v>2.7057635688955512E-3</v>
      </c>
      <c r="S216" s="3"/>
      <c r="T216" s="6">
        <v>22645.1</v>
      </c>
      <c r="U216" s="3"/>
      <c r="V216" s="7">
        <f t="shared" si="49"/>
        <v>4.136917997535048E-3</v>
      </c>
      <c r="W216" s="3"/>
      <c r="X216" s="6">
        <f t="shared" si="50"/>
        <v>-1511.0199999999968</v>
      </c>
      <c r="Y216" s="3"/>
      <c r="Z216" s="7">
        <f t="shared" si="51"/>
        <v>-6.67261350137556E-2</v>
      </c>
    </row>
    <row r="217" spans="1:26" s="68" customFormat="1" ht="15" customHeight="1" outlineLevel="1" collapsed="1" x14ac:dyDescent="0.3">
      <c r="A217" s="20"/>
      <c r="B217" s="11" t="str">
        <f>CONCATENATE("     ","Training                                          ")</f>
        <v xml:space="preserve">     Training                                          </v>
      </c>
      <c r="C217" s="11"/>
      <c r="D217" s="2">
        <f>SUM(OSRRefD22_22x_0)</f>
        <v>0</v>
      </c>
      <c r="E217" s="2"/>
      <c r="F217" s="5">
        <f t="shared" si="44"/>
        <v>0</v>
      </c>
      <c r="G217" s="2"/>
      <c r="H217" s="2">
        <f>SUM(OSRRefH22_22x_0)</f>
        <v>0</v>
      </c>
      <c r="I217" s="2"/>
      <c r="J217" s="5">
        <f t="shared" si="45"/>
        <v>0</v>
      </c>
      <c r="K217" s="2"/>
      <c r="L217" s="2">
        <f t="shared" si="46"/>
        <v>0</v>
      </c>
      <c r="M217" s="2"/>
      <c r="N217" s="5">
        <f t="shared" si="47"/>
        <v>0</v>
      </c>
      <c r="O217" s="11"/>
      <c r="P217" s="2">
        <f>SUM(OSRRefP22_22x_0)</f>
        <v>6919</v>
      </c>
      <c r="Q217" s="2"/>
      <c r="R217" s="5">
        <f t="shared" si="48"/>
        <v>8.8582886660731473E-4</v>
      </c>
      <c r="S217" s="2"/>
      <c r="T217" s="2">
        <f>SUM(OSRRefT22_22x_0)</f>
        <v>895.63</v>
      </c>
      <c r="U217" s="2"/>
      <c r="V217" s="5">
        <f t="shared" si="49"/>
        <v>1.6361808365307793E-4</v>
      </c>
      <c r="W217" s="2"/>
      <c r="X217" s="2">
        <f t="shared" si="50"/>
        <v>6023.37</v>
      </c>
      <c r="Y217" s="2"/>
      <c r="Z217" s="5">
        <f t="shared" si="51"/>
        <v>6.7252883445172671</v>
      </c>
    </row>
    <row r="218" spans="1:26" s="69" customFormat="1" ht="15" hidden="1" customHeight="1" outlineLevel="2" x14ac:dyDescent="0.3">
      <c r="A218" s="21"/>
      <c r="B218" s="9" t="str">
        <f>CONCATENATE("          ","6376"," - ","TRAINING")</f>
        <v xml:space="preserve">          6376 - TRAINING</v>
      </c>
      <c r="C218" s="9"/>
      <c r="D218" s="6"/>
      <c r="E218" s="3"/>
      <c r="F218" s="7">
        <f t="shared" si="44"/>
        <v>0</v>
      </c>
      <c r="G218" s="3"/>
      <c r="H218" s="6"/>
      <c r="I218" s="3"/>
      <c r="J218" s="7">
        <f t="shared" si="45"/>
        <v>0</v>
      </c>
      <c r="K218" s="3"/>
      <c r="L218" s="6">
        <f t="shared" si="46"/>
        <v>0</v>
      </c>
      <c r="M218" s="3"/>
      <c r="N218" s="7">
        <f t="shared" si="47"/>
        <v>0</v>
      </c>
      <c r="O218" s="9"/>
      <c r="P218" s="6">
        <v>6919</v>
      </c>
      <c r="Q218" s="3"/>
      <c r="R218" s="7">
        <f t="shared" si="48"/>
        <v>8.8582886660731473E-4</v>
      </c>
      <c r="S218" s="3"/>
      <c r="T218" s="6">
        <v>895.63</v>
      </c>
      <c r="U218" s="3"/>
      <c r="V218" s="7">
        <f t="shared" si="49"/>
        <v>1.6361808365307793E-4</v>
      </c>
      <c r="W218" s="3"/>
      <c r="X218" s="6">
        <f t="shared" si="50"/>
        <v>6023.37</v>
      </c>
      <c r="Y218" s="3"/>
      <c r="Z218" s="7">
        <f t="shared" si="51"/>
        <v>6.7252883445172671</v>
      </c>
    </row>
    <row r="219" spans="1:26" s="68" customFormat="1" ht="15" customHeight="1" outlineLevel="1" collapsed="1" x14ac:dyDescent="0.3">
      <c r="A219" s="20"/>
      <c r="B219" s="11" t="str">
        <f>CONCATENATE("     ","Travel                                            ")</f>
        <v xml:space="preserve">     Travel                                            </v>
      </c>
      <c r="C219" s="11"/>
      <c r="D219" s="2">
        <f>SUM(OSRRefD22_23x_0)</f>
        <v>1117.6500000000001</v>
      </c>
      <c r="E219" s="2"/>
      <c r="F219" s="5">
        <f t="shared" si="44"/>
        <v>3.8347680074292917E-3</v>
      </c>
      <c r="G219" s="2"/>
      <c r="H219" s="2">
        <f>SUM(OSRRefH22_23x_0)</f>
        <v>67.62</v>
      </c>
      <c r="I219" s="2"/>
      <c r="J219" s="5">
        <f t="shared" si="45"/>
        <v>2.5564813380264927E-4</v>
      </c>
      <c r="K219" s="2"/>
      <c r="L219" s="2">
        <f t="shared" si="46"/>
        <v>1050.0300000000002</v>
      </c>
      <c r="M219" s="2"/>
      <c r="N219" s="5">
        <f t="shared" si="47"/>
        <v>15.528393966282167</v>
      </c>
      <c r="O219" s="11"/>
      <c r="P219" s="2">
        <f>SUM(OSRRefP22_23x_0)</f>
        <v>2722.9</v>
      </c>
      <c r="Q219" s="2"/>
      <c r="R219" s="5">
        <f t="shared" si="48"/>
        <v>3.4860867479188571E-4</v>
      </c>
      <c r="S219" s="2"/>
      <c r="T219" s="2">
        <f>SUM(OSRRefT22_23x_0)</f>
        <v>1040.0200000000002</v>
      </c>
      <c r="U219" s="2"/>
      <c r="V219" s="5">
        <f t="shared" si="49"/>
        <v>1.8999595743875725E-4</v>
      </c>
      <c r="W219" s="2"/>
      <c r="X219" s="2">
        <f t="shared" si="50"/>
        <v>1682.8799999999999</v>
      </c>
      <c r="Y219" s="2"/>
      <c r="Z219" s="5">
        <f t="shared" si="51"/>
        <v>1.6181227284090687</v>
      </c>
    </row>
    <row r="220" spans="1:26" s="69" customFormat="1" ht="15" hidden="1" customHeight="1" outlineLevel="2" x14ac:dyDescent="0.3">
      <c r="A220" s="21"/>
      <c r="B220" s="9" t="str">
        <f>CONCATENATE("          ","6292"," - ","TRAVEL/CONFERENCE")</f>
        <v xml:space="preserve">          6292 - TRAVEL/CONFERENCE</v>
      </c>
      <c r="C220" s="9"/>
      <c r="D220" s="6"/>
      <c r="E220" s="3"/>
      <c r="F220" s="7">
        <f t="shared" si="44"/>
        <v>0</v>
      </c>
      <c r="G220" s="3"/>
      <c r="H220" s="6"/>
      <c r="I220" s="3"/>
      <c r="J220" s="7">
        <f t="shared" si="45"/>
        <v>0</v>
      </c>
      <c r="K220" s="3"/>
      <c r="L220" s="6">
        <f t="shared" si="46"/>
        <v>0</v>
      </c>
      <c r="M220" s="3"/>
      <c r="N220" s="7">
        <f t="shared" si="47"/>
        <v>0</v>
      </c>
      <c r="O220" s="9"/>
      <c r="P220" s="6">
        <v>495</v>
      </c>
      <c r="Q220" s="3"/>
      <c r="R220" s="7">
        <f t="shared" si="48"/>
        <v>6.3374084256485151E-5</v>
      </c>
      <c r="S220" s="3"/>
      <c r="T220" s="6">
        <v>299.16000000000003</v>
      </c>
      <c r="U220" s="3"/>
      <c r="V220" s="7">
        <f t="shared" si="49"/>
        <v>5.4652016910615768E-5</v>
      </c>
      <c r="W220" s="3"/>
      <c r="X220" s="6">
        <f t="shared" si="50"/>
        <v>195.83999999999997</v>
      </c>
      <c r="Y220" s="3"/>
      <c r="Z220" s="7">
        <f t="shared" si="51"/>
        <v>0.65463297232250284</v>
      </c>
    </row>
    <row r="221" spans="1:26" s="69" customFormat="1" ht="15" hidden="1" customHeight="1" outlineLevel="2" x14ac:dyDescent="0.3">
      <c r="A221" s="21"/>
      <c r="B221" s="9" t="str">
        <f>CONCATENATE("          ","6294"," - ","TRAVEL OPERATIONAL")</f>
        <v xml:space="preserve">          6294 - TRAVEL OPERATIONAL</v>
      </c>
      <c r="C221" s="9"/>
      <c r="D221" s="6">
        <v>1017.65</v>
      </c>
      <c r="E221" s="3"/>
      <c r="F221" s="7">
        <f t="shared" si="44"/>
        <v>3.4916580886327725E-3</v>
      </c>
      <c r="G221" s="3"/>
      <c r="H221" s="6">
        <v>67.62</v>
      </c>
      <c r="I221" s="3"/>
      <c r="J221" s="7">
        <f t="shared" si="45"/>
        <v>2.5564813380264927E-4</v>
      </c>
      <c r="K221" s="3"/>
      <c r="L221" s="6">
        <f t="shared" si="46"/>
        <v>950.03</v>
      </c>
      <c r="M221" s="3"/>
      <c r="N221" s="7">
        <f t="shared" si="47"/>
        <v>14.049541555752734</v>
      </c>
      <c r="O221" s="9"/>
      <c r="P221" s="6">
        <v>1628.52</v>
      </c>
      <c r="Q221" s="3"/>
      <c r="R221" s="7">
        <f t="shared" si="48"/>
        <v>2.0849689635024486E-4</v>
      </c>
      <c r="S221" s="3"/>
      <c r="T221" s="6">
        <v>680.97</v>
      </c>
      <c r="U221" s="3"/>
      <c r="V221" s="7">
        <f t="shared" si="49"/>
        <v>1.2440294142138661E-4</v>
      </c>
      <c r="W221" s="3"/>
      <c r="X221" s="6">
        <f t="shared" si="50"/>
        <v>947.55</v>
      </c>
      <c r="Y221" s="3"/>
      <c r="Z221" s="7">
        <f t="shared" si="51"/>
        <v>1.3914709899114497</v>
      </c>
    </row>
    <row r="222" spans="1:26" s="69" customFormat="1" ht="15" hidden="1" customHeight="1" outlineLevel="2" x14ac:dyDescent="0.3">
      <c r="A222" s="21"/>
      <c r="B222" s="9" t="str">
        <f>CONCATENATE("          ","6298"," - ","VEHICLE MILEAGE")</f>
        <v xml:space="preserve">          6298 - VEHICLE MILEAGE</v>
      </c>
      <c r="C222" s="9"/>
      <c r="D222" s="6">
        <v>100</v>
      </c>
      <c r="E222" s="3"/>
      <c r="F222" s="7">
        <f t="shared" si="44"/>
        <v>3.4310991879651871E-4</v>
      </c>
      <c r="G222" s="3"/>
      <c r="H222" s="6"/>
      <c r="I222" s="3"/>
      <c r="J222" s="7">
        <f t="shared" si="45"/>
        <v>0</v>
      </c>
      <c r="K222" s="3"/>
      <c r="L222" s="6">
        <f t="shared" si="46"/>
        <v>100</v>
      </c>
      <c r="M222" s="3"/>
      <c r="N222" s="7">
        <f t="shared" si="47"/>
        <v>0</v>
      </c>
      <c r="O222" s="9"/>
      <c r="P222" s="6">
        <v>599.38</v>
      </c>
      <c r="Q222" s="3"/>
      <c r="R222" s="7">
        <f t="shared" si="48"/>
        <v>7.6737694185155696E-5</v>
      </c>
      <c r="S222" s="3"/>
      <c r="T222" s="6">
        <v>59.89</v>
      </c>
      <c r="U222" s="3"/>
      <c r="V222" s="7">
        <f t="shared" si="49"/>
        <v>1.094099910675484E-5</v>
      </c>
      <c r="W222" s="3"/>
      <c r="X222" s="6">
        <f t="shared" si="50"/>
        <v>539.49</v>
      </c>
      <c r="Y222" s="3"/>
      <c r="Z222" s="7">
        <f t="shared" si="51"/>
        <v>9.0080146936049417</v>
      </c>
    </row>
    <row r="223" spans="1:26" s="68" customFormat="1" ht="15" customHeight="1" outlineLevel="1" collapsed="1" x14ac:dyDescent="0.3">
      <c r="A223" s="20"/>
      <c r="B223" s="11" t="str">
        <f>CONCATENATE("     ","Utilities                                         ")</f>
        <v xml:space="preserve">     Utilities                                         </v>
      </c>
      <c r="C223" s="11"/>
      <c r="D223" s="2">
        <f>SUM(OSRRefD22_24x_0)</f>
        <v>7256.49</v>
      </c>
      <c r="E223" s="2"/>
      <c r="F223" s="5">
        <f t="shared" si="44"/>
        <v>2.4897736946477501E-2</v>
      </c>
      <c r="G223" s="2"/>
      <c r="H223" s="2">
        <f>SUM(OSRRefH22_24x_0)</f>
        <v>5512.94</v>
      </c>
      <c r="I223" s="2"/>
      <c r="J223" s="5">
        <f t="shared" si="45"/>
        <v>2.084254396282131E-2</v>
      </c>
      <c r="K223" s="2"/>
      <c r="L223" s="2">
        <f t="shared" si="46"/>
        <v>1743.5500000000002</v>
      </c>
      <c r="M223" s="2"/>
      <c r="N223" s="5">
        <f t="shared" si="47"/>
        <v>0.31626500560499488</v>
      </c>
      <c r="O223" s="11"/>
      <c r="P223" s="2">
        <f>SUM(OSRRefP22_24x_0)</f>
        <v>92259.38</v>
      </c>
      <c r="Q223" s="2"/>
      <c r="R223" s="5">
        <f t="shared" si="48"/>
        <v>1.1811825700143599E-2</v>
      </c>
      <c r="S223" s="2"/>
      <c r="T223" s="2">
        <f>SUM(OSRRefT22_24x_0)</f>
        <v>70355.39</v>
      </c>
      <c r="U223" s="2"/>
      <c r="V223" s="5">
        <f t="shared" si="49"/>
        <v>1.2852867910258615E-2</v>
      </c>
      <c r="W223" s="2"/>
      <c r="X223" s="2">
        <f t="shared" si="50"/>
        <v>21903.990000000005</v>
      </c>
      <c r="Y223" s="2"/>
      <c r="Z223" s="5">
        <f t="shared" si="51"/>
        <v>0.31133350266411719</v>
      </c>
    </row>
    <row r="224" spans="1:26" s="69" customFormat="1" ht="15" hidden="1" customHeight="1" outlineLevel="2" x14ac:dyDescent="0.3">
      <c r="A224" s="21"/>
      <c r="B224" s="9" t="str">
        <f>CONCATENATE("          ","6274"," - ","UTILITIES")</f>
        <v xml:space="preserve">          6274 - UTILITIES</v>
      </c>
      <c r="C224" s="9"/>
      <c r="D224" s="6">
        <v>7256.49</v>
      </c>
      <c r="E224" s="3"/>
      <c r="F224" s="7">
        <f t="shared" si="44"/>
        <v>2.4897736946477501E-2</v>
      </c>
      <c r="G224" s="3"/>
      <c r="H224" s="6">
        <v>5512.94</v>
      </c>
      <c r="I224" s="3"/>
      <c r="J224" s="7">
        <f t="shared" si="45"/>
        <v>2.084254396282131E-2</v>
      </c>
      <c r="K224" s="3"/>
      <c r="L224" s="6">
        <f t="shared" si="46"/>
        <v>1743.5500000000002</v>
      </c>
      <c r="M224" s="3"/>
      <c r="N224" s="7">
        <f t="shared" si="47"/>
        <v>0.31626500560499488</v>
      </c>
      <c r="O224" s="9"/>
      <c r="P224" s="6">
        <v>92259.38</v>
      </c>
      <c r="Q224" s="3"/>
      <c r="R224" s="7">
        <f t="shared" si="48"/>
        <v>1.1811825700143599E-2</v>
      </c>
      <c r="S224" s="3"/>
      <c r="T224" s="6">
        <v>70355.39</v>
      </c>
      <c r="U224" s="3"/>
      <c r="V224" s="7">
        <f t="shared" si="49"/>
        <v>1.2852867910258615E-2</v>
      </c>
      <c r="W224" s="3"/>
      <c r="X224" s="6">
        <f t="shared" si="50"/>
        <v>21903.990000000005</v>
      </c>
      <c r="Y224" s="3"/>
      <c r="Z224" s="7">
        <f t="shared" si="51"/>
        <v>0.31133350266411719</v>
      </c>
    </row>
    <row r="225" spans="1:26" s="64" customFormat="1" ht="15" customHeight="1" x14ac:dyDescent="0.3">
      <c r="A225" s="37"/>
      <c r="B225" s="37"/>
      <c r="C225" s="37"/>
      <c r="D225" s="2"/>
      <c r="E225" s="2"/>
      <c r="F225" s="5"/>
      <c r="G225" s="2"/>
      <c r="H225" s="2"/>
      <c r="I225" s="2"/>
      <c r="J225" s="5"/>
      <c r="K225" s="2"/>
      <c r="L225" s="2"/>
      <c r="M225" s="2"/>
      <c r="N225" s="5"/>
      <c r="O225" s="37"/>
      <c r="P225" s="2"/>
      <c r="Q225" s="2"/>
      <c r="R225" s="5"/>
      <c r="S225" s="2"/>
      <c r="T225" s="2"/>
      <c r="U225" s="2"/>
      <c r="V225" s="5"/>
      <c r="W225" s="2"/>
      <c r="X225" s="2"/>
      <c r="Y225" s="2"/>
      <c r="Z225" s="5"/>
    </row>
    <row r="226" spans="1:26" s="62" customFormat="1" ht="15" customHeight="1" collapsed="1" x14ac:dyDescent="0.3">
      <c r="A226" s="13"/>
      <c r="B226" s="27" t="s">
        <v>290</v>
      </c>
      <c r="C226" s="13"/>
      <c r="D226" s="8">
        <f>SUM(OSRRefD25x_0)</f>
        <v>29180.559999999998</v>
      </c>
      <c r="E226" s="8"/>
      <c r="F226" s="14">
        <f t="shared" ref="F226:F231" si="52">IF(D$12=0,0,D226/D$12)</f>
        <v>0.10012139572036942</v>
      </c>
      <c r="G226" s="8"/>
      <c r="H226" s="8">
        <f>SUM(OSRRefH25x_0)</f>
        <v>401496.27999999997</v>
      </c>
      <c r="I226" s="8"/>
      <c r="J226" s="14">
        <f t="shared" ref="J226:J231" si="53">IF(H$12=0,0,H226/H$12)</f>
        <v>1.5179203595194604</v>
      </c>
      <c r="K226" s="8"/>
      <c r="L226" s="8">
        <f t="shared" ref="L226:L231" si="54">+D226-H226</f>
        <v>-372315.72</v>
      </c>
      <c r="M226" s="8"/>
      <c r="N226" s="14">
        <f t="shared" ref="N226:N231" si="55">IF(H226=0,0,L226/H226)</f>
        <v>-0.92732047230923287</v>
      </c>
      <c r="O226" s="13"/>
      <c r="P226" s="8">
        <f>SUM(OSRRefP25x_0)</f>
        <v>1435481.17</v>
      </c>
      <c r="Q226" s="8"/>
      <c r="R226" s="14">
        <f t="shared" ref="R226:R231" si="56">IF(P$12=0,0,P226/P$12)</f>
        <v>0.18378243356803614</v>
      </c>
      <c r="S226" s="8"/>
      <c r="T226" s="8">
        <f>SUM(OSRRefT25x_0)</f>
        <v>1454588.11</v>
      </c>
      <c r="U226" s="8"/>
      <c r="V226" s="14">
        <f t="shared" ref="V226:V231" si="57">IF(T$12=0,0,T226/T$12)</f>
        <v>0.26573129424288217</v>
      </c>
      <c r="W226" s="8"/>
      <c r="X226" s="8">
        <f t="shared" ref="X226:X231" si="58">+P226-T226</f>
        <v>-19106.940000000177</v>
      </c>
      <c r="Y226" s="8"/>
      <c r="Z226" s="14">
        <f t="shared" ref="Z226:Z231" si="59">IF(T226=0,0,X226/T226)</f>
        <v>-1.3135636039263496E-2</v>
      </c>
    </row>
    <row r="227" spans="1:26" s="69" customFormat="1" ht="15" hidden="1" customHeight="1" outlineLevel="1" x14ac:dyDescent="0.3">
      <c r="A227" s="47"/>
      <c r="B227" s="9" t="str">
        <f>CONCATENATE("          ","4098"," - ","TAXABLE SALES-GRAD RENTALS")</f>
        <v xml:space="preserve">          4098 - TAXABLE SALES-GRAD RENTALS</v>
      </c>
      <c r="C227" s="9"/>
      <c r="D227" s="3">
        <f>0</f>
        <v>0</v>
      </c>
      <c r="E227" s="3"/>
      <c r="F227" s="26">
        <f t="shared" si="52"/>
        <v>0</v>
      </c>
      <c r="G227" s="3"/>
      <c r="H227" s="3">
        <f>--1017.7</f>
        <v>1017.7</v>
      </c>
      <c r="I227" s="3"/>
      <c r="J227" s="26">
        <f t="shared" si="53"/>
        <v>3.847576246243066E-3</v>
      </c>
      <c r="K227" s="3"/>
      <c r="L227" s="3">
        <f t="shared" si="54"/>
        <v>-1017.7</v>
      </c>
      <c r="M227" s="3"/>
      <c r="N227" s="26">
        <f t="shared" si="55"/>
        <v>-1</v>
      </c>
      <c r="O227" s="9"/>
      <c r="P227" s="3">
        <f>0</f>
        <v>0</v>
      </c>
      <c r="Q227" s="3"/>
      <c r="R227" s="26">
        <f t="shared" si="56"/>
        <v>0</v>
      </c>
      <c r="S227" s="3"/>
      <c r="T227" s="3">
        <f>--1067.65</f>
        <v>1067.6500000000001</v>
      </c>
      <c r="U227" s="3"/>
      <c r="V227" s="26">
        <f t="shared" si="57"/>
        <v>1.9504354143140435E-4</v>
      </c>
      <c r="W227" s="3"/>
      <c r="X227" s="3">
        <f t="shared" si="58"/>
        <v>-1067.6500000000001</v>
      </c>
      <c r="Y227" s="3"/>
      <c r="Z227" s="26">
        <f t="shared" si="59"/>
        <v>-1</v>
      </c>
    </row>
    <row r="228" spans="1:26" s="69" customFormat="1" ht="15" hidden="1" customHeight="1" outlineLevel="1" x14ac:dyDescent="0.3">
      <c r="A228" s="47"/>
      <c r="B228" s="9" t="str">
        <f>CONCATENATE("          ","9150"," - ","MISC. INCOME")</f>
        <v xml:space="preserve">          9150 - MISC. INCOME</v>
      </c>
      <c r="C228" s="9"/>
      <c r="D228" s="3">
        <f>--6862.48</f>
        <v>6862.48</v>
      </c>
      <c r="E228" s="3"/>
      <c r="F228" s="26">
        <f t="shared" si="52"/>
        <v>2.3545849555427337E-2</v>
      </c>
      <c r="G228" s="3"/>
      <c r="H228" s="3">
        <f>--19962.55</f>
        <v>19962.55</v>
      </c>
      <c r="I228" s="3"/>
      <c r="J228" s="26">
        <f t="shared" si="53"/>
        <v>7.547158612011351E-2</v>
      </c>
      <c r="K228" s="3"/>
      <c r="L228" s="3">
        <f t="shared" si="54"/>
        <v>-13100.07</v>
      </c>
      <c r="M228" s="3"/>
      <c r="N228" s="26">
        <f t="shared" si="55"/>
        <v>-0.65623229497233571</v>
      </c>
      <c r="O228" s="9"/>
      <c r="P228" s="3">
        <f>--442058.54</f>
        <v>442058.54</v>
      </c>
      <c r="Q228" s="3"/>
      <c r="R228" s="26">
        <f t="shared" si="56"/>
        <v>5.6596071030825881E-2</v>
      </c>
      <c r="S228" s="3"/>
      <c r="T228" s="3">
        <f>--423382.84</f>
        <v>423382.84</v>
      </c>
      <c r="U228" s="3"/>
      <c r="V228" s="26">
        <f t="shared" si="57"/>
        <v>7.7345654938309027E-2</v>
      </c>
      <c r="W228" s="3"/>
      <c r="X228" s="3">
        <f t="shared" si="58"/>
        <v>18675.699999999953</v>
      </c>
      <c r="Y228" s="3"/>
      <c r="Z228" s="26">
        <f t="shared" si="59"/>
        <v>4.4110668254764299E-2</v>
      </c>
    </row>
    <row r="229" spans="1:26" s="69" customFormat="1" ht="15" hidden="1" customHeight="1" outlineLevel="1" x14ac:dyDescent="0.3">
      <c r="A229" s="47"/>
      <c r="B229" s="9" t="str">
        <f>CONCATENATE("          ","9151"," - ","MISC. INCOME")</f>
        <v xml:space="preserve">          9151 - MISC. INCOME</v>
      </c>
      <c r="C229" s="9"/>
      <c r="D229" s="3">
        <f>--4094.51</f>
        <v>4094.51</v>
      </c>
      <c r="E229" s="3"/>
      <c r="F229" s="26">
        <f t="shared" si="52"/>
        <v>1.4048669936115339E-2</v>
      </c>
      <c r="G229" s="3"/>
      <c r="H229" s="3">
        <f>0</f>
        <v>0</v>
      </c>
      <c r="I229" s="3"/>
      <c r="J229" s="26">
        <f t="shared" si="53"/>
        <v>0</v>
      </c>
      <c r="K229" s="3"/>
      <c r="L229" s="3">
        <f t="shared" si="54"/>
        <v>4094.51</v>
      </c>
      <c r="M229" s="3"/>
      <c r="N229" s="26">
        <f t="shared" si="55"/>
        <v>0</v>
      </c>
      <c r="O229" s="9"/>
      <c r="P229" s="3">
        <f>--328482.25</f>
        <v>328482.25</v>
      </c>
      <c r="Q229" s="3"/>
      <c r="R229" s="26">
        <f t="shared" si="56"/>
        <v>4.2055074319716806E-2</v>
      </c>
      <c r="S229" s="3"/>
      <c r="T229" s="3">
        <f>--295628.46</f>
        <v>295628.46000000002</v>
      </c>
      <c r="U229" s="3"/>
      <c r="V229" s="26">
        <f t="shared" si="57"/>
        <v>5.4006857852584897E-2</v>
      </c>
      <c r="W229" s="3"/>
      <c r="X229" s="3">
        <f t="shared" si="58"/>
        <v>32853.789999999979</v>
      </c>
      <c r="Y229" s="3"/>
      <c r="Z229" s="26">
        <f t="shared" si="59"/>
        <v>0.1111320270044365</v>
      </c>
    </row>
    <row r="230" spans="1:26" s="69" customFormat="1" ht="15" hidden="1" customHeight="1" outlineLevel="1" x14ac:dyDescent="0.3">
      <c r="A230" s="47"/>
      <c r="B230" s="9" t="str">
        <f>CONCATENATE("          ","9152"," - ","MISC. INCOME")</f>
        <v xml:space="preserve">          9152 - MISC. INCOME</v>
      </c>
      <c r="C230" s="9"/>
      <c r="D230" s="3">
        <f>--221.07</f>
        <v>221.07</v>
      </c>
      <c r="E230" s="3"/>
      <c r="F230" s="26">
        <f t="shared" si="52"/>
        <v>7.5851309748346395E-4</v>
      </c>
      <c r="G230" s="3"/>
      <c r="H230" s="3">
        <f>--1755.54</f>
        <v>1755.54</v>
      </c>
      <c r="I230" s="3"/>
      <c r="J230" s="26">
        <f t="shared" si="53"/>
        <v>6.6370973797087078E-3</v>
      </c>
      <c r="K230" s="3"/>
      <c r="L230" s="3">
        <f t="shared" si="54"/>
        <v>-1534.47</v>
      </c>
      <c r="M230" s="3"/>
      <c r="N230" s="26">
        <f t="shared" si="55"/>
        <v>-0.87407293482347315</v>
      </c>
      <c r="O230" s="9"/>
      <c r="P230" s="3">
        <f>--5468.18</f>
        <v>5468.18</v>
      </c>
      <c r="Q230" s="3"/>
      <c r="R230" s="26">
        <f t="shared" si="56"/>
        <v>7.0008262636288288E-4</v>
      </c>
      <c r="S230" s="3"/>
      <c r="T230" s="3">
        <f>--7408.11</f>
        <v>7408.11</v>
      </c>
      <c r="U230" s="3"/>
      <c r="V230" s="26">
        <f t="shared" si="57"/>
        <v>1.3533498896767674E-3</v>
      </c>
      <c r="W230" s="3"/>
      <c r="X230" s="3">
        <f t="shared" si="58"/>
        <v>-1939.9299999999994</v>
      </c>
      <c r="Y230" s="3"/>
      <c r="Z230" s="26">
        <f t="shared" si="59"/>
        <v>-0.26186571203721321</v>
      </c>
    </row>
    <row r="231" spans="1:26" s="69" customFormat="1" ht="15" hidden="1" customHeight="1" outlineLevel="1" x14ac:dyDescent="0.3">
      <c r="A231" s="47"/>
      <c r="B231" s="9" t="str">
        <f>CONCATENATE("          ","9163"," - ","MISC. INCOME")</f>
        <v xml:space="preserve">          9163 - MISC. INCOME</v>
      </c>
      <c r="C231" s="9"/>
      <c r="D231" s="3">
        <f>--18002.5</f>
        <v>18002.5</v>
      </c>
      <c r="E231" s="3"/>
      <c r="F231" s="26">
        <f t="shared" si="52"/>
        <v>6.1768363131343283E-2</v>
      </c>
      <c r="G231" s="3"/>
      <c r="H231" s="3">
        <f>--378760.49</f>
        <v>378760.49</v>
      </c>
      <c r="I231" s="3"/>
      <c r="J231" s="26">
        <f t="shared" si="53"/>
        <v>1.4319640997733951</v>
      </c>
      <c r="K231" s="3"/>
      <c r="L231" s="3">
        <f t="shared" si="54"/>
        <v>-360757.99</v>
      </c>
      <c r="M231" s="3"/>
      <c r="N231" s="26">
        <f t="shared" si="55"/>
        <v>-0.95246996327415245</v>
      </c>
      <c r="O231" s="9"/>
      <c r="P231" s="3">
        <f>--659472.2</f>
        <v>659472.19999999995</v>
      </c>
      <c r="Q231" s="3"/>
      <c r="R231" s="26">
        <f t="shared" si="56"/>
        <v>8.4431205591130556E-2</v>
      </c>
      <c r="S231" s="3"/>
      <c r="T231" s="3">
        <f>--727101.05</f>
        <v>727101.05</v>
      </c>
      <c r="U231" s="3"/>
      <c r="V231" s="26">
        <f t="shared" si="57"/>
        <v>0.13283038802088007</v>
      </c>
      <c r="W231" s="3"/>
      <c r="X231" s="3">
        <f t="shared" si="58"/>
        <v>-67628.850000000093</v>
      </c>
      <c r="Y231" s="3"/>
      <c r="Z231" s="26">
        <f t="shared" si="59"/>
        <v>-9.3011624725339193E-2</v>
      </c>
    </row>
    <row r="232" spans="1:26" ht="15" customHeight="1" x14ac:dyDescent="0.3">
      <c r="A232" s="12"/>
      <c r="B232" s="13"/>
      <c r="C232" s="13"/>
      <c r="D232" s="4"/>
      <c r="E232" s="4"/>
      <c r="F232" s="10"/>
      <c r="G232" s="4"/>
      <c r="H232" s="4"/>
      <c r="I232" s="4"/>
      <c r="J232" s="10"/>
      <c r="K232" s="4"/>
      <c r="L232" s="4"/>
      <c r="M232" s="4"/>
      <c r="N232" s="10"/>
      <c r="O232" s="13"/>
      <c r="P232" s="4"/>
      <c r="Q232" s="4"/>
      <c r="R232" s="10"/>
      <c r="S232" s="4"/>
      <c r="T232" s="4"/>
      <c r="U232" s="4"/>
      <c r="V232" s="10"/>
      <c r="W232" s="4"/>
      <c r="X232" s="4"/>
      <c r="Y232" s="4"/>
      <c r="Z232" s="10"/>
    </row>
    <row r="233" spans="1:26" s="62" customFormat="1" ht="15" customHeight="1" x14ac:dyDescent="0.3">
      <c r="A233" s="13"/>
      <c r="B233" s="28" t="s">
        <v>291</v>
      </c>
      <c r="C233" s="28"/>
      <c r="D233" s="22">
        <f>+D134-D136+D226</f>
        <v>-349534.93000000011</v>
      </c>
      <c r="E233" s="15"/>
      <c r="F233" s="24">
        <f>IF(D$12=0,0,D233/D$12)</f>
        <v>-1.1992890144884689</v>
      </c>
      <c r="G233" s="15"/>
      <c r="H233" s="22">
        <f>+H134-H136+H226</f>
        <v>153233.36000000007</v>
      </c>
      <c r="I233" s="15"/>
      <c r="J233" s="24">
        <f>IF(H$12=0,0,H233/H$12)</f>
        <v>0.57932301863811797</v>
      </c>
      <c r="K233" s="17"/>
      <c r="L233" s="22">
        <f>+D233-H233</f>
        <v>-502768.29000000015</v>
      </c>
      <c r="M233" s="17"/>
      <c r="N233" s="24">
        <f>IF(H233=0,0,L233/H233)</f>
        <v>-3.2810628834347817</v>
      </c>
      <c r="O233" s="27"/>
      <c r="P233" s="22">
        <f>+P134-P136+P226</f>
        <v>964589.11000000173</v>
      </c>
      <c r="Q233" s="15"/>
      <c r="R233" s="24">
        <f>IF(P$12=0,0,P233/P$12)</f>
        <v>0.12349485157581441</v>
      </c>
      <c r="S233" s="15"/>
      <c r="T233" s="22">
        <f>+T134-T136+T226</f>
        <v>353880.28999999608</v>
      </c>
      <c r="U233" s="15"/>
      <c r="V233" s="24">
        <f>IF(T$12=0,0,T233/T$12)</f>
        <v>6.4648588024513287E-2</v>
      </c>
      <c r="W233" s="17"/>
      <c r="X233" s="22">
        <f>+P233-T233</f>
        <v>610708.82000000565</v>
      </c>
      <c r="Y233" s="17"/>
      <c r="Z233" s="24">
        <f>IF(T233=0,0,X233/T233)</f>
        <v>1.7257497443556757</v>
      </c>
    </row>
    <row r="234" spans="1:26" ht="15" customHeight="1" x14ac:dyDescent="0.3">
      <c r="A234" s="12"/>
      <c r="B234" s="13"/>
      <c r="C234" s="12"/>
      <c r="D234" s="4"/>
      <c r="E234" s="4"/>
      <c r="F234" s="10"/>
      <c r="G234" s="4"/>
      <c r="H234" s="4"/>
      <c r="I234" s="4"/>
      <c r="J234" s="10"/>
      <c r="K234" s="4"/>
      <c r="L234" s="4"/>
      <c r="M234" s="4"/>
      <c r="N234" s="10"/>
      <c r="P234" s="4"/>
      <c r="Q234" s="4"/>
      <c r="R234" s="10"/>
      <c r="S234" s="4"/>
      <c r="T234" s="4"/>
      <c r="U234" s="4"/>
      <c r="V234" s="10"/>
      <c r="W234" s="4"/>
      <c r="X234" s="4"/>
      <c r="Y234" s="4"/>
      <c r="Z234" s="10"/>
    </row>
    <row r="235" spans="1:26" s="62" customFormat="1" ht="15" customHeight="1" x14ac:dyDescent="0.3">
      <c r="A235" s="48"/>
      <c r="B235" s="13" t="s">
        <v>292</v>
      </c>
      <c r="C235" s="13"/>
      <c r="D235" s="8">
        <v>-1745854.32</v>
      </c>
      <c r="E235" s="8"/>
      <c r="F235" s="14">
        <f>IF(D$12=0,0,D235/D$12)</f>
        <v>-5.9901993396575142</v>
      </c>
      <c r="G235" s="8"/>
      <c r="H235" s="8">
        <v>401948.11</v>
      </c>
      <c r="I235" s="8"/>
      <c r="J235" s="14">
        <f>IF(H$12=0,0,H235/H$12)</f>
        <v>1.519628574489825</v>
      </c>
      <c r="K235" s="8"/>
      <c r="L235" s="8">
        <f>+D235-H235</f>
        <v>-2147802.4300000002</v>
      </c>
      <c r="M235" s="8"/>
      <c r="N235" s="14">
        <f>IF(H235=0,0,L235/H235)</f>
        <v>-5.343481848938163</v>
      </c>
      <c r="O235" s="13"/>
      <c r="P235" s="8">
        <v>-900493.01</v>
      </c>
      <c r="Q235" s="8"/>
      <c r="R235" s="14">
        <f>IF(P$12=0,0,P235/P$12)</f>
        <v>-0.11528872704669885</v>
      </c>
      <c r="S235" s="8"/>
      <c r="T235" s="8">
        <v>1515147.88</v>
      </c>
      <c r="U235" s="8"/>
      <c r="V235" s="14">
        <f>IF(T$12=0,0,T235/T$12)</f>
        <v>0.27679465022009497</v>
      </c>
      <c r="W235" s="8"/>
      <c r="X235" s="8">
        <f>+P235-T235</f>
        <v>-2415640.8899999997</v>
      </c>
      <c r="Y235" s="8"/>
      <c r="Z235" s="14">
        <f>IF(T235=0,0,X235/T235)</f>
        <v>-1.5943268125088885</v>
      </c>
    </row>
    <row r="236" spans="1:26" ht="15" customHeight="1" x14ac:dyDescent="0.3">
      <c r="A236" s="12"/>
      <c r="B236" s="13"/>
      <c r="C236" s="13"/>
      <c r="D236" s="4"/>
      <c r="E236" s="4"/>
      <c r="F236" s="10"/>
      <c r="G236" s="4"/>
      <c r="H236" s="4"/>
      <c r="I236" s="4"/>
      <c r="J236" s="10"/>
      <c r="K236" s="4"/>
      <c r="L236" s="4"/>
      <c r="M236" s="4"/>
      <c r="N236" s="10"/>
      <c r="O236" s="13"/>
      <c r="P236" s="4"/>
      <c r="Q236" s="4"/>
      <c r="R236" s="10"/>
      <c r="S236" s="4"/>
      <c r="T236" s="4"/>
      <c r="U236" s="4"/>
      <c r="V236" s="10"/>
      <c r="W236" s="4"/>
      <c r="X236" s="4"/>
      <c r="Y236" s="4"/>
      <c r="Z236" s="10"/>
    </row>
    <row r="237" spans="1:26" s="62" customFormat="1" ht="15" customHeight="1" x14ac:dyDescent="0.3">
      <c r="A237" s="13"/>
      <c r="B237" s="28" t="s">
        <v>293</v>
      </c>
      <c r="C237" s="28"/>
      <c r="D237" s="29">
        <f>+D233-D235</f>
        <v>1396319.39</v>
      </c>
      <c r="E237" s="15"/>
      <c r="F237" s="31">
        <f>IF(D$12=0,0,D237/D$12)</f>
        <v>4.7909103251690448</v>
      </c>
      <c r="G237" s="15"/>
      <c r="H237" s="29">
        <f>+H233-H235</f>
        <v>-248714.74999999991</v>
      </c>
      <c r="I237" s="15"/>
      <c r="J237" s="31">
        <f>IF(H$12=0,0,H237/H$12)</f>
        <v>-0.94030555585170705</v>
      </c>
      <c r="K237" s="17"/>
      <c r="L237" s="29">
        <f>D237-H237</f>
        <v>1645034.14</v>
      </c>
      <c r="M237" s="17"/>
      <c r="N237" s="31">
        <f>IF(H237=0,0,L237/H237)</f>
        <v>-6.6141398529841933</v>
      </c>
      <c r="O237" s="27"/>
      <c r="P237" s="29">
        <f>+P233-P235</f>
        <v>1865082.1200000017</v>
      </c>
      <c r="Q237" s="15"/>
      <c r="R237" s="31">
        <f>IF(P$12=0,0,P237/P$12)</f>
        <v>0.23878357862251326</v>
      </c>
      <c r="S237" s="15"/>
      <c r="T237" s="29">
        <f>+T233-T235</f>
        <v>-1161267.5900000038</v>
      </c>
      <c r="U237" s="15"/>
      <c r="V237" s="31">
        <f>IF(T$12=0,0,T237/T$12)</f>
        <v>-0.21214606219558171</v>
      </c>
      <c r="W237" s="17"/>
      <c r="X237" s="29">
        <f>P237-T237</f>
        <v>3026349.7100000056</v>
      </c>
      <c r="Y237" s="17"/>
      <c r="Z237" s="31">
        <f>IF(T237=0,0,X237/T237)</f>
        <v>-2.6060743760187051</v>
      </c>
    </row>
    <row r="238" spans="1:26" ht="15" customHeight="1" x14ac:dyDescent="0.3">
      <c r="A238" s="12"/>
      <c r="B238" s="12"/>
      <c r="C238" s="12"/>
      <c r="D238" s="4"/>
      <c r="E238" s="4"/>
      <c r="F238" s="10"/>
      <c r="G238" s="4"/>
      <c r="H238" s="4"/>
      <c r="I238" s="4"/>
      <c r="J238" s="10"/>
      <c r="K238" s="4"/>
      <c r="L238" s="4"/>
      <c r="M238" s="4"/>
      <c r="N238" s="10"/>
      <c r="P238" s="4"/>
      <c r="Q238" s="4"/>
      <c r="R238" s="10"/>
      <c r="S238" s="4"/>
      <c r="T238" s="4"/>
      <c r="U238" s="4"/>
      <c r="V238" s="10"/>
      <c r="W238" s="4"/>
      <c r="X238" s="4"/>
      <c r="Y238" s="4"/>
      <c r="Z238" s="10"/>
    </row>
    <row r="239" spans="1:26" ht="15" customHeight="1" x14ac:dyDescent="0.3">
      <c r="A239" s="12"/>
      <c r="B239" s="12"/>
      <c r="C239" s="12"/>
      <c r="D239" s="4"/>
      <c r="E239" s="4"/>
      <c r="F239" s="10"/>
      <c r="G239" s="4"/>
      <c r="H239" s="4"/>
      <c r="I239" s="4"/>
      <c r="J239" s="10"/>
      <c r="K239" s="4"/>
      <c r="L239" s="4"/>
      <c r="M239" s="4"/>
      <c r="N239" s="10"/>
      <c r="P239" s="4"/>
      <c r="Q239" s="4"/>
      <c r="R239" s="10"/>
      <c r="S239" s="4"/>
      <c r="T239" s="4"/>
      <c r="U239" s="4"/>
      <c r="V239" s="10"/>
      <c r="W239" s="4"/>
      <c r="X239" s="4"/>
      <c r="Y239" s="4"/>
      <c r="Z239" s="10"/>
    </row>
    <row r="240" spans="1:26" s="62" customFormat="1" ht="15" customHeight="1" x14ac:dyDescent="0.3">
      <c r="A240" s="13"/>
      <c r="B240" s="28" t="s">
        <v>296</v>
      </c>
      <c r="C240" s="28"/>
      <c r="D240" s="30">
        <f>SUM(D237:D239)</f>
        <v>1396319.39</v>
      </c>
      <c r="E240" s="15"/>
      <c r="F240" s="35">
        <f>IF(D$12=0,0,D240/D$12)</f>
        <v>4.7909103251690448</v>
      </c>
      <c r="G240" s="15"/>
      <c r="H240" s="30">
        <f>SUM(H237:H239)</f>
        <v>-248714.74999999991</v>
      </c>
      <c r="I240" s="15"/>
      <c r="J240" s="35">
        <f>IF(H$12=0,0,H240/H$12)</f>
        <v>-0.94030555585170705</v>
      </c>
      <c r="K240" s="17"/>
      <c r="L240" s="30">
        <f>+D240-H240</f>
        <v>1645034.14</v>
      </c>
      <c r="M240" s="17"/>
      <c r="N240" s="35">
        <f>IF(H240=0,0,L240/H240)</f>
        <v>-6.6141398529841933</v>
      </c>
      <c r="O240" s="27"/>
      <c r="P240" s="30">
        <f>SUM(P237:P239)</f>
        <v>1865082.1200000017</v>
      </c>
      <c r="Q240" s="15"/>
      <c r="R240" s="35">
        <f>IF(P$12=0,0,P240/P$12)</f>
        <v>0.23878357862251326</v>
      </c>
      <c r="S240" s="15"/>
      <c r="T240" s="30">
        <f>SUM(T237:T239)</f>
        <v>-1161267.5900000038</v>
      </c>
      <c r="U240" s="15"/>
      <c r="V240" s="35">
        <f>IF(T$12=0,0,T240/T$12)</f>
        <v>-0.21214606219558171</v>
      </c>
      <c r="W240" s="17"/>
      <c r="X240" s="30">
        <f>+P240-T240</f>
        <v>3026349.7100000056</v>
      </c>
      <c r="Y240" s="17"/>
      <c r="Z240" s="35">
        <f>IF(T240=0,0,X240/T240)</f>
        <v>-2.6060743760187051</v>
      </c>
    </row>
    <row r="241" spans="1:24" ht="15" customHeight="1" x14ac:dyDescent="0.3">
      <c r="A241" s="12"/>
      <c r="C241" s="12"/>
      <c r="D241" s="19"/>
      <c r="E241" s="19"/>
      <c r="G241" s="19"/>
      <c r="H241" s="19"/>
      <c r="I241" s="19"/>
      <c r="J241" s="41"/>
      <c r="K241" s="19"/>
      <c r="L241" s="19"/>
      <c r="M241" s="19"/>
      <c r="P241" s="19"/>
      <c r="Q241" s="19"/>
      <c r="R241" s="41"/>
      <c r="S241" s="19"/>
      <c r="T241" s="19"/>
      <c r="U241" s="19"/>
      <c r="V241" s="41"/>
      <c r="W241" s="19"/>
      <c r="X241" s="19"/>
    </row>
    <row r="242" spans="1:24" ht="15" customHeight="1" x14ac:dyDescent="0.3">
      <c r="A242" s="12"/>
      <c r="B242" s="54">
        <v>44767.815829282408</v>
      </c>
      <c r="D242" s="19"/>
      <c r="E242" s="19"/>
      <c r="G242" s="19"/>
      <c r="H242" s="19"/>
      <c r="I242" s="19"/>
      <c r="J242" s="41"/>
      <c r="K242" s="19"/>
      <c r="L242" s="19"/>
      <c r="M242" s="19"/>
      <c r="P242" s="19"/>
      <c r="Q242" s="19"/>
      <c r="R242" s="41"/>
      <c r="S242" s="19"/>
      <c r="T242" s="19"/>
      <c r="U242" s="19"/>
      <c r="V242" s="41"/>
      <c r="W242" s="19"/>
      <c r="X242" s="19"/>
    </row>
    <row r="243" spans="1:24" ht="15" customHeight="1" x14ac:dyDescent="0.3">
      <c r="A243" s="12"/>
      <c r="B243" s="53" t="s">
        <v>297</v>
      </c>
      <c r="D243" s="19"/>
      <c r="E243" s="19"/>
      <c r="G243" s="19"/>
      <c r="H243" s="19"/>
      <c r="I243" s="19"/>
      <c r="J243" s="41"/>
      <c r="K243" s="19"/>
      <c r="L243" s="19"/>
      <c r="M243" s="19"/>
      <c r="P243" s="19"/>
      <c r="Q243" s="19"/>
      <c r="R243" s="41"/>
      <c r="S243" s="19"/>
      <c r="T243" s="19"/>
      <c r="U243" s="19"/>
      <c r="V243" s="41"/>
      <c r="W243" s="19"/>
      <c r="X243" s="19"/>
    </row>
    <row r="244" spans="1:24" ht="15" customHeight="1" x14ac:dyDescent="0.3">
      <c r="A244" s="12"/>
      <c r="B244" s="51"/>
      <c r="D244" s="19"/>
      <c r="E244" s="19"/>
      <c r="G244" s="19"/>
      <c r="H244" s="19"/>
      <c r="I244" s="19"/>
      <c r="J244" s="41"/>
      <c r="K244" s="19"/>
      <c r="L244" s="19"/>
      <c r="M244" s="19"/>
      <c r="P244" s="19"/>
      <c r="Q244" s="19"/>
      <c r="R244" s="41"/>
      <c r="S244" s="19"/>
      <c r="T244" s="19"/>
      <c r="U244" s="19"/>
      <c r="V244" s="41"/>
      <c r="W244" s="19"/>
      <c r="X244" s="19"/>
    </row>
    <row r="245" spans="1:24" ht="15" customHeight="1" x14ac:dyDescent="0.3">
      <c r="D245" s="19"/>
      <c r="E245" s="19"/>
      <c r="G245" s="19"/>
      <c r="H245" s="19"/>
      <c r="I245" s="19"/>
      <c r="J245" s="41"/>
      <c r="K245" s="19"/>
      <c r="L245" s="19"/>
      <c r="M245" s="19"/>
      <c r="P245" s="19"/>
      <c r="Q245" s="19"/>
      <c r="R245" s="41"/>
      <c r="S245" s="19"/>
      <c r="T245" s="19"/>
      <c r="U245" s="19"/>
      <c r="V245" s="41"/>
      <c r="W245" s="19"/>
      <c r="X24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47054-DE33-C58C-BC3D-67E509F3391D}">
  <sheetPr>
    <tabColor theme="5" tint="0.39997558519241921"/>
    <outlinePr summaryBelow="0" summaryRight="0"/>
  </sheetPr>
  <dimension ref="A2:Z26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690595.73999999987</v>
      </c>
      <c r="E12" s="8"/>
      <c r="F12" s="14"/>
      <c r="G12" s="8"/>
      <c r="H12" s="8">
        <f>SUM(OSRRefH13x_0)</f>
        <v>329186.08999999997</v>
      </c>
      <c r="I12" s="8"/>
      <c r="J12" s="14"/>
      <c r="K12" s="8"/>
      <c r="L12" s="8">
        <f t="shared" ref="L12:L43" si="0">+D12-H12</f>
        <v>361409.64999999991</v>
      </c>
      <c r="M12" s="8"/>
      <c r="N12" s="14">
        <f t="shared" ref="N12:N43" si="1">IF(H12=0,0,L12/H12)</f>
        <v>1.097888583323797</v>
      </c>
      <c r="O12" s="13"/>
      <c r="P12" s="8">
        <f>SUM(OSRRefP13x_0)</f>
        <v>10694311.77</v>
      </c>
      <c r="Q12" s="8"/>
      <c r="R12" s="14"/>
      <c r="S12" s="8"/>
      <c r="T12" s="8">
        <f>SUM(OSRRefT13x_0)</f>
        <v>8111152.3499999968</v>
      </c>
      <c r="U12" s="8"/>
      <c r="V12" s="14"/>
      <c r="W12" s="8"/>
      <c r="X12" s="8">
        <f t="shared" ref="X12:X43" si="2">+P12-T12</f>
        <v>2583159.4200000027</v>
      </c>
      <c r="Y12" s="8"/>
      <c r="Z12" s="14">
        <f t="shared" ref="Z12:Z43" si="3">IF(T12=0,0,X12/T12)</f>
        <v>0.31847009013460381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--832927.14</f>
        <v>832927.14</v>
      </c>
      <c r="E13" s="3"/>
      <c r="F13" s="26"/>
      <c r="G13" s="3"/>
      <c r="H13" s="3">
        <f>-6674.19</f>
        <v>-6674.19</v>
      </c>
      <c r="I13" s="3"/>
      <c r="J13" s="26"/>
      <c r="K13" s="3"/>
      <c r="L13" s="3">
        <f t="shared" si="0"/>
        <v>839601.33</v>
      </c>
      <c r="M13" s="3"/>
      <c r="N13" s="26">
        <f t="shared" si="1"/>
        <v>-125.79823619045906</v>
      </c>
      <c r="O13" s="9"/>
      <c r="P13" s="3">
        <f>--9753856.66</f>
        <v>9753856.6600000001</v>
      </c>
      <c r="Q13" s="3"/>
      <c r="R13" s="26"/>
      <c r="S13" s="3"/>
      <c r="T13" s="3">
        <f>-154087.13</f>
        <v>-154087.13</v>
      </c>
      <c r="U13" s="3"/>
      <c r="V13" s="26"/>
      <c r="W13" s="3"/>
      <c r="X13" s="3">
        <f t="shared" si="2"/>
        <v>9907943.790000001</v>
      </c>
      <c r="Y13" s="3"/>
      <c r="Z13" s="26">
        <f t="shared" si="3"/>
        <v>-64.300917214825148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--9691.34</f>
        <v>9691.34</v>
      </c>
      <c r="I14" s="3"/>
      <c r="J14" s="26"/>
      <c r="K14" s="3"/>
      <c r="L14" s="3">
        <f t="shared" si="0"/>
        <v>-9691.34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--1308779.9</f>
        <v>1308779.8999999999</v>
      </c>
      <c r="U14" s="3"/>
      <c r="V14" s="26"/>
      <c r="W14" s="3"/>
      <c r="X14" s="3">
        <f t="shared" si="2"/>
        <v>-1308779.8999999999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--6642.8</f>
        <v>6642.8</v>
      </c>
      <c r="I15" s="3"/>
      <c r="J15" s="26"/>
      <c r="K15" s="3"/>
      <c r="L15" s="3">
        <f t="shared" si="0"/>
        <v>-6642.8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--596913.27</f>
        <v>596913.27</v>
      </c>
      <c r="U15" s="3"/>
      <c r="V15" s="26"/>
      <c r="W15" s="3"/>
      <c r="X15" s="3">
        <f t="shared" si="2"/>
        <v>-596913.27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","4026"," - ","TAXABLE SALES-WRITING INSTRUME")</f>
        <v xml:space="preserve">          4026 - TAXABLE SALES-WRITING INSTRUME</v>
      </c>
      <c r="C21" s="9"/>
      <c r="D21" s="3">
        <f>0</f>
        <v>0</v>
      </c>
      <c r="E21" s="3"/>
      <c r="F21" s="26"/>
      <c r="G21" s="3"/>
      <c r="H21" s="3">
        <f>--25.1</f>
        <v>25.1</v>
      </c>
      <c r="I21" s="3"/>
      <c r="J21" s="26"/>
      <c r="K21" s="3"/>
      <c r="L21" s="3">
        <f t="shared" si="0"/>
        <v>-25.1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--547.64</f>
        <v>547.64</v>
      </c>
      <c r="U21" s="3"/>
      <c r="V21" s="26"/>
      <c r="W21" s="3"/>
      <c r="X21" s="3">
        <f t="shared" si="2"/>
        <v>-547.64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","4027"," - ","TAXABLE SALES-SCHOOL SUPPLIES")</f>
        <v xml:space="preserve">          4027 - TAXABLE SALES-SCHOOL SUPPLIES</v>
      </c>
      <c r="C22" s="9"/>
      <c r="D22" s="3">
        <f>0</f>
        <v>0</v>
      </c>
      <c r="E22" s="3"/>
      <c r="F22" s="26"/>
      <c r="G22" s="3"/>
      <c r="H22" s="3">
        <f>--3459.71</f>
        <v>3459.71</v>
      </c>
      <c r="I22" s="3"/>
      <c r="J22" s="26"/>
      <c r="K22" s="3"/>
      <c r="L22" s="3">
        <f t="shared" si="0"/>
        <v>-3459.71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--73564</f>
        <v>73564</v>
      </c>
      <c r="U22" s="3"/>
      <c r="V22" s="26"/>
      <c r="W22" s="3"/>
      <c r="X22" s="3">
        <f t="shared" si="2"/>
        <v>-73564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","4028"," - ","TAXABLE SALES-ART/TECH")</f>
        <v xml:space="preserve">          4028 - TAXABLE SALES-ART/TECH</v>
      </c>
      <c r="C23" s="9"/>
      <c r="D23" s="3">
        <f>0</f>
        <v>0</v>
      </c>
      <c r="E23" s="3"/>
      <c r="F23" s="26"/>
      <c r="G23" s="3"/>
      <c r="H23" s="3">
        <f>--2312.88</f>
        <v>2312.88</v>
      </c>
      <c r="I23" s="3"/>
      <c r="J23" s="26"/>
      <c r="K23" s="3"/>
      <c r="L23" s="3">
        <f t="shared" si="0"/>
        <v>-2312.88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--50708.2</f>
        <v>50708.2</v>
      </c>
      <c r="U23" s="3"/>
      <c r="V23" s="26"/>
      <c r="W23" s="3"/>
      <c r="X23" s="3">
        <f t="shared" si="2"/>
        <v>-50708.2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","4031"," - ","TAXABLE SALES-FOOD")</f>
        <v xml:space="preserve">          4031 - TAXABLE SALES-FOOD</v>
      </c>
      <c r="C24" s="9"/>
      <c r="D24" s="3">
        <f>0</f>
        <v>0</v>
      </c>
      <c r="E24" s="3"/>
      <c r="F24" s="26"/>
      <c r="G24" s="3"/>
      <c r="H24" s="3">
        <f>--380.76</f>
        <v>380.76</v>
      </c>
      <c r="I24" s="3"/>
      <c r="J24" s="26"/>
      <c r="K24" s="3"/>
      <c r="L24" s="3">
        <f t="shared" si="0"/>
        <v>-380.76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--5081.47</f>
        <v>5081.47</v>
      </c>
      <c r="U24" s="3"/>
      <c r="V24" s="26"/>
      <c r="W24" s="3"/>
      <c r="X24" s="3">
        <f t="shared" si="2"/>
        <v>-5081.47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","4034"," - ","TAXABLE SALES-SODA")</f>
        <v xml:space="preserve">          4034 - TAXABLE SALES-SODA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--6.78</f>
        <v>6.78</v>
      </c>
      <c r="U25" s="3"/>
      <c r="V25" s="26"/>
      <c r="W25" s="3"/>
      <c r="X25" s="3">
        <f t="shared" si="2"/>
        <v>-6.78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","4040"," - ","TAXABLE SALES-LOGO CLOTHING")</f>
        <v xml:space="preserve">          4040 - TAXABLE SALES-LOGO CLOTHING</v>
      </c>
      <c r="C26" s="9"/>
      <c r="D26" s="3">
        <f>0</f>
        <v>0</v>
      </c>
      <c r="E26" s="3"/>
      <c r="F26" s="26"/>
      <c r="G26" s="3"/>
      <c r="H26" s="3">
        <f>--109798.76</f>
        <v>109798.76</v>
      </c>
      <c r="I26" s="3"/>
      <c r="J26" s="26"/>
      <c r="K26" s="3"/>
      <c r="L26" s="3">
        <f t="shared" si="0"/>
        <v>-109798.76</v>
      </c>
      <c r="M26" s="3"/>
      <c r="N26" s="26">
        <f t="shared" si="1"/>
        <v>-1</v>
      </c>
      <c r="O26" s="9"/>
      <c r="P26" s="3">
        <f>0</f>
        <v>0</v>
      </c>
      <c r="Q26" s="3"/>
      <c r="R26" s="26"/>
      <c r="S26" s="3"/>
      <c r="T26" s="3">
        <f>--1210378.91</f>
        <v>1210378.9099999999</v>
      </c>
      <c r="U26" s="3"/>
      <c r="V26" s="26"/>
      <c r="W26" s="3"/>
      <c r="X26" s="3">
        <f t="shared" si="2"/>
        <v>-1210378.9099999999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","4041"," - ","TAXABLE SALES-LOGO GIFTS")</f>
        <v xml:space="preserve">          4041 - TAXABLE SALES-LOGO GIFTS</v>
      </c>
      <c r="C27" s="9"/>
      <c r="D27" s="3">
        <f>0</f>
        <v>0</v>
      </c>
      <c r="E27" s="3"/>
      <c r="F27" s="26"/>
      <c r="G27" s="3"/>
      <c r="H27" s="3">
        <f>--80467.62</f>
        <v>80467.62</v>
      </c>
      <c r="I27" s="3"/>
      <c r="J27" s="26"/>
      <c r="K27" s="3"/>
      <c r="L27" s="3">
        <f t="shared" si="0"/>
        <v>-80467.62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--712240.21</f>
        <v>712240.21</v>
      </c>
      <c r="U27" s="3"/>
      <c r="V27" s="26"/>
      <c r="W27" s="3"/>
      <c r="X27" s="3">
        <f t="shared" si="2"/>
        <v>-712240.21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","4042"," - ","TAXABLE SALES-EVERYDAY GIFTS")</f>
        <v xml:space="preserve">          4042 - TAXABLE SALES-EVERYDAY GIFTS</v>
      </c>
      <c r="C28" s="9"/>
      <c r="D28" s="3">
        <f>0</f>
        <v>0</v>
      </c>
      <c r="E28" s="3"/>
      <c r="F28" s="26"/>
      <c r="G28" s="3"/>
      <c r="H28" s="3">
        <f>--7345.28</f>
        <v>7345.28</v>
      </c>
      <c r="I28" s="3"/>
      <c r="J28" s="26"/>
      <c r="K28" s="3"/>
      <c r="L28" s="3">
        <f t="shared" si="0"/>
        <v>-7345.28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--116251.83</f>
        <v>116251.83</v>
      </c>
      <c r="U28" s="3"/>
      <c r="V28" s="26"/>
      <c r="W28" s="3"/>
      <c r="X28" s="3">
        <f t="shared" si="2"/>
        <v>-116251.83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","4043"," - ","TAXABLE SALES-CARDS")</f>
        <v xml:space="preserve">          4043 - TAXABLE SALES-CARDS</v>
      </c>
      <c r="C29" s="9"/>
      <c r="D29" s="3">
        <f>0</f>
        <v>0</v>
      </c>
      <c r="E29" s="3"/>
      <c r="F29" s="26"/>
      <c r="G29" s="3"/>
      <c r="H29" s="3">
        <f>--2949.38</f>
        <v>2949.38</v>
      </c>
      <c r="I29" s="3"/>
      <c r="J29" s="26"/>
      <c r="K29" s="3"/>
      <c r="L29" s="3">
        <f t="shared" si="0"/>
        <v>-2949.38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--147027.05</f>
        <v>147027.04999999999</v>
      </c>
      <c r="U29" s="3"/>
      <c r="V29" s="26"/>
      <c r="W29" s="3"/>
      <c r="X29" s="3">
        <f t="shared" si="2"/>
        <v>-147027.04999999999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","4044"," - ","TAXABLE SALES-ACCESSORIES")</f>
        <v xml:space="preserve">          4044 - TAXABLE SALES-ACCESSORIES</v>
      </c>
      <c r="C30" s="9"/>
      <c r="D30" s="3">
        <f>0</f>
        <v>0</v>
      </c>
      <c r="E30" s="3"/>
      <c r="F30" s="26"/>
      <c r="G30" s="3"/>
      <c r="H30" s="3">
        <f>--2172.33</f>
        <v>2172.33</v>
      </c>
      <c r="I30" s="3"/>
      <c r="J30" s="26"/>
      <c r="K30" s="3"/>
      <c r="L30" s="3">
        <f t="shared" si="0"/>
        <v>-2172.33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--43288.66</f>
        <v>43288.66</v>
      </c>
      <c r="U30" s="3"/>
      <c r="V30" s="26"/>
      <c r="W30" s="3"/>
      <c r="X30" s="3">
        <f t="shared" si="2"/>
        <v>-43288.66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","4045"," - ","TAXABLE SALES-SPECIAL ORDERS")</f>
        <v xml:space="preserve">          4045 - TAXABLE SALES-SPECIAL ORDERS</v>
      </c>
      <c r="C31" s="9"/>
      <c r="D31" s="3">
        <f>0</f>
        <v>0</v>
      </c>
      <c r="E31" s="3"/>
      <c r="F31" s="26"/>
      <c r="G31" s="3"/>
      <c r="H31" s="3">
        <f>--81300.55</f>
        <v>81300.55</v>
      </c>
      <c r="I31" s="3"/>
      <c r="J31" s="26"/>
      <c r="K31" s="3"/>
      <c r="L31" s="3">
        <f t="shared" si="0"/>
        <v>-81300.55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--314878.48</f>
        <v>314878.48</v>
      </c>
      <c r="U31" s="3"/>
      <c r="V31" s="26"/>
      <c r="W31" s="3"/>
      <c r="X31" s="3">
        <f t="shared" si="2"/>
        <v>-314878.48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","4081"," - ","TAXABLE SALES-ELECTRONICS")</f>
        <v xml:space="preserve">          4081 - TAXABLE SALES-ELECTRONICS</v>
      </c>
      <c r="C32" s="9"/>
      <c r="D32" s="3">
        <f>0</f>
        <v>0</v>
      </c>
      <c r="E32" s="3"/>
      <c r="F32" s="26"/>
      <c r="G32" s="3"/>
      <c r="H32" s="3">
        <f>--1743.92</f>
        <v>1743.92</v>
      </c>
      <c r="I32" s="3"/>
      <c r="J32" s="26"/>
      <c r="K32" s="3"/>
      <c r="L32" s="3">
        <f t="shared" si="0"/>
        <v>-1743.92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--65769.85</f>
        <v>65769.850000000006</v>
      </c>
      <c r="U32" s="3"/>
      <c r="V32" s="26"/>
      <c r="W32" s="3"/>
      <c r="X32" s="3">
        <f t="shared" si="2"/>
        <v>-65769.850000000006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","4082"," - ","TAXABLE SALES-COMPUTER HARDWAR")</f>
        <v xml:space="preserve">          4082 - TAXABLE SALES-COMPUTER HARDWAR</v>
      </c>
      <c r="C33" s="9"/>
      <c r="D33" s="3">
        <f>0</f>
        <v>0</v>
      </c>
      <c r="E33" s="3"/>
      <c r="F33" s="26"/>
      <c r="G33" s="3"/>
      <c r="H33" s="3">
        <f>--78232.49</f>
        <v>78232.490000000005</v>
      </c>
      <c r="I33" s="3"/>
      <c r="J33" s="26"/>
      <c r="K33" s="3"/>
      <c r="L33" s="3">
        <f t="shared" si="0"/>
        <v>-78232.490000000005</v>
      </c>
      <c r="M33" s="3"/>
      <c r="N33" s="26">
        <f t="shared" si="1"/>
        <v>-1</v>
      </c>
      <c r="O33" s="9"/>
      <c r="P33" s="3">
        <f>0</f>
        <v>0</v>
      </c>
      <c r="Q33" s="3"/>
      <c r="R33" s="26"/>
      <c r="S33" s="3"/>
      <c r="T33" s="3">
        <f>--2207891.11</f>
        <v>2207891.11</v>
      </c>
      <c r="U33" s="3"/>
      <c r="V33" s="26"/>
      <c r="W33" s="3"/>
      <c r="X33" s="3">
        <f t="shared" si="2"/>
        <v>-2207891.11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","4083"," - ","TAXABLE SALES-COMPUTER EQUIPME")</f>
        <v xml:space="preserve">          4083 - TAXABLE SALES-COMPUTER EQUIPME</v>
      </c>
      <c r="C34" s="9"/>
      <c r="D34" s="3">
        <f>0</f>
        <v>0</v>
      </c>
      <c r="E34" s="3"/>
      <c r="F34" s="26"/>
      <c r="G34" s="3"/>
      <c r="H34" s="3">
        <f>--3971.25</f>
        <v>3971.25</v>
      </c>
      <c r="I34" s="3"/>
      <c r="J34" s="26"/>
      <c r="K34" s="3"/>
      <c r="L34" s="3">
        <f t="shared" si="0"/>
        <v>-3971.25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--141118.23</f>
        <v>141118.23000000001</v>
      </c>
      <c r="U34" s="3"/>
      <c r="V34" s="26"/>
      <c r="W34" s="3"/>
      <c r="X34" s="3">
        <f t="shared" si="2"/>
        <v>-141118.23000000001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","4085"," - ","TAXABLE SALES-SOFTWARE")</f>
        <v xml:space="preserve">          4085 - TAXABLE SALES-SOFTWARE</v>
      </c>
      <c r="C35" s="9"/>
      <c r="D35" s="3">
        <f>0</f>
        <v>0</v>
      </c>
      <c r="E35" s="3"/>
      <c r="F35" s="26"/>
      <c r="G35" s="3"/>
      <c r="H35" s="3">
        <f>0</f>
        <v>0</v>
      </c>
      <c r="I35" s="3"/>
      <c r="J35" s="26"/>
      <c r="K35" s="3"/>
      <c r="L35" s="3">
        <f t="shared" si="0"/>
        <v>0</v>
      </c>
      <c r="M35" s="3"/>
      <c r="N35" s="26">
        <f t="shared" si="1"/>
        <v>0</v>
      </c>
      <c r="O35" s="9"/>
      <c r="P35" s="3">
        <f>0</f>
        <v>0</v>
      </c>
      <c r="Q35" s="3"/>
      <c r="R35" s="26"/>
      <c r="S35" s="3"/>
      <c r="T35" s="3">
        <f>--4870.79</f>
        <v>4870.79</v>
      </c>
      <c r="U35" s="3"/>
      <c r="V35" s="26"/>
      <c r="W35" s="3"/>
      <c r="X35" s="3">
        <f t="shared" si="2"/>
        <v>-4870.79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","4086"," - ","TAXABLE SALES-COMPUTER SUPPLIE")</f>
        <v xml:space="preserve">          4086 - TAXABLE SALES-COMPUTER SUPPLIE</v>
      </c>
      <c r="C36" s="9"/>
      <c r="D36" s="3">
        <f>0</f>
        <v>0</v>
      </c>
      <c r="E36" s="3"/>
      <c r="F36" s="26"/>
      <c r="G36" s="3"/>
      <c r="H36" s="3">
        <f>--850.72</f>
        <v>850.72</v>
      </c>
      <c r="I36" s="3"/>
      <c r="J36" s="26"/>
      <c r="K36" s="3"/>
      <c r="L36" s="3">
        <f t="shared" si="0"/>
        <v>-850.72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--67783.14</f>
        <v>67783.14</v>
      </c>
      <c r="U36" s="3"/>
      <c r="V36" s="26"/>
      <c r="W36" s="3"/>
      <c r="X36" s="3">
        <f t="shared" si="2"/>
        <v>-67783.14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","4095"," - ","TAXABLE SALES-CUSTOMER SERVICE")</f>
        <v xml:space="preserve">          4095 - TAXABLE SALES-CUSTOMER SERVICE</v>
      </c>
      <c r="C37" s="9"/>
      <c r="D37" s="3">
        <f>0</f>
        <v>0</v>
      </c>
      <c r="E37" s="3"/>
      <c r="F37" s="26"/>
      <c r="G37" s="3"/>
      <c r="H37" s="3">
        <f>--1688.17</f>
        <v>1688.17</v>
      </c>
      <c r="I37" s="3"/>
      <c r="J37" s="26"/>
      <c r="K37" s="3"/>
      <c r="L37" s="3">
        <f t="shared" si="0"/>
        <v>-1688.17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--15614</f>
        <v>15614</v>
      </c>
      <c r="U37" s="3"/>
      <c r="V37" s="26"/>
      <c r="W37" s="3"/>
      <c r="X37" s="3">
        <f t="shared" si="2"/>
        <v>-15614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","4100"," - ","NON-TAXABLE SALES")</f>
        <v xml:space="preserve">          4100 - NON-TAXABLE SALES</v>
      </c>
      <c r="C38" s="9"/>
      <c r="D38" s="3">
        <f>--102964.56</f>
        <v>102964.56</v>
      </c>
      <c r="E38" s="3"/>
      <c r="F38" s="26"/>
      <c r="G38" s="3"/>
      <c r="H38" s="3">
        <f>-14487.2</f>
        <v>-14487.2</v>
      </c>
      <c r="I38" s="3"/>
      <c r="J38" s="26"/>
      <c r="K38" s="3"/>
      <c r="L38" s="3">
        <f t="shared" si="0"/>
        <v>117451.76</v>
      </c>
      <c r="M38" s="3"/>
      <c r="N38" s="26">
        <f t="shared" si="1"/>
        <v>-8.1072781489866905</v>
      </c>
      <c r="O38" s="9"/>
      <c r="P38" s="3">
        <f>--2106169.34</f>
        <v>2106169.34</v>
      </c>
      <c r="Q38" s="3"/>
      <c r="R38" s="26"/>
      <c r="S38" s="3"/>
      <c r="T38" s="3">
        <f>--262897.78</f>
        <v>262897.78000000003</v>
      </c>
      <c r="U38" s="3"/>
      <c r="V38" s="26"/>
      <c r="W38" s="3"/>
      <c r="X38" s="3">
        <f t="shared" si="2"/>
        <v>1843271.5599999998</v>
      </c>
      <c r="Y38" s="3"/>
      <c r="Z38" s="26">
        <f t="shared" si="3"/>
        <v>7.011362210818211</v>
      </c>
    </row>
    <row r="39" spans="1:26" s="69" customFormat="1" ht="15" hidden="1" customHeight="1" outlineLevel="1" x14ac:dyDescent="0.3">
      <c r="A39" s="47"/>
      <c r="B39" s="9" t="str">
        <f>CONCATENATE("          ","4101"," - ","NON-TAXABLE SALES-NEW TEXT")</f>
        <v xml:space="preserve">          4101 - NON-TAXABLE SALES-NEW TEXT</v>
      </c>
      <c r="C39" s="9"/>
      <c r="D39" s="3">
        <f>0</f>
        <v>0</v>
      </c>
      <c r="E39" s="3"/>
      <c r="F39" s="26"/>
      <c r="G39" s="3"/>
      <c r="H39" s="3">
        <f>--1301.39</f>
        <v>1301.3900000000001</v>
      </c>
      <c r="I39" s="3"/>
      <c r="J39" s="26"/>
      <c r="K39" s="3"/>
      <c r="L39" s="3">
        <f t="shared" si="0"/>
        <v>-1301.3900000000001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--120548.46</f>
        <v>120548.46</v>
      </c>
      <c r="U39" s="3"/>
      <c r="V39" s="26"/>
      <c r="W39" s="3"/>
      <c r="X39" s="3">
        <f t="shared" si="2"/>
        <v>-120548.46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","4102"," - ","NON-TAXABLE SALES-USED TEXT")</f>
        <v xml:space="preserve">          4102 - NON-TAXABLE SALES-USED TEXT</v>
      </c>
      <c r="C40" s="9"/>
      <c r="D40" s="3">
        <f>0</f>
        <v>0</v>
      </c>
      <c r="E40" s="3"/>
      <c r="F40" s="26"/>
      <c r="G40" s="3"/>
      <c r="H40" s="3">
        <f>--540.91</f>
        <v>540.91</v>
      </c>
      <c r="I40" s="3"/>
      <c r="J40" s="26"/>
      <c r="K40" s="3"/>
      <c r="L40" s="3">
        <f t="shared" si="0"/>
        <v>-540.91</v>
      </c>
      <c r="M40" s="3"/>
      <c r="N40" s="26">
        <f t="shared" si="1"/>
        <v>-1</v>
      </c>
      <c r="O40" s="9"/>
      <c r="P40" s="3">
        <f>0</f>
        <v>0</v>
      </c>
      <c r="Q40" s="3"/>
      <c r="R40" s="26"/>
      <c r="S40" s="3"/>
      <c r="T40" s="3">
        <f>--51587.64</f>
        <v>51587.64</v>
      </c>
      <c r="U40" s="3"/>
      <c r="V40" s="26"/>
      <c r="W40" s="3"/>
      <c r="X40" s="3">
        <f t="shared" si="2"/>
        <v>-51587.64</v>
      </c>
      <c r="Y40" s="3"/>
      <c r="Z40" s="26">
        <f t="shared" si="3"/>
        <v>-1</v>
      </c>
    </row>
    <row r="41" spans="1:26" s="69" customFormat="1" ht="15" hidden="1" customHeight="1" outlineLevel="1" x14ac:dyDescent="0.3">
      <c r="A41" s="47"/>
      <c r="B41" s="9" t="str">
        <f>CONCATENATE("          ","4103"," - ","NON-TAXABLE SALES-RENTAL TEXT")</f>
        <v xml:space="preserve">          4103 - NON-TAXABLE SALES-RENTAL TEXT</v>
      </c>
      <c r="C41" s="9"/>
      <c r="D41" s="3">
        <f>0</f>
        <v>0</v>
      </c>
      <c r="E41" s="3"/>
      <c r="F41" s="26"/>
      <c r="G41" s="3"/>
      <c r="H41" s="3">
        <f>0</f>
        <v>0</v>
      </c>
      <c r="I41" s="3"/>
      <c r="J41" s="26"/>
      <c r="K41" s="3"/>
      <c r="L41" s="3">
        <f t="shared" si="0"/>
        <v>0</v>
      </c>
      <c r="M41" s="3"/>
      <c r="N41" s="26">
        <f t="shared" si="1"/>
        <v>0</v>
      </c>
      <c r="O41" s="9"/>
      <c r="P41" s="3">
        <f>0</f>
        <v>0</v>
      </c>
      <c r="Q41" s="3"/>
      <c r="R41" s="26"/>
      <c r="S41" s="3"/>
      <c r="T41" s="3">
        <f>--1138.95</f>
        <v>1138.95</v>
      </c>
      <c r="U41" s="3"/>
      <c r="V41" s="26"/>
      <c r="W41" s="3"/>
      <c r="X41" s="3">
        <f t="shared" si="2"/>
        <v>-1138.95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","4104"," - ","NON-TAXABLE SALES-DIGITAL TEXT")</f>
        <v xml:space="preserve">          4104 - NON-TAXABLE SALES-DIGITAL TEXT</v>
      </c>
      <c r="C42" s="9"/>
      <c r="D42" s="3">
        <f>0</f>
        <v>0</v>
      </c>
      <c r="E42" s="3"/>
      <c r="F42" s="26"/>
      <c r="G42" s="3"/>
      <c r="H42" s="3">
        <f>--695.53</f>
        <v>695.53</v>
      </c>
      <c r="I42" s="3"/>
      <c r="J42" s="26"/>
      <c r="K42" s="3"/>
      <c r="L42" s="3">
        <f t="shared" si="0"/>
        <v>-695.53</v>
      </c>
      <c r="M42" s="3"/>
      <c r="N42" s="26">
        <f t="shared" si="1"/>
        <v>-1</v>
      </c>
      <c r="O42" s="9"/>
      <c r="P42" s="3">
        <f>0</f>
        <v>0</v>
      </c>
      <c r="Q42" s="3"/>
      <c r="R42" s="26"/>
      <c r="S42" s="3"/>
      <c r="T42" s="3">
        <f>--491583.26</f>
        <v>491583.26</v>
      </c>
      <c r="U42" s="3"/>
      <c r="V42" s="26"/>
      <c r="W42" s="3"/>
      <c r="X42" s="3">
        <f t="shared" si="2"/>
        <v>-491583.26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","4113"," - ","NON-TAXABLE SALES-TRADE BOOKS")</f>
        <v xml:space="preserve">          4113 - NON-TAXABLE SALES-TRADE BOOKS</v>
      </c>
      <c r="C43" s="9"/>
      <c r="D43" s="3">
        <f>0</f>
        <v>0</v>
      </c>
      <c r="E43" s="3"/>
      <c r="F43" s="26"/>
      <c r="G43" s="3"/>
      <c r="H43" s="3">
        <f>0</f>
        <v>0</v>
      </c>
      <c r="I43" s="3"/>
      <c r="J43" s="26"/>
      <c r="K43" s="3"/>
      <c r="L43" s="3">
        <f t="shared" si="0"/>
        <v>0</v>
      </c>
      <c r="M43" s="3"/>
      <c r="N43" s="26">
        <f t="shared" si="1"/>
        <v>0</v>
      </c>
      <c r="O43" s="9"/>
      <c r="P43" s="3">
        <f>0</f>
        <v>0</v>
      </c>
      <c r="Q43" s="3"/>
      <c r="R43" s="26"/>
      <c r="S43" s="3"/>
      <c r="T43" s="3">
        <f>--12127.25</f>
        <v>12127.25</v>
      </c>
      <c r="U43" s="3"/>
      <c r="V43" s="26"/>
      <c r="W43" s="3"/>
      <c r="X43" s="3">
        <f t="shared" si="2"/>
        <v>-12127.25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","4118"," - ","NON-TAXABLE SALES-STUDY GUIDES")</f>
        <v xml:space="preserve">          4118 - NON-TAXABLE SALES-STUDY GUIDES</v>
      </c>
      <c r="C44" s="9"/>
      <c r="D44" s="3">
        <f>0</f>
        <v>0</v>
      </c>
      <c r="E44" s="3"/>
      <c r="F44" s="26"/>
      <c r="G44" s="3"/>
      <c r="H44" s="3">
        <f>--594.22</f>
        <v>594.22</v>
      </c>
      <c r="I44" s="3"/>
      <c r="J44" s="26"/>
      <c r="K44" s="3"/>
      <c r="L44" s="3">
        <f t="shared" ref="L44:L75" si="4">+D44-H44</f>
        <v>-594.22</v>
      </c>
      <c r="M44" s="3"/>
      <c r="N44" s="26">
        <f t="shared" ref="N44:N75" si="5">IF(H44=0,0,L44/H44)</f>
        <v>-1</v>
      </c>
      <c r="O44" s="9"/>
      <c r="P44" s="3">
        <f>0</f>
        <v>0</v>
      </c>
      <c r="Q44" s="3"/>
      <c r="R44" s="26"/>
      <c r="S44" s="3"/>
      <c r="T44" s="3">
        <f>--1365.95</f>
        <v>1365.95</v>
      </c>
      <c r="U44" s="3"/>
      <c r="V44" s="26"/>
      <c r="W44" s="3"/>
      <c r="X44" s="3">
        <f t="shared" ref="X44:X75" si="6">+P44-T44</f>
        <v>-1365.95</v>
      </c>
      <c r="Y44" s="3"/>
      <c r="Z44" s="26">
        <f t="shared" ref="Z44:Z75" si="7">IF(T44=0,0,X44/T44)</f>
        <v>-1</v>
      </c>
    </row>
    <row r="45" spans="1:26" s="69" customFormat="1" ht="15" hidden="1" customHeight="1" outlineLevel="1" x14ac:dyDescent="0.3">
      <c r="A45" s="47"/>
      <c r="B45" s="9" t="str">
        <f>CONCATENATE("          ","4126"," - ","NON-TAXABLE SALES-WRITING INST")</f>
        <v xml:space="preserve">          4126 - NON-TAXABLE SALES-WRITING INST</v>
      </c>
      <c r="C45" s="9"/>
      <c r="D45" s="3">
        <f>0</f>
        <v>0</v>
      </c>
      <c r="E45" s="3"/>
      <c r="F45" s="26"/>
      <c r="G45" s="3"/>
      <c r="H45" s="3">
        <f>0</f>
        <v>0</v>
      </c>
      <c r="I45" s="3"/>
      <c r="J45" s="26"/>
      <c r="K45" s="3"/>
      <c r="L45" s="3">
        <f t="shared" si="4"/>
        <v>0</v>
      </c>
      <c r="M45" s="3"/>
      <c r="N45" s="26">
        <f t="shared" si="5"/>
        <v>0</v>
      </c>
      <c r="O45" s="9"/>
      <c r="P45" s="3">
        <f>0</f>
        <v>0</v>
      </c>
      <c r="Q45" s="3"/>
      <c r="R45" s="26"/>
      <c r="S45" s="3"/>
      <c r="T45" s="3">
        <f>--52.68</f>
        <v>52.68</v>
      </c>
      <c r="U45" s="3"/>
      <c r="V45" s="26"/>
      <c r="W45" s="3"/>
      <c r="X45" s="3">
        <f t="shared" si="6"/>
        <v>-52.68</v>
      </c>
      <c r="Y45" s="3"/>
      <c r="Z45" s="26">
        <f t="shared" si="7"/>
        <v>-1</v>
      </c>
    </row>
    <row r="46" spans="1:26" s="69" customFormat="1" ht="15" hidden="1" customHeight="1" outlineLevel="1" x14ac:dyDescent="0.3">
      <c r="A46" s="47"/>
      <c r="B46" s="9" t="str">
        <f>CONCATENATE("          ","4127"," - ","NON-TAXABLE SALES-SCHOOL SUPPL")</f>
        <v xml:space="preserve">          4127 - NON-TAXABLE SALES-SCHOOL SUPPL</v>
      </c>
      <c r="C46" s="9"/>
      <c r="D46" s="3">
        <f>0</f>
        <v>0</v>
      </c>
      <c r="E46" s="3"/>
      <c r="F46" s="26"/>
      <c r="G46" s="3"/>
      <c r="H46" s="3">
        <f>--99.87</f>
        <v>99.87</v>
      </c>
      <c r="I46" s="3"/>
      <c r="J46" s="26"/>
      <c r="K46" s="3"/>
      <c r="L46" s="3">
        <f t="shared" si="4"/>
        <v>-99.87</v>
      </c>
      <c r="M46" s="3"/>
      <c r="N46" s="26">
        <f t="shared" si="5"/>
        <v>-1</v>
      </c>
      <c r="O46" s="9"/>
      <c r="P46" s="3">
        <f>0</f>
        <v>0</v>
      </c>
      <c r="Q46" s="3"/>
      <c r="R46" s="26"/>
      <c r="S46" s="3"/>
      <c r="T46" s="3">
        <f>--7748.6</f>
        <v>7748.6</v>
      </c>
      <c r="U46" s="3"/>
      <c r="V46" s="26"/>
      <c r="W46" s="3"/>
      <c r="X46" s="3">
        <f t="shared" si="6"/>
        <v>-7748.6</v>
      </c>
      <c r="Y46" s="3"/>
      <c r="Z46" s="26">
        <f t="shared" si="7"/>
        <v>-1</v>
      </c>
    </row>
    <row r="47" spans="1:26" s="69" customFormat="1" ht="15" hidden="1" customHeight="1" outlineLevel="1" x14ac:dyDescent="0.3">
      <c r="A47" s="47"/>
      <c r="B47" s="9" t="str">
        <f>CONCATENATE("          ","4128"," - ","NON-TAXABLE SALES-ART/TECH")</f>
        <v xml:space="preserve">          4128 - NON-TAXABLE SALES-ART/TECH</v>
      </c>
      <c r="C47" s="9"/>
      <c r="D47" s="3">
        <f>0</f>
        <v>0</v>
      </c>
      <c r="E47" s="3"/>
      <c r="F47" s="26"/>
      <c r="G47" s="3"/>
      <c r="H47" s="3">
        <f>0</f>
        <v>0</v>
      </c>
      <c r="I47" s="3"/>
      <c r="J47" s="26"/>
      <c r="K47" s="3"/>
      <c r="L47" s="3">
        <f t="shared" si="4"/>
        <v>0</v>
      </c>
      <c r="M47" s="3"/>
      <c r="N47" s="26">
        <f t="shared" si="5"/>
        <v>0</v>
      </c>
      <c r="O47" s="9"/>
      <c r="P47" s="3">
        <f>0</f>
        <v>0</v>
      </c>
      <c r="Q47" s="3"/>
      <c r="R47" s="26"/>
      <c r="S47" s="3"/>
      <c r="T47" s="3">
        <f>--115.91</f>
        <v>115.91</v>
      </c>
      <c r="U47" s="3"/>
      <c r="V47" s="26"/>
      <c r="W47" s="3"/>
      <c r="X47" s="3">
        <f t="shared" si="6"/>
        <v>-115.91</v>
      </c>
      <c r="Y47" s="3"/>
      <c r="Z47" s="26">
        <f t="shared" si="7"/>
        <v>-1</v>
      </c>
    </row>
    <row r="48" spans="1:26" s="69" customFormat="1" ht="15" hidden="1" customHeight="1" outlineLevel="1" x14ac:dyDescent="0.3">
      <c r="A48" s="47"/>
      <c r="B48" s="9" t="str">
        <f>CONCATENATE("          ","4131"," - ","NON-TAXABLE SALES-FOOD")</f>
        <v xml:space="preserve">          4131 - NON-TAXABLE SALES-FOOD</v>
      </c>
      <c r="C48" s="9"/>
      <c r="D48" s="3">
        <f>0</f>
        <v>0</v>
      </c>
      <c r="E48" s="3"/>
      <c r="F48" s="26"/>
      <c r="G48" s="3"/>
      <c r="H48" s="3">
        <f>--540.62</f>
        <v>540.62</v>
      </c>
      <c r="I48" s="3"/>
      <c r="J48" s="26"/>
      <c r="K48" s="3"/>
      <c r="L48" s="3">
        <f t="shared" si="4"/>
        <v>-540.62</v>
      </c>
      <c r="M48" s="3"/>
      <c r="N48" s="26">
        <f t="shared" si="5"/>
        <v>-1</v>
      </c>
      <c r="O48" s="9"/>
      <c r="P48" s="3">
        <f>0</f>
        <v>0</v>
      </c>
      <c r="Q48" s="3"/>
      <c r="R48" s="26"/>
      <c r="S48" s="3"/>
      <c r="T48" s="3">
        <f>--12696.76</f>
        <v>12696.76</v>
      </c>
      <c r="U48" s="3"/>
      <c r="V48" s="26"/>
      <c r="W48" s="3"/>
      <c r="X48" s="3">
        <f t="shared" si="6"/>
        <v>-12696.76</v>
      </c>
      <c r="Y48" s="3"/>
      <c r="Z48" s="26">
        <f t="shared" si="7"/>
        <v>-1</v>
      </c>
    </row>
    <row r="49" spans="1:26" s="69" customFormat="1" ht="15" hidden="1" customHeight="1" outlineLevel="1" x14ac:dyDescent="0.3">
      <c r="A49" s="47"/>
      <c r="B49" s="9" t="str">
        <f>CONCATENATE("          ","4132"," - ","NON-TAXABLE SALES-JUICE")</f>
        <v xml:space="preserve">          4132 - NON-TAXABLE SALES-JUICE</v>
      </c>
      <c r="C49" s="9"/>
      <c r="D49" s="3">
        <f>0</f>
        <v>0</v>
      </c>
      <c r="E49" s="3"/>
      <c r="F49" s="26"/>
      <c r="G49" s="3"/>
      <c r="H49" s="3">
        <f>0</f>
        <v>0</v>
      </c>
      <c r="I49" s="3"/>
      <c r="J49" s="26"/>
      <c r="K49" s="3"/>
      <c r="L49" s="3">
        <f t="shared" si="4"/>
        <v>0</v>
      </c>
      <c r="M49" s="3"/>
      <c r="N49" s="26">
        <f t="shared" si="5"/>
        <v>0</v>
      </c>
      <c r="O49" s="9"/>
      <c r="P49" s="3">
        <f>0</f>
        <v>0</v>
      </c>
      <c r="Q49" s="3"/>
      <c r="R49" s="26"/>
      <c r="S49" s="3"/>
      <c r="T49" s="3">
        <f>--22.49</f>
        <v>22.49</v>
      </c>
      <c r="U49" s="3"/>
      <c r="V49" s="26"/>
      <c r="W49" s="3"/>
      <c r="X49" s="3">
        <f t="shared" si="6"/>
        <v>-22.49</v>
      </c>
      <c r="Y49" s="3"/>
      <c r="Z49" s="26">
        <f t="shared" si="7"/>
        <v>-1</v>
      </c>
    </row>
    <row r="50" spans="1:26" s="69" customFormat="1" ht="15" hidden="1" customHeight="1" outlineLevel="1" x14ac:dyDescent="0.3">
      <c r="A50" s="47"/>
      <c r="B50" s="9" t="str">
        <f>CONCATENATE("          ","4133"," - ","NON-TAXABLE SALES-CANDY")</f>
        <v xml:space="preserve">          4133 - NON-TAXABLE SALES-CANDY</v>
      </c>
      <c r="C50" s="9"/>
      <c r="D50" s="3">
        <f>0</f>
        <v>0</v>
      </c>
      <c r="E50" s="3"/>
      <c r="F50" s="26"/>
      <c r="G50" s="3"/>
      <c r="H50" s="3">
        <f>0</f>
        <v>0</v>
      </c>
      <c r="I50" s="3"/>
      <c r="J50" s="26"/>
      <c r="K50" s="3"/>
      <c r="L50" s="3">
        <f t="shared" si="4"/>
        <v>0</v>
      </c>
      <c r="M50" s="3"/>
      <c r="N50" s="26">
        <f t="shared" si="5"/>
        <v>0</v>
      </c>
      <c r="O50" s="9"/>
      <c r="P50" s="3">
        <f>0</f>
        <v>0</v>
      </c>
      <c r="Q50" s="3"/>
      <c r="R50" s="26"/>
      <c r="S50" s="3"/>
      <c r="T50" s="3">
        <f>--80.71</f>
        <v>80.709999999999994</v>
      </c>
      <c r="U50" s="3"/>
      <c r="V50" s="26"/>
      <c r="W50" s="3"/>
      <c r="X50" s="3">
        <f t="shared" si="6"/>
        <v>-80.709999999999994</v>
      </c>
      <c r="Y50" s="3"/>
      <c r="Z50" s="26">
        <f t="shared" si="7"/>
        <v>-1</v>
      </c>
    </row>
    <row r="51" spans="1:26" s="69" customFormat="1" ht="15" hidden="1" customHeight="1" outlineLevel="1" x14ac:dyDescent="0.3">
      <c r="A51" s="47"/>
      <c r="B51" s="9" t="str">
        <f>CONCATENATE("          ","4134"," - ","NON-TAXABLE SALES-SODA")</f>
        <v xml:space="preserve">          4134 - NON-TAXABLE SALES-SODA</v>
      </c>
      <c r="C51" s="9"/>
      <c r="D51" s="3">
        <f>0</f>
        <v>0</v>
      </c>
      <c r="E51" s="3"/>
      <c r="F51" s="26"/>
      <c r="G51" s="3"/>
      <c r="H51" s="3">
        <f>0</f>
        <v>0</v>
      </c>
      <c r="I51" s="3"/>
      <c r="J51" s="26"/>
      <c r="K51" s="3"/>
      <c r="L51" s="3">
        <f t="shared" si="4"/>
        <v>0</v>
      </c>
      <c r="M51" s="3"/>
      <c r="N51" s="26">
        <f t="shared" si="5"/>
        <v>0</v>
      </c>
      <c r="O51" s="9"/>
      <c r="P51" s="3">
        <f>0</f>
        <v>0</v>
      </c>
      <c r="Q51" s="3"/>
      <c r="R51" s="26"/>
      <c r="S51" s="3"/>
      <c r="T51" s="3">
        <f>--45.53</f>
        <v>45.53</v>
      </c>
      <c r="U51" s="3"/>
      <c r="V51" s="26"/>
      <c r="W51" s="3"/>
      <c r="X51" s="3">
        <f t="shared" si="6"/>
        <v>-45.53</v>
      </c>
      <c r="Y51" s="3"/>
      <c r="Z51" s="26">
        <f t="shared" si="7"/>
        <v>-1</v>
      </c>
    </row>
    <row r="52" spans="1:26" s="69" customFormat="1" ht="15" hidden="1" customHeight="1" outlineLevel="1" x14ac:dyDescent="0.3">
      <c r="A52" s="47"/>
      <c r="B52" s="9" t="str">
        <f>CONCATENATE("          ","4137"," - ","NON-TAXABLE SALES-WATER")</f>
        <v xml:space="preserve">          4137 - NON-TAXABLE SALES-WATER</v>
      </c>
      <c r="C52" s="9"/>
      <c r="D52" s="3">
        <f>0</f>
        <v>0</v>
      </c>
      <c r="E52" s="3"/>
      <c r="F52" s="26"/>
      <c r="G52" s="3"/>
      <c r="H52" s="3">
        <f>0</f>
        <v>0</v>
      </c>
      <c r="I52" s="3"/>
      <c r="J52" s="26"/>
      <c r="K52" s="3"/>
      <c r="L52" s="3">
        <f t="shared" si="4"/>
        <v>0</v>
      </c>
      <c r="M52" s="3"/>
      <c r="N52" s="26">
        <f t="shared" si="5"/>
        <v>0</v>
      </c>
      <c r="O52" s="9"/>
      <c r="P52" s="3">
        <f>0</f>
        <v>0</v>
      </c>
      <c r="Q52" s="3"/>
      <c r="R52" s="26"/>
      <c r="S52" s="3"/>
      <c r="T52" s="3">
        <f>--68.25</f>
        <v>68.25</v>
      </c>
      <c r="U52" s="3"/>
      <c r="V52" s="26"/>
      <c r="W52" s="3"/>
      <c r="X52" s="3">
        <f t="shared" si="6"/>
        <v>-68.25</v>
      </c>
      <c r="Y52" s="3"/>
      <c r="Z52" s="26">
        <f t="shared" si="7"/>
        <v>-1</v>
      </c>
    </row>
    <row r="53" spans="1:26" s="69" customFormat="1" ht="15" hidden="1" customHeight="1" outlineLevel="1" x14ac:dyDescent="0.3">
      <c r="A53" s="47"/>
      <c r="B53" s="9" t="str">
        <f>CONCATENATE("          ","4140"," - ","NON-TAXABLE SALES-LOGO CLOTHIN")</f>
        <v xml:space="preserve">          4140 - NON-TAXABLE SALES-LOGO CLOTHIN</v>
      </c>
      <c r="C53" s="9"/>
      <c r="D53" s="3">
        <f>0</f>
        <v>0</v>
      </c>
      <c r="E53" s="3"/>
      <c r="F53" s="26"/>
      <c r="G53" s="3"/>
      <c r="H53" s="3">
        <f>--9520.45</f>
        <v>9520.4500000000007</v>
      </c>
      <c r="I53" s="3"/>
      <c r="J53" s="26"/>
      <c r="K53" s="3"/>
      <c r="L53" s="3">
        <f t="shared" si="4"/>
        <v>-9520.4500000000007</v>
      </c>
      <c r="M53" s="3"/>
      <c r="N53" s="26">
        <f t="shared" si="5"/>
        <v>-1</v>
      </c>
      <c r="O53" s="9"/>
      <c r="P53" s="3">
        <f>0</f>
        <v>0</v>
      </c>
      <c r="Q53" s="3"/>
      <c r="R53" s="26"/>
      <c r="S53" s="3"/>
      <c r="T53" s="3">
        <f>--181046.21</f>
        <v>181046.21</v>
      </c>
      <c r="U53" s="3"/>
      <c r="V53" s="26"/>
      <c r="W53" s="3"/>
      <c r="X53" s="3">
        <f t="shared" si="6"/>
        <v>-181046.21</v>
      </c>
      <c r="Y53" s="3"/>
      <c r="Z53" s="26">
        <f t="shared" si="7"/>
        <v>-1</v>
      </c>
    </row>
    <row r="54" spans="1:26" s="69" customFormat="1" ht="15" hidden="1" customHeight="1" outlineLevel="1" x14ac:dyDescent="0.3">
      <c r="A54" s="47"/>
      <c r="B54" s="9" t="str">
        <f>CONCATENATE("          ","4141"," - ","NON-TAXABLE SALES-LOGO GIFTS")</f>
        <v xml:space="preserve">          4141 - NON-TAXABLE SALES-LOGO GIFTS</v>
      </c>
      <c r="C54" s="9"/>
      <c r="D54" s="3">
        <f>0</f>
        <v>0</v>
      </c>
      <c r="E54" s="3"/>
      <c r="F54" s="26"/>
      <c r="G54" s="3"/>
      <c r="H54" s="3">
        <f>-25127.54</f>
        <v>-25127.54</v>
      </c>
      <c r="I54" s="3"/>
      <c r="J54" s="26"/>
      <c r="K54" s="3"/>
      <c r="L54" s="3">
        <f t="shared" si="4"/>
        <v>25127.54</v>
      </c>
      <c r="M54" s="3"/>
      <c r="N54" s="26">
        <f t="shared" si="5"/>
        <v>-1</v>
      </c>
      <c r="O54" s="9"/>
      <c r="P54" s="3">
        <f>0</f>
        <v>0</v>
      </c>
      <c r="Q54" s="3"/>
      <c r="R54" s="26"/>
      <c r="S54" s="3"/>
      <c r="T54" s="3">
        <f>--14028.49</f>
        <v>14028.49</v>
      </c>
      <c r="U54" s="3"/>
      <c r="V54" s="26"/>
      <c r="W54" s="3"/>
      <c r="X54" s="3">
        <f t="shared" si="6"/>
        <v>-14028.49</v>
      </c>
      <c r="Y54" s="3"/>
      <c r="Z54" s="26">
        <f t="shared" si="7"/>
        <v>-1</v>
      </c>
    </row>
    <row r="55" spans="1:26" s="69" customFormat="1" ht="15" hidden="1" customHeight="1" outlineLevel="1" x14ac:dyDescent="0.3">
      <c r="A55" s="47"/>
      <c r="B55" s="9" t="str">
        <f>CONCATENATE("          ","4142"," - ","NON-TAXABLE SALES-EVERYDAY GIF")</f>
        <v xml:space="preserve">          4142 - NON-TAXABLE SALES-EVERYDAY GIF</v>
      </c>
      <c r="C55" s="9"/>
      <c r="D55" s="3">
        <f>0</f>
        <v>0</v>
      </c>
      <c r="E55" s="3"/>
      <c r="F55" s="26"/>
      <c r="G55" s="3"/>
      <c r="H55" s="3">
        <f>--54.07</f>
        <v>54.07</v>
      </c>
      <c r="I55" s="3"/>
      <c r="J55" s="26"/>
      <c r="K55" s="3"/>
      <c r="L55" s="3">
        <f t="shared" si="4"/>
        <v>-54.07</v>
      </c>
      <c r="M55" s="3"/>
      <c r="N55" s="26">
        <f t="shared" si="5"/>
        <v>-1</v>
      </c>
      <c r="O55" s="9"/>
      <c r="P55" s="3">
        <f>0</f>
        <v>0</v>
      </c>
      <c r="Q55" s="3"/>
      <c r="R55" s="26"/>
      <c r="S55" s="3"/>
      <c r="T55" s="3">
        <f>--2658.52</f>
        <v>2658.52</v>
      </c>
      <c r="U55" s="3"/>
      <c r="V55" s="26"/>
      <c r="W55" s="3"/>
      <c r="X55" s="3">
        <f t="shared" si="6"/>
        <v>-2658.52</v>
      </c>
      <c r="Y55" s="3"/>
      <c r="Z55" s="26">
        <f t="shared" si="7"/>
        <v>-1</v>
      </c>
    </row>
    <row r="56" spans="1:26" s="69" customFormat="1" ht="15" hidden="1" customHeight="1" outlineLevel="1" x14ac:dyDescent="0.3">
      <c r="A56" s="47"/>
      <c r="B56" s="9" t="str">
        <f>CONCATENATE("          ","4143"," - ","NON-TAXABLE SALES-CARDS")</f>
        <v xml:space="preserve">          4143 - NON-TAXABLE SALES-CARDS</v>
      </c>
      <c r="C56" s="9"/>
      <c r="D56" s="3">
        <f>0</f>
        <v>0</v>
      </c>
      <c r="E56" s="3"/>
      <c r="F56" s="26"/>
      <c r="G56" s="3"/>
      <c r="H56" s="3">
        <f>--9.95</f>
        <v>9.9499999999999993</v>
      </c>
      <c r="I56" s="3"/>
      <c r="J56" s="26"/>
      <c r="K56" s="3"/>
      <c r="L56" s="3">
        <f t="shared" si="4"/>
        <v>-9.9499999999999993</v>
      </c>
      <c r="M56" s="3"/>
      <c r="N56" s="26">
        <f t="shared" si="5"/>
        <v>-1</v>
      </c>
      <c r="O56" s="9"/>
      <c r="P56" s="3">
        <f>0</f>
        <v>0</v>
      </c>
      <c r="Q56" s="3"/>
      <c r="R56" s="26"/>
      <c r="S56" s="3"/>
      <c r="T56" s="3">
        <f>--2562.11</f>
        <v>2562.11</v>
      </c>
      <c r="U56" s="3"/>
      <c r="V56" s="26"/>
      <c r="W56" s="3"/>
      <c r="X56" s="3">
        <f t="shared" si="6"/>
        <v>-2562.11</v>
      </c>
      <c r="Y56" s="3"/>
      <c r="Z56" s="26">
        <f t="shared" si="7"/>
        <v>-1</v>
      </c>
    </row>
    <row r="57" spans="1:26" s="69" customFormat="1" ht="15" hidden="1" customHeight="1" outlineLevel="1" x14ac:dyDescent="0.3">
      <c r="A57" s="47"/>
      <c r="B57" s="9" t="str">
        <f>CONCATENATE("          ","4144"," - ","NON-TAXABLE SALES-ACCESSORIES")</f>
        <v xml:space="preserve">          4144 - NON-TAXABLE SALES-ACCESSORIES</v>
      </c>
      <c r="C57" s="9"/>
      <c r="D57" s="3">
        <f>0</f>
        <v>0</v>
      </c>
      <c r="E57" s="3"/>
      <c r="F57" s="26"/>
      <c r="G57" s="3"/>
      <c r="H57" s="3">
        <f>--129.75</f>
        <v>129.75</v>
      </c>
      <c r="I57" s="3"/>
      <c r="J57" s="26"/>
      <c r="K57" s="3"/>
      <c r="L57" s="3">
        <f t="shared" si="4"/>
        <v>-129.75</v>
      </c>
      <c r="M57" s="3"/>
      <c r="N57" s="26">
        <f t="shared" si="5"/>
        <v>-1</v>
      </c>
      <c r="O57" s="9"/>
      <c r="P57" s="3">
        <f>0</f>
        <v>0</v>
      </c>
      <c r="Q57" s="3"/>
      <c r="R57" s="26"/>
      <c r="S57" s="3"/>
      <c r="T57" s="3">
        <f>--1003.55</f>
        <v>1003.55</v>
      </c>
      <c r="U57" s="3"/>
      <c r="V57" s="26"/>
      <c r="W57" s="3"/>
      <c r="X57" s="3">
        <f t="shared" si="6"/>
        <v>-1003.55</v>
      </c>
      <c r="Y57" s="3"/>
      <c r="Z57" s="26">
        <f t="shared" si="7"/>
        <v>-1</v>
      </c>
    </row>
    <row r="58" spans="1:26" s="69" customFormat="1" ht="15" hidden="1" customHeight="1" outlineLevel="1" x14ac:dyDescent="0.3">
      <c r="A58" s="47"/>
      <c r="B58" s="9" t="str">
        <f>CONCATENATE("          ","4145"," - ","NON-TAXABLE SALES-SPECIAL ORDE")</f>
        <v xml:space="preserve">          4145 - NON-TAXABLE SALES-SPECIAL ORDE</v>
      </c>
      <c r="C58" s="9"/>
      <c r="D58" s="3">
        <f>0</f>
        <v>0</v>
      </c>
      <c r="E58" s="3"/>
      <c r="F58" s="26"/>
      <c r="G58" s="3"/>
      <c r="H58" s="3">
        <f>--30</f>
        <v>30</v>
      </c>
      <c r="I58" s="3"/>
      <c r="J58" s="26"/>
      <c r="K58" s="3"/>
      <c r="L58" s="3">
        <f t="shared" si="4"/>
        <v>-30</v>
      </c>
      <c r="M58" s="3"/>
      <c r="N58" s="26">
        <f t="shared" si="5"/>
        <v>-1</v>
      </c>
      <c r="O58" s="9"/>
      <c r="P58" s="3">
        <f>0</f>
        <v>0</v>
      </c>
      <c r="Q58" s="3"/>
      <c r="R58" s="26"/>
      <c r="S58" s="3"/>
      <c r="T58" s="3">
        <f>--74096.89</f>
        <v>74096.89</v>
      </c>
      <c r="U58" s="3"/>
      <c r="V58" s="26"/>
      <c r="W58" s="3"/>
      <c r="X58" s="3">
        <f t="shared" si="6"/>
        <v>-74096.89</v>
      </c>
      <c r="Y58" s="3"/>
      <c r="Z58" s="26">
        <f t="shared" si="7"/>
        <v>-1</v>
      </c>
    </row>
    <row r="59" spans="1:26" s="69" customFormat="1" ht="15" hidden="1" customHeight="1" outlineLevel="1" x14ac:dyDescent="0.3">
      <c r="A59" s="47"/>
      <c r="B59" s="9" t="str">
        <f>CONCATENATE("          ","4146"," - ","NON-TAXABLE SALES-COIN OP MACH")</f>
        <v xml:space="preserve">          4146 - NON-TAXABLE SALES-COIN OP MACH</v>
      </c>
      <c r="C59" s="9"/>
      <c r="D59" s="3">
        <f>0</f>
        <v>0</v>
      </c>
      <c r="E59" s="3"/>
      <c r="F59" s="26"/>
      <c r="G59" s="3"/>
      <c r="H59" s="3">
        <f>--282.2</f>
        <v>282.2</v>
      </c>
      <c r="I59" s="3"/>
      <c r="J59" s="26"/>
      <c r="K59" s="3"/>
      <c r="L59" s="3">
        <f t="shared" si="4"/>
        <v>-282.2</v>
      </c>
      <c r="M59" s="3"/>
      <c r="N59" s="26">
        <f t="shared" si="5"/>
        <v>-1</v>
      </c>
      <c r="O59" s="9"/>
      <c r="P59" s="3">
        <f>0</f>
        <v>0</v>
      </c>
      <c r="Q59" s="3"/>
      <c r="R59" s="26"/>
      <c r="S59" s="3"/>
      <c r="T59" s="3">
        <f>--668.1</f>
        <v>668.1</v>
      </c>
      <c r="U59" s="3"/>
      <c r="V59" s="26"/>
      <c r="W59" s="3"/>
      <c r="X59" s="3">
        <f t="shared" si="6"/>
        <v>-668.1</v>
      </c>
      <c r="Y59" s="3"/>
      <c r="Z59" s="26">
        <f t="shared" si="7"/>
        <v>-1</v>
      </c>
    </row>
    <row r="60" spans="1:26" s="69" customFormat="1" ht="15" hidden="1" customHeight="1" outlineLevel="1" x14ac:dyDescent="0.3">
      <c r="A60" s="47"/>
      <c r="B60" s="9" t="str">
        <f>CONCATENATE("          ","4147"," - ","NON-TAXABLE SALES-MISC")</f>
        <v xml:space="preserve">          4147 - NON-TAXABLE SALES-MISC</v>
      </c>
      <c r="C60" s="9"/>
      <c r="D60" s="3">
        <f>0</f>
        <v>0</v>
      </c>
      <c r="E60" s="3"/>
      <c r="F60" s="26"/>
      <c r="G60" s="3"/>
      <c r="H60" s="3">
        <f>--4</f>
        <v>4</v>
      </c>
      <c r="I60" s="3"/>
      <c r="J60" s="26"/>
      <c r="K60" s="3"/>
      <c r="L60" s="3">
        <f t="shared" si="4"/>
        <v>-4</v>
      </c>
      <c r="M60" s="3"/>
      <c r="N60" s="26">
        <f t="shared" si="5"/>
        <v>-1</v>
      </c>
      <c r="O60" s="9"/>
      <c r="P60" s="3">
        <f>0</f>
        <v>0</v>
      </c>
      <c r="Q60" s="3"/>
      <c r="R60" s="26"/>
      <c r="S60" s="3"/>
      <c r="T60" s="3">
        <f>--172</f>
        <v>172</v>
      </c>
      <c r="U60" s="3"/>
      <c r="V60" s="26"/>
      <c r="W60" s="3"/>
      <c r="X60" s="3">
        <f t="shared" si="6"/>
        <v>-172</v>
      </c>
      <c r="Y60" s="3"/>
      <c r="Z60" s="26">
        <f t="shared" si="7"/>
        <v>-1</v>
      </c>
    </row>
    <row r="61" spans="1:26" s="69" customFormat="1" ht="15" hidden="1" customHeight="1" outlineLevel="1" x14ac:dyDescent="0.3">
      <c r="A61" s="47"/>
      <c r="B61" s="9" t="str">
        <f>CONCATENATE("          ","4181"," - ","NON-TAXABLE SALES-ELECTRONICS")</f>
        <v xml:space="preserve">          4181 - NON-TAXABLE SALES-ELECTRONICS</v>
      </c>
      <c r="C61" s="9"/>
      <c r="D61" s="3">
        <f>0</f>
        <v>0</v>
      </c>
      <c r="E61" s="3"/>
      <c r="F61" s="26"/>
      <c r="G61" s="3"/>
      <c r="H61" s="3">
        <f>--33.97</f>
        <v>33.97</v>
      </c>
      <c r="I61" s="3"/>
      <c r="J61" s="26"/>
      <c r="K61" s="3"/>
      <c r="L61" s="3">
        <f t="shared" si="4"/>
        <v>-33.97</v>
      </c>
      <c r="M61" s="3"/>
      <c r="N61" s="26">
        <f t="shared" si="5"/>
        <v>-1</v>
      </c>
      <c r="O61" s="9"/>
      <c r="P61" s="3">
        <f>0</f>
        <v>0</v>
      </c>
      <c r="Q61" s="3"/>
      <c r="R61" s="26"/>
      <c r="S61" s="3"/>
      <c r="T61" s="3">
        <f>--14322.55</f>
        <v>14322.55</v>
      </c>
      <c r="U61" s="3"/>
      <c r="V61" s="26"/>
      <c r="W61" s="3"/>
      <c r="X61" s="3">
        <f t="shared" si="6"/>
        <v>-14322.55</v>
      </c>
      <c r="Y61" s="3"/>
      <c r="Z61" s="26">
        <f t="shared" si="7"/>
        <v>-1</v>
      </c>
    </row>
    <row r="62" spans="1:26" s="69" customFormat="1" ht="15" hidden="1" customHeight="1" outlineLevel="1" x14ac:dyDescent="0.3">
      <c r="A62" s="47"/>
      <c r="B62" s="9" t="str">
        <f>CONCATENATE("          ","4182"," - ","NON-TAXABLE SALES-COMPUTER HAR")</f>
        <v xml:space="preserve">          4182 - NON-TAXABLE SALES-COMPUTER HAR</v>
      </c>
      <c r="C62" s="9"/>
      <c r="D62" s="3">
        <f>0</f>
        <v>0</v>
      </c>
      <c r="E62" s="3"/>
      <c r="F62" s="26"/>
      <c r="G62" s="3"/>
      <c r="H62" s="3">
        <f>--19892.86</f>
        <v>19892.86</v>
      </c>
      <c r="I62" s="3"/>
      <c r="J62" s="26"/>
      <c r="K62" s="3"/>
      <c r="L62" s="3">
        <f t="shared" si="4"/>
        <v>-19892.86</v>
      </c>
      <c r="M62" s="3"/>
      <c r="N62" s="26">
        <f t="shared" si="5"/>
        <v>-1</v>
      </c>
      <c r="O62" s="9"/>
      <c r="P62" s="3">
        <f>0</f>
        <v>0</v>
      </c>
      <c r="Q62" s="3"/>
      <c r="R62" s="26"/>
      <c r="S62" s="3"/>
      <c r="T62" s="3">
        <f>--367422.08</f>
        <v>367422.08</v>
      </c>
      <c r="U62" s="3"/>
      <c r="V62" s="26"/>
      <c r="W62" s="3"/>
      <c r="X62" s="3">
        <f t="shared" si="6"/>
        <v>-367422.08</v>
      </c>
      <c r="Y62" s="3"/>
      <c r="Z62" s="26">
        <f t="shared" si="7"/>
        <v>-1</v>
      </c>
    </row>
    <row r="63" spans="1:26" s="69" customFormat="1" ht="15" hidden="1" customHeight="1" outlineLevel="1" x14ac:dyDescent="0.3">
      <c r="A63" s="47"/>
      <c r="B63" s="9" t="str">
        <f>CONCATENATE("          ","4183"," - ","NON-TAXABLE SALES-COMPUTER EQU")</f>
        <v xml:space="preserve">          4183 - NON-TAXABLE SALES-COMPUTER EQU</v>
      </c>
      <c r="C63" s="9"/>
      <c r="D63" s="3">
        <f>0</f>
        <v>0</v>
      </c>
      <c r="E63" s="3"/>
      <c r="F63" s="26"/>
      <c r="G63" s="3"/>
      <c r="H63" s="3">
        <f>--1441.27</f>
        <v>1441.27</v>
      </c>
      <c r="I63" s="3"/>
      <c r="J63" s="26"/>
      <c r="K63" s="3"/>
      <c r="L63" s="3">
        <f t="shared" si="4"/>
        <v>-1441.27</v>
      </c>
      <c r="M63" s="3"/>
      <c r="N63" s="26">
        <f t="shared" si="5"/>
        <v>-1</v>
      </c>
      <c r="O63" s="9"/>
      <c r="P63" s="3">
        <f>0</f>
        <v>0</v>
      </c>
      <c r="Q63" s="3"/>
      <c r="R63" s="26"/>
      <c r="S63" s="3"/>
      <c r="T63" s="3">
        <f>--23887.02</f>
        <v>23887.02</v>
      </c>
      <c r="U63" s="3"/>
      <c r="V63" s="26"/>
      <c r="W63" s="3"/>
      <c r="X63" s="3">
        <f t="shared" si="6"/>
        <v>-23887.02</v>
      </c>
      <c r="Y63" s="3"/>
      <c r="Z63" s="26">
        <f t="shared" si="7"/>
        <v>-1</v>
      </c>
    </row>
    <row r="64" spans="1:26" s="69" customFormat="1" ht="15" hidden="1" customHeight="1" outlineLevel="1" x14ac:dyDescent="0.3">
      <c r="A64" s="47"/>
      <c r="B64" s="9" t="str">
        <f>CONCATENATE("          ","4185"," - ","NON-TAXABLE SALES-SOFTWARE")</f>
        <v xml:space="preserve">          4185 - NON-TAXABLE SALES-SOFTWARE</v>
      </c>
      <c r="C64" s="9"/>
      <c r="D64" s="3">
        <f>0</f>
        <v>0</v>
      </c>
      <c r="E64" s="3"/>
      <c r="F64" s="26"/>
      <c r="G64" s="3"/>
      <c r="H64" s="3">
        <f>--3849.74</f>
        <v>3849.74</v>
      </c>
      <c r="I64" s="3"/>
      <c r="J64" s="26"/>
      <c r="K64" s="3"/>
      <c r="L64" s="3">
        <f t="shared" si="4"/>
        <v>-3849.74</v>
      </c>
      <c r="M64" s="3"/>
      <c r="N64" s="26">
        <f t="shared" si="5"/>
        <v>-1</v>
      </c>
      <c r="O64" s="9"/>
      <c r="P64" s="3">
        <f>0</f>
        <v>0</v>
      </c>
      <c r="Q64" s="3"/>
      <c r="R64" s="26"/>
      <c r="S64" s="3"/>
      <c r="T64" s="3">
        <f>--59807.35</f>
        <v>59807.35</v>
      </c>
      <c r="U64" s="3"/>
      <c r="V64" s="26"/>
      <c r="W64" s="3"/>
      <c r="X64" s="3">
        <f t="shared" si="6"/>
        <v>-59807.35</v>
      </c>
      <c r="Y64" s="3"/>
      <c r="Z64" s="26">
        <f t="shared" si="7"/>
        <v>-1</v>
      </c>
    </row>
    <row r="65" spans="1:26" s="69" customFormat="1" ht="15" hidden="1" customHeight="1" outlineLevel="1" x14ac:dyDescent="0.3">
      <c r="A65" s="47"/>
      <c r="B65" s="9" t="str">
        <f>CONCATENATE("          ","4186"," - ","NON-TAXABLE SALES-COMPUTER SUP")</f>
        <v xml:space="preserve">          4186 - NON-TAXABLE SALES-COMPUTER SUP</v>
      </c>
      <c r="C65" s="9"/>
      <c r="D65" s="3">
        <f>0</f>
        <v>0</v>
      </c>
      <c r="E65" s="3"/>
      <c r="F65" s="26"/>
      <c r="G65" s="3"/>
      <c r="H65" s="3">
        <f>--317.9</f>
        <v>317.89999999999998</v>
      </c>
      <c r="I65" s="3"/>
      <c r="J65" s="26"/>
      <c r="K65" s="3"/>
      <c r="L65" s="3">
        <f t="shared" si="4"/>
        <v>-317.89999999999998</v>
      </c>
      <c r="M65" s="3"/>
      <c r="N65" s="26">
        <f t="shared" si="5"/>
        <v>-1</v>
      </c>
      <c r="O65" s="9"/>
      <c r="P65" s="3">
        <f>0</f>
        <v>0</v>
      </c>
      <c r="Q65" s="3"/>
      <c r="R65" s="26"/>
      <c r="S65" s="3"/>
      <c r="T65" s="3">
        <f>--3797.04</f>
        <v>3797.04</v>
      </c>
      <c r="U65" s="3"/>
      <c r="V65" s="26"/>
      <c r="W65" s="3"/>
      <c r="X65" s="3">
        <f t="shared" si="6"/>
        <v>-3797.04</v>
      </c>
      <c r="Y65" s="3"/>
      <c r="Z65" s="26">
        <f t="shared" si="7"/>
        <v>-1</v>
      </c>
    </row>
    <row r="66" spans="1:26" s="69" customFormat="1" ht="15" hidden="1" customHeight="1" outlineLevel="1" x14ac:dyDescent="0.3">
      <c r="A66" s="47"/>
      <c r="B66" s="9" t="str">
        <f>CONCATENATE("          ","4200"," - ","TAXABLE RETURNS")</f>
        <v xml:space="preserve">          4200 - TAXABLE RETURNS</v>
      </c>
      <c r="C66" s="9"/>
      <c r="D66" s="3">
        <f>-235863.53</f>
        <v>-235863.53</v>
      </c>
      <c r="E66" s="3"/>
      <c r="F66" s="26"/>
      <c r="G66" s="3"/>
      <c r="H66" s="3">
        <f>0</f>
        <v>0</v>
      </c>
      <c r="I66" s="3"/>
      <c r="J66" s="26"/>
      <c r="K66" s="3"/>
      <c r="L66" s="3">
        <f t="shared" si="4"/>
        <v>-235863.53</v>
      </c>
      <c r="M66" s="3"/>
      <c r="N66" s="26">
        <f t="shared" si="5"/>
        <v>0</v>
      </c>
      <c r="O66" s="9"/>
      <c r="P66" s="3">
        <f>-984039.13</f>
        <v>-984039.13</v>
      </c>
      <c r="Q66" s="3"/>
      <c r="R66" s="26"/>
      <c r="S66" s="3"/>
      <c r="T66" s="3">
        <f>0</f>
        <v>0</v>
      </c>
      <c r="U66" s="3"/>
      <c r="V66" s="26"/>
      <c r="W66" s="3"/>
      <c r="X66" s="3">
        <f t="shared" si="6"/>
        <v>-984039.13</v>
      </c>
      <c r="Y66" s="3"/>
      <c r="Z66" s="26">
        <f t="shared" si="7"/>
        <v>0</v>
      </c>
    </row>
    <row r="67" spans="1:26" s="69" customFormat="1" ht="15" hidden="1" customHeight="1" outlineLevel="1" x14ac:dyDescent="0.3">
      <c r="A67" s="47"/>
      <c r="B67" s="9" t="str">
        <f>CONCATENATE("          ","4201"," - ","SALES RETURN TAXABLE-NEW TEXT")</f>
        <v xml:space="preserve">          4201 - SALES RETURN TAXABLE-NEW TEXT</v>
      </c>
      <c r="C67" s="9"/>
      <c r="D67" s="3">
        <f>0</f>
        <v>0</v>
      </c>
      <c r="E67" s="3"/>
      <c r="F67" s="26"/>
      <c r="G67" s="3"/>
      <c r="H67" s="3">
        <f>-1101.25</f>
        <v>-1101.25</v>
      </c>
      <c r="I67" s="3"/>
      <c r="J67" s="26"/>
      <c r="K67" s="3"/>
      <c r="L67" s="3">
        <f t="shared" si="4"/>
        <v>1101.25</v>
      </c>
      <c r="M67" s="3"/>
      <c r="N67" s="26">
        <f t="shared" si="5"/>
        <v>-1</v>
      </c>
      <c r="O67" s="9"/>
      <c r="P67" s="3">
        <f>0</f>
        <v>0</v>
      </c>
      <c r="Q67" s="3"/>
      <c r="R67" s="26"/>
      <c r="S67" s="3"/>
      <c r="T67" s="3">
        <f>-53397.67</f>
        <v>-53397.67</v>
      </c>
      <c r="U67" s="3"/>
      <c r="V67" s="26"/>
      <c r="W67" s="3"/>
      <c r="X67" s="3">
        <f t="shared" si="6"/>
        <v>53397.67</v>
      </c>
      <c r="Y67" s="3"/>
      <c r="Z67" s="26">
        <f t="shared" si="7"/>
        <v>-1</v>
      </c>
    </row>
    <row r="68" spans="1:26" s="69" customFormat="1" ht="15" hidden="1" customHeight="1" outlineLevel="1" x14ac:dyDescent="0.3">
      <c r="A68" s="47"/>
      <c r="B68" s="9" t="str">
        <f>CONCATENATE("          ","4202"," - ","SALES RETURN TAXABLE-USED TEXT")</f>
        <v xml:space="preserve">          4202 - SALES RETURN TAXABLE-USED TEXT</v>
      </c>
      <c r="C68" s="9"/>
      <c r="D68" s="3">
        <f>0</f>
        <v>0</v>
      </c>
      <c r="E68" s="3"/>
      <c r="F68" s="26"/>
      <c r="G68" s="3"/>
      <c r="H68" s="3">
        <f>-433.75</f>
        <v>-433.75</v>
      </c>
      <c r="I68" s="3"/>
      <c r="J68" s="26"/>
      <c r="K68" s="3"/>
      <c r="L68" s="3">
        <f t="shared" si="4"/>
        <v>433.75</v>
      </c>
      <c r="M68" s="3"/>
      <c r="N68" s="26">
        <f t="shared" si="5"/>
        <v>-1</v>
      </c>
      <c r="O68" s="9"/>
      <c r="P68" s="3">
        <f>0</f>
        <v>0</v>
      </c>
      <c r="Q68" s="3"/>
      <c r="R68" s="26"/>
      <c r="S68" s="3"/>
      <c r="T68" s="3">
        <f>-20889.41</f>
        <v>-20889.41</v>
      </c>
      <c r="U68" s="3"/>
      <c r="V68" s="26"/>
      <c r="W68" s="3"/>
      <c r="X68" s="3">
        <f t="shared" si="6"/>
        <v>20889.41</v>
      </c>
      <c r="Y68" s="3"/>
      <c r="Z68" s="26">
        <f t="shared" si="7"/>
        <v>-1</v>
      </c>
    </row>
    <row r="69" spans="1:26" s="69" customFormat="1" ht="15" hidden="1" customHeight="1" outlineLevel="1" x14ac:dyDescent="0.3">
      <c r="A69" s="47"/>
      <c r="B69" s="9" t="str">
        <f>CONCATENATE("          ","4204"," - ","SALES RETURN TAXABLE-DIGITAL T")</f>
        <v xml:space="preserve">          4204 - SALES RETURN TAXABLE-DIGITAL T</v>
      </c>
      <c r="C69" s="9"/>
      <c r="D69" s="3">
        <f>0</f>
        <v>0</v>
      </c>
      <c r="E69" s="3"/>
      <c r="F69" s="26"/>
      <c r="G69" s="3"/>
      <c r="H69" s="3">
        <f>0</f>
        <v>0</v>
      </c>
      <c r="I69" s="3"/>
      <c r="J69" s="26"/>
      <c r="K69" s="3"/>
      <c r="L69" s="3">
        <f t="shared" si="4"/>
        <v>0</v>
      </c>
      <c r="M69" s="3"/>
      <c r="N69" s="26">
        <f t="shared" si="5"/>
        <v>0</v>
      </c>
      <c r="O69" s="9"/>
      <c r="P69" s="3">
        <f>0</f>
        <v>0</v>
      </c>
      <c r="Q69" s="3"/>
      <c r="R69" s="26"/>
      <c r="S69" s="3"/>
      <c r="T69" s="3">
        <f>-1763.1</f>
        <v>-1763.1</v>
      </c>
      <c r="U69" s="3"/>
      <c r="V69" s="26"/>
      <c r="W69" s="3"/>
      <c r="X69" s="3">
        <f t="shared" si="6"/>
        <v>1763.1</v>
      </c>
      <c r="Y69" s="3"/>
      <c r="Z69" s="26">
        <f t="shared" si="7"/>
        <v>-1</v>
      </c>
    </row>
    <row r="70" spans="1:26" s="69" customFormat="1" ht="15" hidden="1" customHeight="1" outlineLevel="1" x14ac:dyDescent="0.3">
      <c r="A70" s="47"/>
      <c r="B70" s="9" t="str">
        <f>CONCATENATE("          ","4213"," - ","NON-TAXABLE SALES-TRADE BOOKS")</f>
        <v xml:space="preserve">          4213 - NON-TAXABLE SALES-TRADE BOOKS</v>
      </c>
      <c r="C70" s="9"/>
      <c r="D70" s="3">
        <f>0</f>
        <v>0</v>
      </c>
      <c r="E70" s="3"/>
      <c r="F70" s="26"/>
      <c r="G70" s="3"/>
      <c r="H70" s="3">
        <f>-25</f>
        <v>-25</v>
      </c>
      <c r="I70" s="3"/>
      <c r="J70" s="26"/>
      <c r="K70" s="3"/>
      <c r="L70" s="3">
        <f t="shared" si="4"/>
        <v>25</v>
      </c>
      <c r="M70" s="3"/>
      <c r="N70" s="26">
        <f t="shared" si="5"/>
        <v>-1</v>
      </c>
      <c r="O70" s="9"/>
      <c r="P70" s="3">
        <f>0</f>
        <v>0</v>
      </c>
      <c r="Q70" s="3"/>
      <c r="R70" s="26"/>
      <c r="S70" s="3"/>
      <c r="T70" s="3">
        <f>-103.92</f>
        <v>-103.92</v>
      </c>
      <c r="U70" s="3"/>
      <c r="V70" s="26"/>
      <c r="W70" s="3"/>
      <c r="X70" s="3">
        <f t="shared" si="6"/>
        <v>103.92</v>
      </c>
      <c r="Y70" s="3"/>
      <c r="Z70" s="26">
        <f t="shared" si="7"/>
        <v>-1</v>
      </c>
    </row>
    <row r="71" spans="1:26" s="69" customFormat="1" ht="15" hidden="1" customHeight="1" outlineLevel="1" x14ac:dyDescent="0.3">
      <c r="A71" s="47"/>
      <c r="B71" s="9" t="str">
        <f>CONCATENATE("          ","4218"," - ","SALES RETURN TAXABLE-STUDY GUI")</f>
        <v xml:space="preserve">          4218 - SALES RETURN TAXABLE-STUDY GUI</v>
      </c>
      <c r="C71" s="9"/>
      <c r="D71" s="3">
        <f>0</f>
        <v>0</v>
      </c>
      <c r="E71" s="3"/>
      <c r="F71" s="26"/>
      <c r="G71" s="3"/>
      <c r="H71" s="3">
        <f>-23.44</f>
        <v>-23.44</v>
      </c>
      <c r="I71" s="3"/>
      <c r="J71" s="26"/>
      <c r="K71" s="3"/>
      <c r="L71" s="3">
        <f t="shared" si="4"/>
        <v>23.44</v>
      </c>
      <c r="M71" s="3"/>
      <c r="N71" s="26">
        <f t="shared" si="5"/>
        <v>-1</v>
      </c>
      <c r="O71" s="9"/>
      <c r="P71" s="3">
        <f>0</f>
        <v>0</v>
      </c>
      <c r="Q71" s="3"/>
      <c r="R71" s="26"/>
      <c r="S71" s="3"/>
      <c r="T71" s="3">
        <f>-28.65</f>
        <v>-28.65</v>
      </c>
      <c r="U71" s="3"/>
      <c r="V71" s="26"/>
      <c r="W71" s="3"/>
      <c r="X71" s="3">
        <f t="shared" si="6"/>
        <v>28.65</v>
      </c>
      <c r="Y71" s="3"/>
      <c r="Z71" s="26">
        <f t="shared" si="7"/>
        <v>-1</v>
      </c>
    </row>
    <row r="72" spans="1:26" s="69" customFormat="1" ht="15" hidden="1" customHeight="1" outlineLevel="1" x14ac:dyDescent="0.3">
      <c r="A72" s="47"/>
      <c r="B72" s="9" t="str">
        <f>CONCATENATE("          ","4226"," - ","SALES RETURN TAXABLE-WRITING I")</f>
        <v xml:space="preserve">          4226 - SALES RETURN TAXABLE-WRITING I</v>
      </c>
      <c r="C72" s="9"/>
      <c r="D72" s="3">
        <f>0</f>
        <v>0</v>
      </c>
      <c r="E72" s="3"/>
      <c r="F72" s="26"/>
      <c r="G72" s="3"/>
      <c r="H72" s="3">
        <f>0</f>
        <v>0</v>
      </c>
      <c r="I72" s="3"/>
      <c r="J72" s="26"/>
      <c r="K72" s="3"/>
      <c r="L72" s="3">
        <f t="shared" si="4"/>
        <v>0</v>
      </c>
      <c r="M72" s="3"/>
      <c r="N72" s="26">
        <f t="shared" si="5"/>
        <v>0</v>
      </c>
      <c r="O72" s="9"/>
      <c r="P72" s="3">
        <f>0</f>
        <v>0</v>
      </c>
      <c r="Q72" s="3"/>
      <c r="R72" s="26"/>
      <c r="S72" s="3"/>
      <c r="T72" s="3">
        <f>-35.02</f>
        <v>-35.020000000000003</v>
      </c>
      <c r="U72" s="3"/>
      <c r="V72" s="26"/>
      <c r="W72" s="3"/>
      <c r="X72" s="3">
        <f t="shared" si="6"/>
        <v>35.020000000000003</v>
      </c>
      <c r="Y72" s="3"/>
      <c r="Z72" s="26">
        <f t="shared" si="7"/>
        <v>-1</v>
      </c>
    </row>
    <row r="73" spans="1:26" s="69" customFormat="1" ht="15" hidden="1" customHeight="1" outlineLevel="1" x14ac:dyDescent="0.3">
      <c r="A73" s="47"/>
      <c r="B73" s="9" t="str">
        <f>CONCATENATE("          ","4227"," - ","SALES RETURN TAXABLE-SCHOOL SU")</f>
        <v xml:space="preserve">          4227 - SALES RETURN TAXABLE-SCHOOL SU</v>
      </c>
      <c r="C73" s="9"/>
      <c r="D73" s="3">
        <f>0</f>
        <v>0</v>
      </c>
      <c r="E73" s="3"/>
      <c r="F73" s="26"/>
      <c r="G73" s="3"/>
      <c r="H73" s="3">
        <f>-80.63</f>
        <v>-80.63</v>
      </c>
      <c r="I73" s="3"/>
      <c r="J73" s="26"/>
      <c r="K73" s="3"/>
      <c r="L73" s="3">
        <f t="shared" si="4"/>
        <v>80.63</v>
      </c>
      <c r="M73" s="3"/>
      <c r="N73" s="26">
        <f t="shared" si="5"/>
        <v>-1</v>
      </c>
      <c r="O73" s="9"/>
      <c r="P73" s="3">
        <f>0</f>
        <v>0</v>
      </c>
      <c r="Q73" s="3"/>
      <c r="R73" s="26"/>
      <c r="S73" s="3"/>
      <c r="T73" s="3">
        <f>-1565.11</f>
        <v>-1565.11</v>
      </c>
      <c r="U73" s="3"/>
      <c r="V73" s="26"/>
      <c r="W73" s="3"/>
      <c r="X73" s="3">
        <f t="shared" si="6"/>
        <v>1565.11</v>
      </c>
      <c r="Y73" s="3"/>
      <c r="Z73" s="26">
        <f t="shared" si="7"/>
        <v>-1</v>
      </c>
    </row>
    <row r="74" spans="1:26" s="69" customFormat="1" ht="15" hidden="1" customHeight="1" outlineLevel="1" x14ac:dyDescent="0.3">
      <c r="A74" s="47"/>
      <c r="B74" s="9" t="str">
        <f>CONCATENATE("          ","4228"," - ","SALES RETURN TAXABLE-ART/TECH")</f>
        <v xml:space="preserve">          4228 - SALES RETURN TAXABLE-ART/TECH</v>
      </c>
      <c r="C74" s="9"/>
      <c r="D74" s="3">
        <f>0</f>
        <v>0</v>
      </c>
      <c r="E74" s="3"/>
      <c r="F74" s="26"/>
      <c r="G74" s="3"/>
      <c r="H74" s="3">
        <f>-105.6</f>
        <v>-105.6</v>
      </c>
      <c r="I74" s="3"/>
      <c r="J74" s="26"/>
      <c r="K74" s="3"/>
      <c r="L74" s="3">
        <f t="shared" si="4"/>
        <v>105.6</v>
      </c>
      <c r="M74" s="3"/>
      <c r="N74" s="26">
        <f t="shared" si="5"/>
        <v>-1</v>
      </c>
      <c r="O74" s="9"/>
      <c r="P74" s="3">
        <f>0</f>
        <v>0</v>
      </c>
      <c r="Q74" s="3"/>
      <c r="R74" s="26"/>
      <c r="S74" s="3"/>
      <c r="T74" s="3">
        <f>-13079.33</f>
        <v>-13079.33</v>
      </c>
      <c r="U74" s="3"/>
      <c r="V74" s="26"/>
      <c r="W74" s="3"/>
      <c r="X74" s="3">
        <f t="shared" si="6"/>
        <v>13079.33</v>
      </c>
      <c r="Y74" s="3"/>
      <c r="Z74" s="26">
        <f t="shared" si="7"/>
        <v>-1</v>
      </c>
    </row>
    <row r="75" spans="1:26" s="69" customFormat="1" ht="15" hidden="1" customHeight="1" outlineLevel="1" x14ac:dyDescent="0.3">
      <c r="A75" s="47"/>
      <c r="B75" s="9" t="str">
        <f>CONCATENATE("          ","4240"," - ","SALES RETURN TAXABLE-LOGO CLOT")</f>
        <v xml:space="preserve">          4240 - SALES RETURN TAXABLE-LOGO CLOT</v>
      </c>
      <c r="C75" s="9"/>
      <c r="D75" s="3">
        <f>0</f>
        <v>0</v>
      </c>
      <c r="E75" s="3"/>
      <c r="F75" s="26"/>
      <c r="G75" s="3"/>
      <c r="H75" s="3">
        <f>-4795.71</f>
        <v>-4795.71</v>
      </c>
      <c r="I75" s="3"/>
      <c r="J75" s="26"/>
      <c r="K75" s="3"/>
      <c r="L75" s="3">
        <f t="shared" si="4"/>
        <v>4795.71</v>
      </c>
      <c r="M75" s="3"/>
      <c r="N75" s="26">
        <f t="shared" si="5"/>
        <v>-1</v>
      </c>
      <c r="O75" s="9"/>
      <c r="P75" s="3">
        <f>0</f>
        <v>0</v>
      </c>
      <c r="Q75" s="3"/>
      <c r="R75" s="26"/>
      <c r="S75" s="3"/>
      <c r="T75" s="3">
        <f>-51889.15</f>
        <v>-51889.15</v>
      </c>
      <c r="U75" s="3"/>
      <c r="V75" s="26"/>
      <c r="W75" s="3"/>
      <c r="X75" s="3">
        <f t="shared" si="6"/>
        <v>51889.15</v>
      </c>
      <c r="Y75" s="3"/>
      <c r="Z75" s="26">
        <f t="shared" si="7"/>
        <v>-1</v>
      </c>
    </row>
    <row r="76" spans="1:26" s="69" customFormat="1" ht="15" hidden="1" customHeight="1" outlineLevel="1" x14ac:dyDescent="0.3">
      <c r="A76" s="47"/>
      <c r="B76" s="9" t="str">
        <f>CONCATENATE("          ","4241"," - ","SALES RETURN TAXABLE-LOGO GIFT")</f>
        <v xml:space="preserve">          4241 - SALES RETURN TAXABLE-LOGO GIFT</v>
      </c>
      <c r="C76" s="9"/>
      <c r="D76" s="3">
        <f>0</f>
        <v>0</v>
      </c>
      <c r="E76" s="3"/>
      <c r="F76" s="26"/>
      <c r="G76" s="3"/>
      <c r="H76" s="3">
        <f>-1907.39</f>
        <v>-1907.39</v>
      </c>
      <c r="I76" s="3"/>
      <c r="J76" s="26"/>
      <c r="K76" s="3"/>
      <c r="L76" s="3">
        <f t="shared" ref="L76:L96" si="8">+D76-H76</f>
        <v>1907.39</v>
      </c>
      <c r="M76" s="3"/>
      <c r="N76" s="26">
        <f t="shared" ref="N76:N96" si="9">IF(H76=0,0,L76/H76)</f>
        <v>-1</v>
      </c>
      <c r="O76" s="9"/>
      <c r="P76" s="3">
        <f>0</f>
        <v>0</v>
      </c>
      <c r="Q76" s="3"/>
      <c r="R76" s="26"/>
      <c r="S76" s="3"/>
      <c r="T76" s="3">
        <f>-18587.93</f>
        <v>-18587.93</v>
      </c>
      <c r="U76" s="3"/>
      <c r="V76" s="26"/>
      <c r="W76" s="3"/>
      <c r="X76" s="3">
        <f t="shared" ref="X76:X96" si="10">+P76-T76</f>
        <v>18587.93</v>
      </c>
      <c r="Y76" s="3"/>
      <c r="Z76" s="26">
        <f t="shared" ref="Z76:Z96" si="11">IF(T76=0,0,X76/T76)</f>
        <v>-1</v>
      </c>
    </row>
    <row r="77" spans="1:26" s="69" customFormat="1" ht="15" hidden="1" customHeight="1" outlineLevel="1" x14ac:dyDescent="0.3">
      <c r="A77" s="47"/>
      <c r="B77" s="9" t="str">
        <f>CONCATENATE("          ","4242"," - ","SALES RETURN TAXABLE-EVERYDAY")</f>
        <v xml:space="preserve">          4242 - SALES RETURN TAXABLE-EVERYDAY</v>
      </c>
      <c r="C77" s="9"/>
      <c r="D77" s="3">
        <f>0</f>
        <v>0</v>
      </c>
      <c r="E77" s="3"/>
      <c r="F77" s="26"/>
      <c r="G77" s="3"/>
      <c r="H77" s="3">
        <f>-131.98</f>
        <v>-131.97999999999999</v>
      </c>
      <c r="I77" s="3"/>
      <c r="J77" s="26"/>
      <c r="K77" s="3"/>
      <c r="L77" s="3">
        <f t="shared" si="8"/>
        <v>131.97999999999999</v>
      </c>
      <c r="M77" s="3"/>
      <c r="N77" s="26">
        <f t="shared" si="9"/>
        <v>-1</v>
      </c>
      <c r="O77" s="9"/>
      <c r="P77" s="3">
        <f>0</f>
        <v>0</v>
      </c>
      <c r="Q77" s="3"/>
      <c r="R77" s="26"/>
      <c r="S77" s="3"/>
      <c r="T77" s="3">
        <f>-2875.07</f>
        <v>-2875.07</v>
      </c>
      <c r="U77" s="3"/>
      <c r="V77" s="26"/>
      <c r="W77" s="3"/>
      <c r="X77" s="3">
        <f t="shared" si="10"/>
        <v>2875.07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","4243"," - ","SALES RETURN TAXABLE-CARDS")</f>
        <v xml:space="preserve">          4243 - SALES RETURN TAXABLE-CARDS</v>
      </c>
      <c r="C78" s="9"/>
      <c r="D78" s="3">
        <f>0</f>
        <v>0</v>
      </c>
      <c r="E78" s="3"/>
      <c r="F78" s="26"/>
      <c r="G78" s="3"/>
      <c r="H78" s="3">
        <f>-9.99</f>
        <v>-9.99</v>
      </c>
      <c r="I78" s="3"/>
      <c r="J78" s="26"/>
      <c r="K78" s="3"/>
      <c r="L78" s="3">
        <f t="shared" si="8"/>
        <v>9.99</v>
      </c>
      <c r="M78" s="3"/>
      <c r="N78" s="26">
        <f t="shared" si="9"/>
        <v>-1</v>
      </c>
      <c r="O78" s="9"/>
      <c r="P78" s="3">
        <f>0</f>
        <v>0</v>
      </c>
      <c r="Q78" s="3"/>
      <c r="R78" s="26"/>
      <c r="S78" s="3"/>
      <c r="T78" s="3">
        <f>-6228.98</f>
        <v>-6228.98</v>
      </c>
      <c r="U78" s="3"/>
      <c r="V78" s="26"/>
      <c r="W78" s="3"/>
      <c r="X78" s="3">
        <f t="shared" si="10"/>
        <v>6228.98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","4244"," - ","SALES RETURN TAXABLE-ACCESSORI")</f>
        <v xml:space="preserve">          4244 - SALES RETURN TAXABLE-ACCESSORI</v>
      </c>
      <c r="C79" s="9"/>
      <c r="D79" s="3">
        <f>0</f>
        <v>0</v>
      </c>
      <c r="E79" s="3"/>
      <c r="F79" s="26"/>
      <c r="G79" s="3"/>
      <c r="H79" s="3">
        <f>-34.84</f>
        <v>-34.840000000000003</v>
      </c>
      <c r="I79" s="3"/>
      <c r="J79" s="26"/>
      <c r="K79" s="3"/>
      <c r="L79" s="3">
        <f t="shared" si="8"/>
        <v>34.840000000000003</v>
      </c>
      <c r="M79" s="3"/>
      <c r="N79" s="26">
        <f t="shared" si="9"/>
        <v>-1</v>
      </c>
      <c r="O79" s="9"/>
      <c r="P79" s="3">
        <f>0</f>
        <v>0</v>
      </c>
      <c r="Q79" s="3"/>
      <c r="R79" s="26"/>
      <c r="S79" s="3"/>
      <c r="T79" s="3">
        <f>-1302.75</f>
        <v>-1302.75</v>
      </c>
      <c r="U79" s="3"/>
      <c r="V79" s="26"/>
      <c r="W79" s="3"/>
      <c r="X79" s="3">
        <f t="shared" si="10"/>
        <v>1302.75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","4245"," - ","SALES RETURN TAXABLE-SPECIAL O")</f>
        <v xml:space="preserve">          4245 - SALES RETURN TAXABLE-SPECIAL O</v>
      </c>
      <c r="C80" s="9"/>
      <c r="D80" s="3">
        <f>0</f>
        <v>0</v>
      </c>
      <c r="E80" s="3"/>
      <c r="F80" s="26"/>
      <c r="G80" s="3"/>
      <c r="H80" s="3">
        <f>-3318.4</f>
        <v>-3318.4</v>
      </c>
      <c r="I80" s="3"/>
      <c r="J80" s="26"/>
      <c r="K80" s="3"/>
      <c r="L80" s="3">
        <f t="shared" si="8"/>
        <v>3318.4</v>
      </c>
      <c r="M80" s="3"/>
      <c r="N80" s="26">
        <f t="shared" si="9"/>
        <v>-1</v>
      </c>
      <c r="O80" s="9"/>
      <c r="P80" s="3">
        <f>0</f>
        <v>0</v>
      </c>
      <c r="Q80" s="3"/>
      <c r="R80" s="26"/>
      <c r="S80" s="3"/>
      <c r="T80" s="3">
        <f>-18779.13</f>
        <v>-18779.13</v>
      </c>
      <c r="U80" s="3"/>
      <c r="V80" s="26"/>
      <c r="W80" s="3"/>
      <c r="X80" s="3">
        <f t="shared" si="10"/>
        <v>18779.13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","4281"," - ","SALES RETURN TAXABLE-ELECTRONI")</f>
        <v xml:space="preserve">          4281 - SALES RETURN TAXABLE-ELECTRONI</v>
      </c>
      <c r="C81" s="9"/>
      <c r="D81" s="3">
        <f>0</f>
        <v>0</v>
      </c>
      <c r="E81" s="3"/>
      <c r="F81" s="26"/>
      <c r="G81" s="3"/>
      <c r="H81" s="3">
        <f>-529.99</f>
        <v>-529.99</v>
      </c>
      <c r="I81" s="3"/>
      <c r="J81" s="26"/>
      <c r="K81" s="3"/>
      <c r="L81" s="3">
        <f t="shared" si="8"/>
        <v>529.99</v>
      </c>
      <c r="M81" s="3"/>
      <c r="N81" s="26">
        <f t="shared" si="9"/>
        <v>-1</v>
      </c>
      <c r="O81" s="9"/>
      <c r="P81" s="3">
        <f>0</f>
        <v>0</v>
      </c>
      <c r="Q81" s="3"/>
      <c r="R81" s="26"/>
      <c r="S81" s="3"/>
      <c r="T81" s="3">
        <f>-15372.12</f>
        <v>-15372.12</v>
      </c>
      <c r="U81" s="3"/>
      <c r="V81" s="26"/>
      <c r="W81" s="3"/>
      <c r="X81" s="3">
        <f t="shared" si="10"/>
        <v>15372.12</v>
      </c>
      <c r="Y81" s="3"/>
      <c r="Z81" s="26">
        <f t="shared" si="11"/>
        <v>-1</v>
      </c>
    </row>
    <row r="82" spans="1:26" s="69" customFormat="1" ht="15" hidden="1" customHeight="1" outlineLevel="1" x14ac:dyDescent="0.3">
      <c r="A82" s="47"/>
      <c r="B82" s="9" t="str">
        <f>CONCATENATE("          ","4282"," - ","SALES RETURN TAXABLE-COMPUTER")</f>
        <v xml:space="preserve">          4282 - SALES RETURN TAXABLE-COMPUTER</v>
      </c>
      <c r="C82" s="9"/>
      <c r="D82" s="3">
        <f>0</f>
        <v>0</v>
      </c>
      <c r="E82" s="3"/>
      <c r="F82" s="26"/>
      <c r="G82" s="3"/>
      <c r="H82" s="3">
        <f>-44973</f>
        <v>-44973</v>
      </c>
      <c r="I82" s="3"/>
      <c r="J82" s="26"/>
      <c r="K82" s="3"/>
      <c r="L82" s="3">
        <f t="shared" si="8"/>
        <v>44973</v>
      </c>
      <c r="M82" s="3"/>
      <c r="N82" s="26">
        <f t="shared" si="9"/>
        <v>-1</v>
      </c>
      <c r="O82" s="9"/>
      <c r="P82" s="3">
        <f>0</f>
        <v>0</v>
      </c>
      <c r="Q82" s="3"/>
      <c r="R82" s="26"/>
      <c r="S82" s="3"/>
      <c r="T82" s="3">
        <f>-285193.17</f>
        <v>-285193.17</v>
      </c>
      <c r="U82" s="3"/>
      <c r="V82" s="26"/>
      <c r="W82" s="3"/>
      <c r="X82" s="3">
        <f t="shared" si="10"/>
        <v>285193.17</v>
      </c>
      <c r="Y82" s="3"/>
      <c r="Z82" s="26">
        <f t="shared" si="11"/>
        <v>-1</v>
      </c>
    </row>
    <row r="83" spans="1:26" s="69" customFormat="1" ht="15" hidden="1" customHeight="1" outlineLevel="1" x14ac:dyDescent="0.3">
      <c r="A83" s="47"/>
      <c r="B83" s="9" t="str">
        <f>CONCATENATE("          ","4283"," - ","SALES RETURN TAXABLE-COMPUTER")</f>
        <v xml:space="preserve">          4283 - SALES RETURN TAXABLE-COMPUTER</v>
      </c>
      <c r="C83" s="9"/>
      <c r="D83" s="3">
        <f>0</f>
        <v>0</v>
      </c>
      <c r="E83" s="3"/>
      <c r="F83" s="26"/>
      <c r="G83" s="3"/>
      <c r="H83" s="3">
        <f>-23.47</f>
        <v>-23.47</v>
      </c>
      <c r="I83" s="3"/>
      <c r="J83" s="26"/>
      <c r="K83" s="3"/>
      <c r="L83" s="3">
        <f t="shared" si="8"/>
        <v>23.47</v>
      </c>
      <c r="M83" s="3"/>
      <c r="N83" s="26">
        <f t="shared" si="9"/>
        <v>-1</v>
      </c>
      <c r="O83" s="9"/>
      <c r="P83" s="3">
        <f>0</f>
        <v>0</v>
      </c>
      <c r="Q83" s="3"/>
      <c r="R83" s="26"/>
      <c r="S83" s="3"/>
      <c r="T83" s="3">
        <f>-4152.64</f>
        <v>-4152.6400000000003</v>
      </c>
      <c r="U83" s="3"/>
      <c r="V83" s="26"/>
      <c r="W83" s="3"/>
      <c r="X83" s="3">
        <f t="shared" si="10"/>
        <v>4152.6400000000003</v>
      </c>
      <c r="Y83" s="3"/>
      <c r="Z83" s="26">
        <f t="shared" si="11"/>
        <v>-1</v>
      </c>
    </row>
    <row r="84" spans="1:26" s="69" customFormat="1" ht="15" hidden="1" customHeight="1" outlineLevel="1" x14ac:dyDescent="0.3">
      <c r="A84" s="47"/>
      <c r="B84" s="9" t="str">
        <f>CONCATENATE("          ","4285"," - ","SALES RETURN TAXABLE-SOFTWARE")</f>
        <v xml:space="preserve">          4285 - SALES RETURN TAXABLE-SOFTWARE</v>
      </c>
      <c r="C84" s="9"/>
      <c r="D84" s="3">
        <f>0</f>
        <v>0</v>
      </c>
      <c r="E84" s="3"/>
      <c r="F84" s="26"/>
      <c r="G84" s="3"/>
      <c r="H84" s="3">
        <f>0</f>
        <v>0</v>
      </c>
      <c r="I84" s="3"/>
      <c r="J84" s="26"/>
      <c r="K84" s="3"/>
      <c r="L84" s="3">
        <f t="shared" si="8"/>
        <v>0</v>
      </c>
      <c r="M84" s="3"/>
      <c r="N84" s="26">
        <f t="shared" si="9"/>
        <v>0</v>
      </c>
      <c r="O84" s="9"/>
      <c r="P84" s="3">
        <f>0</f>
        <v>0</v>
      </c>
      <c r="Q84" s="3"/>
      <c r="R84" s="26"/>
      <c r="S84" s="3"/>
      <c r="T84" s="3">
        <f>-1091.79</f>
        <v>-1091.79</v>
      </c>
      <c r="U84" s="3"/>
      <c r="V84" s="26"/>
      <c r="W84" s="3"/>
      <c r="X84" s="3">
        <f t="shared" si="10"/>
        <v>1091.79</v>
      </c>
      <c r="Y84" s="3"/>
      <c r="Z84" s="26">
        <f t="shared" si="11"/>
        <v>-1</v>
      </c>
    </row>
    <row r="85" spans="1:26" s="69" customFormat="1" ht="15" hidden="1" customHeight="1" outlineLevel="1" x14ac:dyDescent="0.3">
      <c r="A85" s="47"/>
      <c r="B85" s="9" t="str">
        <f>CONCATENATE("          ","4286"," - ","SALES RETURN TAXABLE-COMPUTER")</f>
        <v xml:space="preserve">          4286 - SALES RETURN TAXABLE-COMPUTER</v>
      </c>
      <c r="C85" s="9"/>
      <c r="D85" s="3">
        <f>0</f>
        <v>0</v>
      </c>
      <c r="E85" s="3"/>
      <c r="F85" s="26"/>
      <c r="G85" s="3"/>
      <c r="H85" s="3">
        <f>-9.99</f>
        <v>-9.99</v>
      </c>
      <c r="I85" s="3"/>
      <c r="J85" s="26"/>
      <c r="K85" s="3"/>
      <c r="L85" s="3">
        <f t="shared" si="8"/>
        <v>9.99</v>
      </c>
      <c r="M85" s="3"/>
      <c r="N85" s="26">
        <f t="shared" si="9"/>
        <v>-1</v>
      </c>
      <c r="O85" s="9"/>
      <c r="P85" s="3">
        <f>0</f>
        <v>0</v>
      </c>
      <c r="Q85" s="3"/>
      <c r="R85" s="26"/>
      <c r="S85" s="3"/>
      <c r="T85" s="3">
        <f>-4812.28</f>
        <v>-4812.28</v>
      </c>
      <c r="U85" s="3"/>
      <c r="V85" s="26"/>
      <c r="W85" s="3"/>
      <c r="X85" s="3">
        <f t="shared" si="10"/>
        <v>4812.28</v>
      </c>
      <c r="Y85" s="3"/>
      <c r="Z85" s="26">
        <f t="shared" si="11"/>
        <v>-1</v>
      </c>
    </row>
    <row r="86" spans="1:26" s="69" customFormat="1" ht="15" hidden="1" customHeight="1" outlineLevel="1" x14ac:dyDescent="0.3">
      <c r="A86" s="47"/>
      <c r="B86" s="9" t="str">
        <f>CONCATENATE("          ","4300"," - ","NON-TAX RETURNS")</f>
        <v xml:space="preserve">          4300 - NON-TAX RETURNS</v>
      </c>
      <c r="C86" s="9"/>
      <c r="D86" s="3">
        <f>-1514.12</f>
        <v>-1514.12</v>
      </c>
      <c r="E86" s="3"/>
      <c r="F86" s="26"/>
      <c r="G86" s="3"/>
      <c r="H86" s="3">
        <f>0</f>
        <v>0</v>
      </c>
      <c r="I86" s="3"/>
      <c r="J86" s="26"/>
      <c r="K86" s="3"/>
      <c r="L86" s="3">
        <f t="shared" si="8"/>
        <v>-1514.12</v>
      </c>
      <c r="M86" s="3"/>
      <c r="N86" s="26">
        <f t="shared" si="9"/>
        <v>0</v>
      </c>
      <c r="O86" s="9"/>
      <c r="P86" s="3">
        <f>-44399.7</f>
        <v>-44399.7</v>
      </c>
      <c r="Q86" s="3"/>
      <c r="R86" s="26"/>
      <c r="S86" s="3"/>
      <c r="T86" s="3">
        <f>0</f>
        <v>0</v>
      </c>
      <c r="U86" s="3"/>
      <c r="V86" s="26"/>
      <c r="W86" s="3"/>
      <c r="X86" s="3">
        <f t="shared" si="10"/>
        <v>-44399.7</v>
      </c>
      <c r="Y86" s="3"/>
      <c r="Z86" s="26">
        <f t="shared" si="11"/>
        <v>0</v>
      </c>
    </row>
    <row r="87" spans="1:26" s="69" customFormat="1" ht="15" hidden="1" customHeight="1" outlineLevel="1" x14ac:dyDescent="0.3">
      <c r="A87" s="47"/>
      <c r="B87" s="9" t="str">
        <f>CONCATENATE("          ","4301"," - ","SALES RETURN NON TAXABLE-NEW T")</f>
        <v xml:space="preserve">          4301 - SALES RETURN NON TAXABLE-NEW T</v>
      </c>
      <c r="C87" s="9"/>
      <c r="D87" s="3">
        <f>0</f>
        <v>0</v>
      </c>
      <c r="E87" s="3"/>
      <c r="F87" s="26"/>
      <c r="G87" s="3"/>
      <c r="H87" s="3">
        <f>-169.32</f>
        <v>-169.32</v>
      </c>
      <c r="I87" s="3"/>
      <c r="J87" s="26"/>
      <c r="K87" s="3"/>
      <c r="L87" s="3">
        <f t="shared" si="8"/>
        <v>169.32</v>
      </c>
      <c r="M87" s="3"/>
      <c r="N87" s="26">
        <f t="shared" si="9"/>
        <v>-1</v>
      </c>
      <c r="O87" s="9"/>
      <c r="P87" s="3">
        <f>0</f>
        <v>0</v>
      </c>
      <c r="Q87" s="3"/>
      <c r="R87" s="26"/>
      <c r="S87" s="3"/>
      <c r="T87" s="3">
        <f>-4965.68</f>
        <v>-4965.68</v>
      </c>
      <c r="U87" s="3"/>
      <c r="V87" s="26"/>
      <c r="W87" s="3"/>
      <c r="X87" s="3">
        <f t="shared" si="10"/>
        <v>4965.68</v>
      </c>
      <c r="Y87" s="3"/>
      <c r="Z87" s="26">
        <f t="shared" si="11"/>
        <v>-1</v>
      </c>
    </row>
    <row r="88" spans="1:26" s="69" customFormat="1" ht="15" hidden="1" customHeight="1" outlineLevel="1" x14ac:dyDescent="0.3">
      <c r="A88" s="47"/>
      <c r="B88" s="9" t="str">
        <f>CONCATENATE("          ","4302"," - ","SALES RETURN NON TAXABLE-TEXT")</f>
        <v xml:space="preserve">          4302 - SALES RETURN NON TAXABLE-TEXT</v>
      </c>
      <c r="C88" s="9"/>
      <c r="D88" s="3">
        <f>0</f>
        <v>0</v>
      </c>
      <c r="E88" s="3"/>
      <c r="F88" s="26"/>
      <c r="G88" s="3"/>
      <c r="H88" s="3">
        <f>-111.43</f>
        <v>-111.43</v>
      </c>
      <c r="I88" s="3"/>
      <c r="J88" s="26"/>
      <c r="K88" s="3"/>
      <c r="L88" s="3">
        <f t="shared" si="8"/>
        <v>111.43</v>
      </c>
      <c r="M88" s="3"/>
      <c r="N88" s="26">
        <f t="shared" si="9"/>
        <v>-1</v>
      </c>
      <c r="O88" s="9"/>
      <c r="P88" s="3">
        <f>0</f>
        <v>0</v>
      </c>
      <c r="Q88" s="3"/>
      <c r="R88" s="26"/>
      <c r="S88" s="3"/>
      <c r="T88" s="3">
        <f>-2688.97</f>
        <v>-2688.97</v>
      </c>
      <c r="U88" s="3"/>
      <c r="V88" s="26"/>
      <c r="W88" s="3"/>
      <c r="X88" s="3">
        <f t="shared" si="10"/>
        <v>2688.97</v>
      </c>
      <c r="Y88" s="3"/>
      <c r="Z88" s="26">
        <f t="shared" si="11"/>
        <v>-1</v>
      </c>
    </row>
    <row r="89" spans="1:26" s="69" customFormat="1" ht="15" hidden="1" customHeight="1" outlineLevel="1" x14ac:dyDescent="0.3">
      <c r="A89" s="47"/>
      <c r="B89" s="9" t="str">
        <f>CONCATENATE("          ","4304"," - ","SALES RETURN NON TAXABLE-DIGIT")</f>
        <v xml:space="preserve">          4304 - SALES RETURN NON TAXABLE-DIGIT</v>
      </c>
      <c r="C89" s="9"/>
      <c r="D89" s="3">
        <f>0</f>
        <v>0</v>
      </c>
      <c r="E89" s="3"/>
      <c r="F89" s="26"/>
      <c r="G89" s="3"/>
      <c r="H89" s="3">
        <f>-144.89</f>
        <v>-144.88999999999999</v>
      </c>
      <c r="I89" s="3"/>
      <c r="J89" s="26"/>
      <c r="K89" s="3"/>
      <c r="L89" s="3">
        <f t="shared" si="8"/>
        <v>144.88999999999999</v>
      </c>
      <c r="M89" s="3"/>
      <c r="N89" s="26">
        <f t="shared" si="9"/>
        <v>-1</v>
      </c>
      <c r="O89" s="9"/>
      <c r="P89" s="3">
        <f>0</f>
        <v>0</v>
      </c>
      <c r="Q89" s="3"/>
      <c r="R89" s="26"/>
      <c r="S89" s="3"/>
      <c r="T89" s="3">
        <f>-31026.87</f>
        <v>-31026.87</v>
      </c>
      <c r="U89" s="3"/>
      <c r="V89" s="26"/>
      <c r="W89" s="3"/>
      <c r="X89" s="3">
        <f t="shared" si="10"/>
        <v>31026.87</v>
      </c>
      <c r="Y89" s="3"/>
      <c r="Z89" s="26">
        <f t="shared" si="11"/>
        <v>-1</v>
      </c>
    </row>
    <row r="90" spans="1:26" s="69" customFormat="1" ht="15" hidden="1" customHeight="1" outlineLevel="1" x14ac:dyDescent="0.3">
      <c r="A90" s="47"/>
      <c r="B90" s="9" t="str">
        <f>CONCATENATE("          ","4327"," - ","SALES RETURN NON TAXABLE-SCHOO")</f>
        <v xml:space="preserve">          4327 - SALES RETURN NON TAXABLE-SCHOO</v>
      </c>
      <c r="C90" s="9"/>
      <c r="D90" s="3">
        <f>0</f>
        <v>0</v>
      </c>
      <c r="E90" s="3"/>
      <c r="F90" s="26"/>
      <c r="G90" s="3"/>
      <c r="H90" s="3">
        <f>0</f>
        <v>0</v>
      </c>
      <c r="I90" s="3"/>
      <c r="J90" s="26"/>
      <c r="K90" s="3"/>
      <c r="L90" s="3">
        <f t="shared" si="8"/>
        <v>0</v>
      </c>
      <c r="M90" s="3"/>
      <c r="N90" s="26">
        <f t="shared" si="9"/>
        <v>0</v>
      </c>
      <c r="O90" s="9"/>
      <c r="P90" s="3">
        <f>0</f>
        <v>0</v>
      </c>
      <c r="Q90" s="3"/>
      <c r="R90" s="26"/>
      <c r="S90" s="3"/>
      <c r="T90" s="3">
        <f>-17.41</f>
        <v>-17.41</v>
      </c>
      <c r="U90" s="3"/>
      <c r="V90" s="26"/>
      <c r="W90" s="3"/>
      <c r="X90" s="3">
        <f t="shared" si="10"/>
        <v>17.41</v>
      </c>
      <c r="Y90" s="3"/>
      <c r="Z90" s="26">
        <f t="shared" si="11"/>
        <v>-1</v>
      </c>
    </row>
    <row r="91" spans="1:26" s="69" customFormat="1" ht="15" hidden="1" customHeight="1" outlineLevel="1" x14ac:dyDescent="0.3">
      <c r="A91" s="47"/>
      <c r="B91" s="9" t="str">
        <f>CONCATENATE("          ","4340"," - ","SALES RETURN NON TAXABLE-LOGO")</f>
        <v xml:space="preserve">          4340 - SALES RETURN NON TAXABLE-LOGO</v>
      </c>
      <c r="C91" s="9"/>
      <c r="D91" s="3">
        <f>0</f>
        <v>0</v>
      </c>
      <c r="E91" s="3"/>
      <c r="F91" s="26"/>
      <c r="G91" s="3"/>
      <c r="H91" s="3">
        <f>-286.5</f>
        <v>-286.5</v>
      </c>
      <c r="I91" s="3"/>
      <c r="J91" s="26"/>
      <c r="K91" s="3"/>
      <c r="L91" s="3">
        <f t="shared" si="8"/>
        <v>286.5</v>
      </c>
      <c r="M91" s="3"/>
      <c r="N91" s="26">
        <f t="shared" si="9"/>
        <v>-1</v>
      </c>
      <c r="O91" s="9"/>
      <c r="P91" s="3">
        <f>0</f>
        <v>0</v>
      </c>
      <c r="Q91" s="3"/>
      <c r="R91" s="26"/>
      <c r="S91" s="3"/>
      <c r="T91" s="3">
        <f>-3737.76</f>
        <v>-3737.76</v>
      </c>
      <c r="U91" s="3"/>
      <c r="V91" s="26"/>
      <c r="W91" s="3"/>
      <c r="X91" s="3">
        <f t="shared" si="10"/>
        <v>3737.76</v>
      </c>
      <c r="Y91" s="3"/>
      <c r="Z91" s="26">
        <f t="shared" si="11"/>
        <v>-1</v>
      </c>
    </row>
    <row r="92" spans="1:26" s="69" customFormat="1" ht="15" hidden="1" customHeight="1" outlineLevel="1" x14ac:dyDescent="0.3">
      <c r="A92" s="47"/>
      <c r="B92" s="9" t="str">
        <f>CONCATENATE("          ","4341"," - ","SALES RETURN NON TAXABLE-LOGO")</f>
        <v xml:space="preserve">          4341 - SALES RETURN NON TAXABLE-LOGO</v>
      </c>
      <c r="C92" s="9"/>
      <c r="D92" s="3">
        <f>0</f>
        <v>0</v>
      </c>
      <c r="E92" s="3"/>
      <c r="F92" s="26"/>
      <c r="G92" s="3"/>
      <c r="H92" s="3">
        <f>-20.85</f>
        <v>-20.85</v>
      </c>
      <c r="I92" s="3"/>
      <c r="J92" s="26"/>
      <c r="K92" s="3"/>
      <c r="L92" s="3">
        <f t="shared" si="8"/>
        <v>20.85</v>
      </c>
      <c r="M92" s="3"/>
      <c r="N92" s="26">
        <f t="shared" si="9"/>
        <v>-1</v>
      </c>
      <c r="O92" s="9"/>
      <c r="P92" s="3">
        <f>0</f>
        <v>0</v>
      </c>
      <c r="Q92" s="3"/>
      <c r="R92" s="26"/>
      <c r="S92" s="3"/>
      <c r="T92" s="3">
        <f>-527.59</f>
        <v>-527.59</v>
      </c>
      <c r="U92" s="3"/>
      <c r="V92" s="26"/>
      <c r="W92" s="3"/>
      <c r="X92" s="3">
        <f t="shared" si="10"/>
        <v>527.59</v>
      </c>
      <c r="Y92" s="3"/>
      <c r="Z92" s="26">
        <f t="shared" si="11"/>
        <v>-1</v>
      </c>
    </row>
    <row r="93" spans="1:26" s="69" customFormat="1" ht="15" hidden="1" customHeight="1" outlineLevel="1" x14ac:dyDescent="0.3">
      <c r="A93" s="47"/>
      <c r="B93" s="9" t="str">
        <f>CONCATENATE("          ","4342"," - ","SALES RETURN NON TAXABLE-EVERY")</f>
        <v xml:space="preserve">          4342 - SALES RETURN NON TAXABLE-EVERY</v>
      </c>
      <c r="C93" s="9"/>
      <c r="D93" s="3">
        <f>0</f>
        <v>0</v>
      </c>
      <c r="E93" s="3"/>
      <c r="F93" s="26"/>
      <c r="G93" s="3"/>
      <c r="H93" s="3">
        <f>0</f>
        <v>0</v>
      </c>
      <c r="I93" s="3"/>
      <c r="J93" s="26"/>
      <c r="K93" s="3"/>
      <c r="L93" s="3">
        <f t="shared" si="8"/>
        <v>0</v>
      </c>
      <c r="M93" s="3"/>
      <c r="N93" s="26">
        <f t="shared" si="9"/>
        <v>0</v>
      </c>
      <c r="O93" s="9"/>
      <c r="P93" s="3">
        <f>0</f>
        <v>0</v>
      </c>
      <c r="Q93" s="3"/>
      <c r="R93" s="26"/>
      <c r="S93" s="3"/>
      <c r="T93" s="3">
        <f>-118.7</f>
        <v>-118.7</v>
      </c>
      <c r="U93" s="3"/>
      <c r="V93" s="26"/>
      <c r="W93" s="3"/>
      <c r="X93" s="3">
        <f t="shared" si="10"/>
        <v>118.7</v>
      </c>
      <c r="Y93" s="3"/>
      <c r="Z93" s="26">
        <f t="shared" si="11"/>
        <v>-1</v>
      </c>
    </row>
    <row r="94" spans="1:26" s="69" customFormat="1" ht="15" hidden="1" customHeight="1" outlineLevel="1" x14ac:dyDescent="0.3">
      <c r="A94" s="47"/>
      <c r="B94" s="9" t="str">
        <f>CONCATENATE("          ","4381"," - ","SALES RETURN NON TAXABLE-ELECT")</f>
        <v xml:space="preserve">          4381 - SALES RETURN NON TAXABLE-ELECT</v>
      </c>
      <c r="C94" s="9"/>
      <c r="D94" s="3">
        <f>0</f>
        <v>0</v>
      </c>
      <c r="E94" s="3"/>
      <c r="F94" s="26"/>
      <c r="G94" s="3"/>
      <c r="H94" s="3">
        <f>-1.99</f>
        <v>-1.99</v>
      </c>
      <c r="I94" s="3"/>
      <c r="J94" s="26"/>
      <c r="K94" s="3"/>
      <c r="L94" s="3">
        <f t="shared" si="8"/>
        <v>1.99</v>
      </c>
      <c r="M94" s="3"/>
      <c r="N94" s="26">
        <f t="shared" si="9"/>
        <v>-1</v>
      </c>
      <c r="O94" s="9"/>
      <c r="P94" s="3">
        <f>0</f>
        <v>0</v>
      </c>
      <c r="Q94" s="3"/>
      <c r="R94" s="26"/>
      <c r="S94" s="3"/>
      <c r="T94" s="3">
        <f>-5626.14</f>
        <v>-5626.14</v>
      </c>
      <c r="U94" s="3"/>
      <c r="V94" s="26"/>
      <c r="W94" s="3"/>
      <c r="X94" s="3">
        <f t="shared" si="10"/>
        <v>5626.14</v>
      </c>
      <c r="Y94" s="3"/>
      <c r="Z94" s="26">
        <f t="shared" si="11"/>
        <v>-1</v>
      </c>
    </row>
    <row r="95" spans="1:26" s="69" customFormat="1" ht="15" hidden="1" customHeight="1" outlineLevel="1" x14ac:dyDescent="0.3">
      <c r="A95" s="47"/>
      <c r="B95" s="9" t="str">
        <f>CONCATENATE("          ","4383"," - ","SALES RETURN NON TAXABLE-COMPU")</f>
        <v xml:space="preserve">          4383 - SALES RETURN NON TAXABLE-COMPU</v>
      </c>
      <c r="C95" s="9"/>
      <c r="D95" s="3">
        <f>0</f>
        <v>0</v>
      </c>
      <c r="E95" s="3"/>
      <c r="F95" s="26"/>
      <c r="G95" s="3"/>
      <c r="H95" s="3">
        <f>0</f>
        <v>0</v>
      </c>
      <c r="I95" s="3"/>
      <c r="J95" s="26"/>
      <c r="K95" s="3"/>
      <c r="L95" s="3">
        <f t="shared" si="8"/>
        <v>0</v>
      </c>
      <c r="M95" s="3"/>
      <c r="N95" s="26">
        <f t="shared" si="9"/>
        <v>0</v>
      </c>
      <c r="O95" s="9"/>
      <c r="P95" s="3">
        <f>0</f>
        <v>0</v>
      </c>
      <c r="Q95" s="3"/>
      <c r="R95" s="26"/>
      <c r="S95" s="3"/>
      <c r="T95" s="3">
        <f>-14.99</f>
        <v>-14.99</v>
      </c>
      <c r="U95" s="3"/>
      <c r="V95" s="26"/>
      <c r="W95" s="3"/>
      <c r="X95" s="3">
        <f t="shared" si="10"/>
        <v>14.99</v>
      </c>
      <c r="Y95" s="3"/>
      <c r="Z95" s="26">
        <f t="shared" si="11"/>
        <v>-1</v>
      </c>
    </row>
    <row r="96" spans="1:26" s="69" customFormat="1" ht="15" hidden="1" customHeight="1" outlineLevel="1" x14ac:dyDescent="0.3">
      <c r="A96" s="47"/>
      <c r="B96" s="9" t="str">
        <f>CONCATENATE("          ","4500"," - ","SALES DISCOUNT")</f>
        <v xml:space="preserve">          4500 - SALES DISCOUNT</v>
      </c>
      <c r="C96" s="9"/>
      <c r="D96" s="3">
        <f>-7918.31</f>
        <v>-7918.31</v>
      </c>
      <c r="E96" s="3"/>
      <c r="F96" s="26"/>
      <c r="G96" s="3"/>
      <c r="H96" s="3">
        <f>0</f>
        <v>0</v>
      </c>
      <c r="I96" s="3"/>
      <c r="J96" s="26"/>
      <c r="K96" s="3"/>
      <c r="L96" s="3">
        <f t="shared" si="8"/>
        <v>-7918.31</v>
      </c>
      <c r="M96" s="3"/>
      <c r="N96" s="26">
        <f t="shared" si="9"/>
        <v>0</v>
      </c>
      <c r="O96" s="9"/>
      <c r="P96" s="3">
        <f>-137275.4</f>
        <v>-137275.4</v>
      </c>
      <c r="Q96" s="3"/>
      <c r="R96" s="26"/>
      <c r="S96" s="3"/>
      <c r="T96" s="3">
        <f>0</f>
        <v>0</v>
      </c>
      <c r="U96" s="3"/>
      <c r="V96" s="26"/>
      <c r="W96" s="3"/>
      <c r="X96" s="3">
        <f t="shared" si="10"/>
        <v>-137275.4</v>
      </c>
      <c r="Y96" s="3"/>
      <c r="Z96" s="26">
        <f t="shared" si="11"/>
        <v>0</v>
      </c>
    </row>
    <row r="97" spans="1:26" ht="15" customHeight="1" x14ac:dyDescent="0.3">
      <c r="A97" s="12"/>
      <c r="B97" s="13"/>
      <c r="C97" s="12"/>
      <c r="D97" s="4"/>
      <c r="E97" s="4"/>
      <c r="F97" s="10"/>
      <c r="G97" s="4"/>
      <c r="H97" s="4"/>
      <c r="I97" s="4"/>
      <c r="J97" s="10"/>
      <c r="K97" s="4"/>
      <c r="L97" s="4"/>
      <c r="M97" s="4"/>
      <c r="N97" s="10"/>
      <c r="P97" s="4"/>
      <c r="Q97" s="4"/>
      <c r="R97" s="10"/>
      <c r="S97" s="4"/>
      <c r="T97" s="4"/>
      <c r="U97" s="4"/>
      <c r="V97" s="10"/>
      <c r="W97" s="4"/>
      <c r="X97" s="4"/>
      <c r="Y97" s="4"/>
      <c r="Z97" s="10"/>
    </row>
    <row r="98" spans="1:26" s="62" customFormat="1" ht="15" customHeight="1" collapsed="1" x14ac:dyDescent="0.3">
      <c r="A98" s="13"/>
      <c r="B98" s="27" t="s">
        <v>287</v>
      </c>
      <c r="C98" s="13"/>
      <c r="D98" s="8">
        <f>SUM(OSRRefD16x_0)</f>
        <v>718962.26</v>
      </c>
      <c r="E98" s="8"/>
      <c r="F98" s="14">
        <f t="shared" ref="F98:F129" si="12">IF(D$12=0,0,D98/D$12)</f>
        <v>1.0410754343778608</v>
      </c>
      <c r="G98" s="8"/>
      <c r="H98" s="8">
        <f>SUM(OSRRefH16x_0)</f>
        <v>288585.3299999999</v>
      </c>
      <c r="I98" s="8"/>
      <c r="J98" s="14">
        <f t="shared" ref="J98:J129" si="13">IF(H$12=0,0,H98/H$12)</f>
        <v>0.87666319679546578</v>
      </c>
      <c r="K98" s="8"/>
      <c r="L98" s="8">
        <f t="shared" ref="L98:L129" si="14">+D98-H98</f>
        <v>430376.93000000011</v>
      </c>
      <c r="M98" s="8"/>
      <c r="N98" s="14">
        <f t="shared" ref="N98:N129" si="15">IF(H98=0,0,L98/H98)</f>
        <v>1.4913333605696459</v>
      </c>
      <c r="O98" s="13"/>
      <c r="P98" s="8">
        <f>SUM(OSRRefP16x_0)</f>
        <v>6901991.0599999996</v>
      </c>
      <c r="Q98" s="8"/>
      <c r="R98" s="14">
        <f t="shared" ref="R98:R129" si="16">IF(P$12=0,0,P98/P$12)</f>
        <v>0.64538898887927221</v>
      </c>
      <c r="S98" s="8"/>
      <c r="T98" s="8">
        <f>SUM(OSRRefT16x_0)</f>
        <v>5771855.9900000012</v>
      </c>
      <c r="U98" s="8"/>
      <c r="V98" s="14">
        <f t="shared" ref="V98:V129" si="17">IF(T$12=0,0,T98/T$12)</f>
        <v>0.71159506577385434</v>
      </c>
      <c r="W98" s="8"/>
      <c r="X98" s="8">
        <f t="shared" ref="X98:X129" si="18">+P98-T98</f>
        <v>1130135.0699999984</v>
      </c>
      <c r="Y98" s="8"/>
      <c r="Z98" s="14">
        <f t="shared" ref="Z98:Z129" si="19">IF(T98=0,0,X98/T98)</f>
        <v>0.19580098186060221</v>
      </c>
    </row>
    <row r="99" spans="1:26" s="69" customFormat="1" ht="15" hidden="1" customHeight="1" outlineLevel="1" x14ac:dyDescent="0.3">
      <c r="A99" s="47"/>
      <c r="B99" s="9" t="str">
        <f>CONCATENATE("          ","5000"," - ","PURCHASES @ COST")</f>
        <v xml:space="preserve">          5000 - PURCHASES @ COST</v>
      </c>
      <c r="C99" s="9"/>
      <c r="D99" s="3">
        <v>785276.08</v>
      </c>
      <c r="E99" s="3"/>
      <c r="F99" s="26">
        <f t="shared" si="12"/>
        <v>1.1370995135301589</v>
      </c>
      <c r="G99" s="3"/>
      <c r="H99" s="3"/>
      <c r="I99" s="3"/>
      <c r="J99" s="26">
        <f t="shared" si="13"/>
        <v>0</v>
      </c>
      <c r="K99" s="3"/>
      <c r="L99" s="3">
        <f t="shared" si="14"/>
        <v>785276.08</v>
      </c>
      <c r="M99" s="3"/>
      <c r="N99" s="26">
        <f t="shared" si="15"/>
        <v>0</v>
      </c>
      <c r="O99" s="9"/>
      <c r="P99" s="3">
        <v>7047248.1600000001</v>
      </c>
      <c r="Q99" s="3"/>
      <c r="R99" s="26">
        <f t="shared" si="16"/>
        <v>0.65897163946249904</v>
      </c>
      <c r="S99" s="3"/>
      <c r="T99" s="3">
        <v>0</v>
      </c>
      <c r="U99" s="3"/>
      <c r="V99" s="26">
        <f t="shared" si="17"/>
        <v>0</v>
      </c>
      <c r="W99" s="3"/>
      <c r="X99" s="3">
        <f t="shared" si="18"/>
        <v>7047248.1600000001</v>
      </c>
      <c r="Y99" s="3"/>
      <c r="Z99" s="26">
        <f t="shared" si="19"/>
        <v>0</v>
      </c>
    </row>
    <row r="100" spans="1:26" s="69" customFormat="1" ht="15" hidden="1" customHeight="1" outlineLevel="1" x14ac:dyDescent="0.3">
      <c r="A100" s="47"/>
      <c r="B100" s="9" t="str">
        <f>CONCATENATE("          ","5001"," - ","PURCHASES @ COST-NEW TEXT")</f>
        <v xml:space="preserve">          5001 - PURCHASES @ COST-NEW TEXT</v>
      </c>
      <c r="C100" s="9"/>
      <c r="D100" s="3"/>
      <c r="E100" s="3"/>
      <c r="F100" s="26">
        <f t="shared" si="12"/>
        <v>0</v>
      </c>
      <c r="G100" s="3"/>
      <c r="H100" s="3">
        <v>142777.26</v>
      </c>
      <c r="I100" s="3"/>
      <c r="J100" s="26">
        <f t="shared" si="13"/>
        <v>0.43372810801331252</v>
      </c>
      <c r="K100" s="3"/>
      <c r="L100" s="3">
        <f t="shared" si="14"/>
        <v>-142777.26</v>
      </c>
      <c r="M100" s="3"/>
      <c r="N100" s="26">
        <f t="shared" si="15"/>
        <v>-1</v>
      </c>
      <c r="O100" s="9"/>
      <c r="P100" s="3">
        <v>0</v>
      </c>
      <c r="Q100" s="3"/>
      <c r="R100" s="26">
        <f t="shared" si="16"/>
        <v>0</v>
      </c>
      <c r="S100" s="3"/>
      <c r="T100" s="3">
        <v>1214343.74</v>
      </c>
      <c r="U100" s="3"/>
      <c r="V100" s="26">
        <f t="shared" si="17"/>
        <v>0.14971285060377401</v>
      </c>
      <c r="W100" s="3"/>
      <c r="X100" s="3">
        <f t="shared" si="18"/>
        <v>-1214343.74</v>
      </c>
      <c r="Y100" s="3"/>
      <c r="Z100" s="26">
        <f t="shared" si="19"/>
        <v>-1</v>
      </c>
    </row>
    <row r="101" spans="1:26" s="69" customFormat="1" ht="15" hidden="1" customHeight="1" outlineLevel="1" x14ac:dyDescent="0.3">
      <c r="A101" s="47"/>
      <c r="B101" s="9" t="str">
        <f>CONCATENATE("          ","5002"," - ","PURCHASES @ COST-USED TEXT")</f>
        <v xml:space="preserve">          5002 - PURCHASES @ COST-USED TEXT</v>
      </c>
      <c r="C101" s="9"/>
      <c r="D101" s="3"/>
      <c r="E101" s="3"/>
      <c r="F101" s="26">
        <f t="shared" si="12"/>
        <v>0</v>
      </c>
      <c r="G101" s="3"/>
      <c r="H101" s="3">
        <v>-17366.759999999998</v>
      </c>
      <c r="I101" s="3"/>
      <c r="J101" s="26">
        <f t="shared" si="13"/>
        <v>-5.2756664171320237E-2</v>
      </c>
      <c r="K101" s="3"/>
      <c r="L101" s="3">
        <f t="shared" si="14"/>
        <v>17366.759999999998</v>
      </c>
      <c r="M101" s="3"/>
      <c r="N101" s="26">
        <f t="shared" si="15"/>
        <v>-1</v>
      </c>
      <c r="O101" s="9"/>
      <c r="P101" s="3">
        <v>0</v>
      </c>
      <c r="Q101" s="3"/>
      <c r="R101" s="26">
        <f t="shared" si="16"/>
        <v>0</v>
      </c>
      <c r="S101" s="3"/>
      <c r="T101" s="3">
        <v>262546.52</v>
      </c>
      <c r="U101" s="3"/>
      <c r="V101" s="26">
        <f t="shared" si="17"/>
        <v>3.2368584471231157E-2</v>
      </c>
      <c r="W101" s="3"/>
      <c r="X101" s="3">
        <f t="shared" si="18"/>
        <v>-262546.52</v>
      </c>
      <c r="Y101" s="3"/>
      <c r="Z101" s="26">
        <f t="shared" si="19"/>
        <v>-1</v>
      </c>
    </row>
    <row r="102" spans="1:26" s="69" customFormat="1" ht="15" hidden="1" customHeight="1" outlineLevel="1" x14ac:dyDescent="0.3">
      <c r="A102" s="47"/>
      <c r="B102" s="9" t="str">
        <f>CONCATENATE("          ","5003"," - ","PURCHASES @ COST-RENTAL TEXT")</f>
        <v xml:space="preserve">          5003 - PURCHASES @ COST-RENTAL TEXT</v>
      </c>
      <c r="C102" s="9"/>
      <c r="D102" s="3"/>
      <c r="E102" s="3"/>
      <c r="F102" s="26">
        <f t="shared" si="12"/>
        <v>0</v>
      </c>
      <c r="G102" s="3"/>
      <c r="H102" s="3">
        <v>6024.36</v>
      </c>
      <c r="I102" s="3"/>
      <c r="J102" s="26">
        <f t="shared" si="13"/>
        <v>1.830077327994023E-2</v>
      </c>
      <c r="K102" s="3"/>
      <c r="L102" s="3">
        <f t="shared" si="14"/>
        <v>-6024.36</v>
      </c>
      <c r="M102" s="3"/>
      <c r="N102" s="26">
        <f t="shared" si="15"/>
        <v>-1</v>
      </c>
      <c r="O102" s="9"/>
      <c r="P102" s="3"/>
      <c r="Q102" s="3"/>
      <c r="R102" s="26">
        <f t="shared" si="16"/>
        <v>0</v>
      </c>
      <c r="S102" s="3"/>
      <c r="T102" s="3">
        <v>13236.44</v>
      </c>
      <c r="U102" s="3"/>
      <c r="V102" s="26">
        <f t="shared" si="17"/>
        <v>1.6318815661254353E-3</v>
      </c>
      <c r="W102" s="3"/>
      <c r="X102" s="3">
        <f t="shared" si="18"/>
        <v>-13236.44</v>
      </c>
      <c r="Y102" s="3"/>
      <c r="Z102" s="26">
        <f t="shared" si="19"/>
        <v>-1</v>
      </c>
    </row>
    <row r="103" spans="1:26" s="69" customFormat="1" ht="15" hidden="1" customHeight="1" outlineLevel="1" x14ac:dyDescent="0.3">
      <c r="A103" s="47"/>
      <c r="B103" s="9" t="str">
        <f>CONCATENATE("          ","5004"," - ","PURCHASES @ COST-DIGITAL TEXT")</f>
        <v xml:space="preserve">          5004 - PURCHASES @ COST-DIGITAL TEXT</v>
      </c>
      <c r="C103" s="9"/>
      <c r="D103" s="3"/>
      <c r="E103" s="3"/>
      <c r="F103" s="26">
        <f t="shared" si="12"/>
        <v>0</v>
      </c>
      <c r="G103" s="3"/>
      <c r="H103" s="3">
        <v>178285.37</v>
      </c>
      <c r="I103" s="3"/>
      <c r="J103" s="26">
        <f t="shared" si="13"/>
        <v>0.5415944823184965</v>
      </c>
      <c r="K103" s="3"/>
      <c r="L103" s="3">
        <f t="shared" si="14"/>
        <v>-178285.37</v>
      </c>
      <c r="M103" s="3"/>
      <c r="N103" s="26">
        <f t="shared" si="15"/>
        <v>-1</v>
      </c>
      <c r="O103" s="9"/>
      <c r="P103" s="3">
        <v>0</v>
      </c>
      <c r="Q103" s="3"/>
      <c r="R103" s="26">
        <f t="shared" si="16"/>
        <v>0</v>
      </c>
      <c r="S103" s="3"/>
      <c r="T103" s="3">
        <v>377891.8</v>
      </c>
      <c r="U103" s="3"/>
      <c r="V103" s="26">
        <f t="shared" si="17"/>
        <v>4.6589163129206926E-2</v>
      </c>
      <c r="W103" s="3"/>
      <c r="X103" s="3">
        <f t="shared" si="18"/>
        <v>-377891.8</v>
      </c>
      <c r="Y103" s="3"/>
      <c r="Z103" s="26">
        <f t="shared" si="19"/>
        <v>-1</v>
      </c>
    </row>
    <row r="104" spans="1:26" s="69" customFormat="1" ht="15" hidden="1" customHeight="1" outlineLevel="1" x14ac:dyDescent="0.3">
      <c r="A104" s="47"/>
      <c r="B104" s="9" t="str">
        <f>CONCATENATE("          ","5011"," - ","PURCHASES @ COST-NO VALUE TEXT")</f>
        <v xml:space="preserve">          5011 - PURCHASES @ COST-NO VALUE TEXT</v>
      </c>
      <c r="C104" s="9"/>
      <c r="D104" s="3"/>
      <c r="E104" s="3"/>
      <c r="F104" s="26">
        <f t="shared" si="12"/>
        <v>0</v>
      </c>
      <c r="G104" s="3"/>
      <c r="H104" s="3">
        <v>63.17</v>
      </c>
      <c r="I104" s="3"/>
      <c r="J104" s="26">
        <f t="shared" si="13"/>
        <v>1.9189753734734054E-4</v>
      </c>
      <c r="K104" s="3"/>
      <c r="L104" s="3">
        <f t="shared" si="14"/>
        <v>-63.17</v>
      </c>
      <c r="M104" s="3"/>
      <c r="N104" s="26">
        <f t="shared" si="15"/>
        <v>-1</v>
      </c>
      <c r="O104" s="9"/>
      <c r="P104" s="3"/>
      <c r="Q104" s="3"/>
      <c r="R104" s="26">
        <f t="shared" si="16"/>
        <v>0</v>
      </c>
      <c r="S104" s="3"/>
      <c r="T104" s="3">
        <v>130.34</v>
      </c>
      <c r="U104" s="3"/>
      <c r="V104" s="26">
        <f t="shared" si="17"/>
        <v>1.6069233368548435E-5</v>
      </c>
      <c r="W104" s="3"/>
      <c r="X104" s="3">
        <f t="shared" si="18"/>
        <v>-130.34</v>
      </c>
      <c r="Y104" s="3"/>
      <c r="Z104" s="26">
        <f t="shared" si="19"/>
        <v>-1</v>
      </c>
    </row>
    <row r="105" spans="1:26" s="69" customFormat="1" ht="15" hidden="1" customHeight="1" outlineLevel="1" x14ac:dyDescent="0.3">
      <c r="A105" s="47"/>
      <c r="B105" s="9" t="str">
        <f>CONCATENATE("          ","5013"," - ","PURCHASES @ COST-TRADE BOOKS")</f>
        <v xml:space="preserve">          5013 - PURCHASES @ COST-TRADE BOOKS</v>
      </c>
      <c r="C105" s="9"/>
      <c r="D105" s="3"/>
      <c r="E105" s="3"/>
      <c r="F105" s="26">
        <f t="shared" si="12"/>
        <v>0</v>
      </c>
      <c r="G105" s="3"/>
      <c r="H105" s="3">
        <v>1964.92</v>
      </c>
      <c r="I105" s="3"/>
      <c r="J105" s="26">
        <f t="shared" si="13"/>
        <v>5.9690249973806614E-3</v>
      </c>
      <c r="K105" s="3"/>
      <c r="L105" s="3">
        <f t="shared" si="14"/>
        <v>-1964.92</v>
      </c>
      <c r="M105" s="3"/>
      <c r="N105" s="26">
        <f t="shared" si="15"/>
        <v>-1</v>
      </c>
      <c r="O105" s="9"/>
      <c r="P105" s="3"/>
      <c r="Q105" s="3"/>
      <c r="R105" s="26">
        <f t="shared" si="16"/>
        <v>0</v>
      </c>
      <c r="S105" s="3"/>
      <c r="T105" s="3">
        <v>11634.94</v>
      </c>
      <c r="U105" s="3"/>
      <c r="V105" s="26">
        <f t="shared" si="17"/>
        <v>1.4344373645009893E-3</v>
      </c>
      <c r="W105" s="3"/>
      <c r="X105" s="3">
        <f t="shared" si="18"/>
        <v>-11634.94</v>
      </c>
      <c r="Y105" s="3"/>
      <c r="Z105" s="26">
        <f t="shared" si="19"/>
        <v>-1</v>
      </c>
    </row>
    <row r="106" spans="1:26" s="69" customFormat="1" ht="15" hidden="1" customHeight="1" outlineLevel="1" x14ac:dyDescent="0.3">
      <c r="A106" s="47"/>
      <c r="B106" s="9" t="str">
        <f>CONCATENATE("          ","5014"," - ","PURCHASES @ COST-REMAINDERS")</f>
        <v xml:space="preserve">          5014 - PURCHASES @ COST-REMAINDERS</v>
      </c>
      <c r="C106" s="9"/>
      <c r="D106" s="3"/>
      <c r="E106" s="3"/>
      <c r="F106" s="26">
        <f t="shared" si="12"/>
        <v>0</v>
      </c>
      <c r="G106" s="3"/>
      <c r="H106" s="3">
        <v>-161.43</v>
      </c>
      <c r="I106" s="3"/>
      <c r="J106" s="26">
        <f t="shared" si="13"/>
        <v>-4.9039131635240127E-4</v>
      </c>
      <c r="K106" s="3"/>
      <c r="L106" s="3">
        <f t="shared" si="14"/>
        <v>161.43</v>
      </c>
      <c r="M106" s="3"/>
      <c r="N106" s="26">
        <f t="shared" si="15"/>
        <v>-1</v>
      </c>
      <c r="O106" s="9"/>
      <c r="P106" s="3"/>
      <c r="Q106" s="3"/>
      <c r="R106" s="26">
        <f t="shared" si="16"/>
        <v>0</v>
      </c>
      <c r="S106" s="3"/>
      <c r="T106" s="3">
        <v>-49.86</v>
      </c>
      <c r="U106" s="3"/>
      <c r="V106" s="26">
        <f t="shared" si="17"/>
        <v>-6.1470920343396116E-6</v>
      </c>
      <c r="W106" s="3"/>
      <c r="X106" s="3">
        <f t="shared" si="18"/>
        <v>49.86</v>
      </c>
      <c r="Y106" s="3"/>
      <c r="Z106" s="26">
        <f t="shared" si="19"/>
        <v>-1</v>
      </c>
    </row>
    <row r="107" spans="1:26" s="69" customFormat="1" ht="15" hidden="1" customHeight="1" outlineLevel="1" x14ac:dyDescent="0.3">
      <c r="A107" s="47"/>
      <c r="B107" s="9" t="str">
        <f>CONCATENATE("          ","5018"," - ","PURCHASES @ COST-STUDY GUIDES")</f>
        <v xml:space="preserve">          5018 - PURCHASES @ COST-STUDY GUIDES</v>
      </c>
      <c r="C107" s="9"/>
      <c r="D107" s="3"/>
      <c r="E107" s="3"/>
      <c r="F107" s="26">
        <f t="shared" si="12"/>
        <v>0</v>
      </c>
      <c r="G107" s="3"/>
      <c r="H107" s="3">
        <v>476.17</v>
      </c>
      <c r="I107" s="3"/>
      <c r="J107" s="26">
        <f t="shared" si="13"/>
        <v>1.4465070501612023E-3</v>
      </c>
      <c r="K107" s="3"/>
      <c r="L107" s="3">
        <f t="shared" si="14"/>
        <v>-476.17</v>
      </c>
      <c r="M107" s="3"/>
      <c r="N107" s="26">
        <f t="shared" si="15"/>
        <v>-1</v>
      </c>
      <c r="O107" s="9"/>
      <c r="P107" s="3"/>
      <c r="Q107" s="3"/>
      <c r="R107" s="26">
        <f t="shared" si="16"/>
        <v>0</v>
      </c>
      <c r="S107" s="3"/>
      <c r="T107" s="3">
        <v>1443.38</v>
      </c>
      <c r="U107" s="3"/>
      <c r="V107" s="26">
        <f t="shared" si="17"/>
        <v>1.7795005416215622E-4</v>
      </c>
      <c r="W107" s="3"/>
      <c r="X107" s="3">
        <f t="shared" si="18"/>
        <v>-1443.38</v>
      </c>
      <c r="Y107" s="3"/>
      <c r="Z107" s="26">
        <f t="shared" si="19"/>
        <v>-1</v>
      </c>
    </row>
    <row r="108" spans="1:26" s="69" customFormat="1" ht="15" hidden="1" customHeight="1" outlineLevel="1" x14ac:dyDescent="0.3">
      <c r="A108" s="47"/>
      <c r="B108" s="9" t="str">
        <f>CONCATENATE("          ","5025"," - ","PURCHASES @ COST-TEST FORMS")</f>
        <v xml:space="preserve">          5025 - PURCHASES @ COST-TEST FORMS</v>
      </c>
      <c r="C108" s="9"/>
      <c r="D108" s="3"/>
      <c r="E108" s="3"/>
      <c r="F108" s="26">
        <f t="shared" si="12"/>
        <v>0</v>
      </c>
      <c r="G108" s="3"/>
      <c r="H108" s="3">
        <v>161</v>
      </c>
      <c r="I108" s="3"/>
      <c r="J108" s="26">
        <f t="shared" si="13"/>
        <v>4.8908506431726809E-4</v>
      </c>
      <c r="K108" s="3"/>
      <c r="L108" s="3">
        <f t="shared" si="14"/>
        <v>-161</v>
      </c>
      <c r="M108" s="3"/>
      <c r="N108" s="26">
        <f t="shared" si="15"/>
        <v>-1</v>
      </c>
      <c r="O108" s="9"/>
      <c r="P108" s="3"/>
      <c r="Q108" s="3"/>
      <c r="R108" s="26">
        <f t="shared" si="16"/>
        <v>0</v>
      </c>
      <c r="S108" s="3"/>
      <c r="T108" s="3">
        <v>760.29</v>
      </c>
      <c r="U108" s="3"/>
      <c r="V108" s="26">
        <f t="shared" si="17"/>
        <v>9.373390699534823E-5</v>
      </c>
      <c r="W108" s="3"/>
      <c r="X108" s="3">
        <f t="shared" si="18"/>
        <v>-760.29</v>
      </c>
      <c r="Y108" s="3"/>
      <c r="Z108" s="26">
        <f t="shared" si="19"/>
        <v>-1</v>
      </c>
    </row>
    <row r="109" spans="1:26" s="69" customFormat="1" ht="15" hidden="1" customHeight="1" outlineLevel="1" x14ac:dyDescent="0.3">
      <c r="A109" s="47"/>
      <c r="B109" s="9" t="str">
        <f>CONCATENATE("          ","5026"," - ","PURCHASES @ COST-WRITING INSTR")</f>
        <v xml:space="preserve">          5026 - PURCHASES @ COST-WRITING INSTR</v>
      </c>
      <c r="C109" s="9"/>
      <c r="D109" s="3"/>
      <c r="E109" s="3"/>
      <c r="F109" s="26">
        <f t="shared" si="12"/>
        <v>0</v>
      </c>
      <c r="G109" s="3"/>
      <c r="H109" s="3">
        <v>1361.75</v>
      </c>
      <c r="I109" s="3"/>
      <c r="J109" s="26">
        <f t="shared" si="13"/>
        <v>4.1367179275406205E-3</v>
      </c>
      <c r="K109" s="3"/>
      <c r="L109" s="3">
        <f t="shared" si="14"/>
        <v>-1361.75</v>
      </c>
      <c r="M109" s="3"/>
      <c r="N109" s="26">
        <f t="shared" si="15"/>
        <v>-1</v>
      </c>
      <c r="O109" s="9"/>
      <c r="P109" s="3">
        <v>0</v>
      </c>
      <c r="Q109" s="3"/>
      <c r="R109" s="26">
        <f t="shared" si="16"/>
        <v>0</v>
      </c>
      <c r="S109" s="3"/>
      <c r="T109" s="3">
        <v>1944.25</v>
      </c>
      <c r="U109" s="3"/>
      <c r="V109" s="26">
        <f t="shared" si="17"/>
        <v>2.3970083609636562E-4</v>
      </c>
      <c r="W109" s="3"/>
      <c r="X109" s="3">
        <f t="shared" si="18"/>
        <v>-1944.25</v>
      </c>
      <c r="Y109" s="3"/>
      <c r="Z109" s="26">
        <f t="shared" si="19"/>
        <v>-1</v>
      </c>
    </row>
    <row r="110" spans="1:26" s="69" customFormat="1" ht="15" hidden="1" customHeight="1" outlineLevel="1" x14ac:dyDescent="0.3">
      <c r="A110" s="47"/>
      <c r="B110" s="9" t="str">
        <f>CONCATENATE("          ","5027"," - ","PURCHASES @ COST-SCHOOL SUPPLI")</f>
        <v xml:space="preserve">          5027 - PURCHASES @ COST-SCHOOL SUPPLI</v>
      </c>
      <c r="C110" s="9"/>
      <c r="D110" s="3"/>
      <c r="E110" s="3"/>
      <c r="F110" s="26">
        <f t="shared" si="12"/>
        <v>0</v>
      </c>
      <c r="G110" s="3"/>
      <c r="H110" s="3">
        <v>-23546.66</v>
      </c>
      <c r="I110" s="3"/>
      <c r="J110" s="26">
        <f t="shared" si="13"/>
        <v>-7.1529936152526979E-2</v>
      </c>
      <c r="K110" s="3"/>
      <c r="L110" s="3">
        <f t="shared" si="14"/>
        <v>23546.66</v>
      </c>
      <c r="M110" s="3"/>
      <c r="N110" s="26">
        <f t="shared" si="15"/>
        <v>-1</v>
      </c>
      <c r="O110" s="9"/>
      <c r="P110" s="3">
        <v>0</v>
      </c>
      <c r="Q110" s="3"/>
      <c r="R110" s="26">
        <f t="shared" si="16"/>
        <v>0</v>
      </c>
      <c r="S110" s="3"/>
      <c r="T110" s="3">
        <v>188.33</v>
      </c>
      <c r="U110" s="3"/>
      <c r="V110" s="26">
        <f t="shared" si="17"/>
        <v>2.3218649073950644E-5</v>
      </c>
      <c r="W110" s="3"/>
      <c r="X110" s="3">
        <f t="shared" si="18"/>
        <v>-188.33</v>
      </c>
      <c r="Y110" s="3"/>
      <c r="Z110" s="26">
        <f t="shared" si="19"/>
        <v>-1</v>
      </c>
    </row>
    <row r="111" spans="1:26" s="69" customFormat="1" ht="15" hidden="1" customHeight="1" outlineLevel="1" x14ac:dyDescent="0.3">
      <c r="A111" s="47"/>
      <c r="B111" s="9" t="str">
        <f>CONCATENATE("          ","5028"," - ","PURCHASES @ COST-ART/TECH")</f>
        <v xml:space="preserve">          5028 - PURCHASES @ COST-ART/TECH</v>
      </c>
      <c r="C111" s="9"/>
      <c r="D111" s="3"/>
      <c r="E111" s="3"/>
      <c r="F111" s="26">
        <f t="shared" si="12"/>
        <v>0</v>
      </c>
      <c r="G111" s="3"/>
      <c r="H111" s="3">
        <v>4965.34</v>
      </c>
      <c r="I111" s="3"/>
      <c r="J111" s="26">
        <f t="shared" si="13"/>
        <v>1.5083687163087604E-2</v>
      </c>
      <c r="K111" s="3"/>
      <c r="L111" s="3">
        <f t="shared" si="14"/>
        <v>-4965.34</v>
      </c>
      <c r="M111" s="3"/>
      <c r="N111" s="26">
        <f t="shared" si="15"/>
        <v>-1</v>
      </c>
      <c r="O111" s="9"/>
      <c r="P111" s="3">
        <v>0</v>
      </c>
      <c r="Q111" s="3"/>
      <c r="R111" s="26">
        <f t="shared" si="16"/>
        <v>0</v>
      </c>
      <c r="S111" s="3"/>
      <c r="T111" s="3">
        <v>52646.080000000002</v>
      </c>
      <c r="U111" s="3"/>
      <c r="V111" s="26">
        <f t="shared" si="17"/>
        <v>6.4905796030326098E-3</v>
      </c>
      <c r="W111" s="3"/>
      <c r="X111" s="3">
        <f t="shared" si="18"/>
        <v>-52646.080000000002</v>
      </c>
      <c r="Y111" s="3"/>
      <c r="Z111" s="26">
        <f t="shared" si="19"/>
        <v>-1</v>
      </c>
    </row>
    <row r="112" spans="1:26" s="69" customFormat="1" ht="15" hidden="1" customHeight="1" outlineLevel="1" x14ac:dyDescent="0.3">
      <c r="A112" s="47"/>
      <c r="B112" s="9" t="str">
        <f>CONCATENATE("          ","5031"," - ","PURCHASES @ COST-FOOD")</f>
        <v xml:space="preserve">          5031 - PURCHASES @ COST-FOOD</v>
      </c>
      <c r="C112" s="9"/>
      <c r="D112" s="3"/>
      <c r="E112" s="3"/>
      <c r="F112" s="26">
        <f t="shared" si="12"/>
        <v>0</v>
      </c>
      <c r="G112" s="3"/>
      <c r="H112" s="3">
        <v>75599.55</v>
      </c>
      <c r="I112" s="3"/>
      <c r="J112" s="26">
        <f t="shared" si="13"/>
        <v>0.22965596754103434</v>
      </c>
      <c r="K112" s="3"/>
      <c r="L112" s="3">
        <f t="shared" si="14"/>
        <v>-75599.55</v>
      </c>
      <c r="M112" s="3"/>
      <c r="N112" s="26">
        <f t="shared" si="15"/>
        <v>-1</v>
      </c>
      <c r="O112" s="9"/>
      <c r="P112" s="3">
        <v>0</v>
      </c>
      <c r="Q112" s="3"/>
      <c r="R112" s="26">
        <f t="shared" si="16"/>
        <v>0</v>
      </c>
      <c r="S112" s="3"/>
      <c r="T112" s="3">
        <v>83665.64</v>
      </c>
      <c r="U112" s="3"/>
      <c r="V112" s="26">
        <f t="shared" si="17"/>
        <v>1.0314889474366738E-2</v>
      </c>
      <c r="W112" s="3"/>
      <c r="X112" s="3">
        <f t="shared" si="18"/>
        <v>-83665.64</v>
      </c>
      <c r="Y112" s="3"/>
      <c r="Z112" s="26">
        <f t="shared" si="19"/>
        <v>-1</v>
      </c>
    </row>
    <row r="113" spans="1:26" s="69" customFormat="1" ht="15" hidden="1" customHeight="1" outlineLevel="1" x14ac:dyDescent="0.3">
      <c r="A113" s="47"/>
      <c r="B113" s="9" t="str">
        <f>CONCATENATE("          ","5032"," - ","PURCHASES @ COST-JUICE")</f>
        <v xml:space="preserve">          5032 - PURCHASES @ COST-JUICE</v>
      </c>
      <c r="C113" s="9"/>
      <c r="D113" s="3"/>
      <c r="E113" s="3"/>
      <c r="F113" s="26">
        <f t="shared" si="12"/>
        <v>0</v>
      </c>
      <c r="G113" s="3"/>
      <c r="H113" s="3">
        <v>291</v>
      </c>
      <c r="I113" s="3"/>
      <c r="J113" s="26">
        <f t="shared" si="13"/>
        <v>8.8399847028773312E-4</v>
      </c>
      <c r="K113" s="3"/>
      <c r="L113" s="3">
        <f t="shared" si="14"/>
        <v>-291</v>
      </c>
      <c r="M113" s="3"/>
      <c r="N113" s="26">
        <f t="shared" si="15"/>
        <v>-1</v>
      </c>
      <c r="O113" s="9"/>
      <c r="P113" s="3"/>
      <c r="Q113" s="3"/>
      <c r="R113" s="26">
        <f t="shared" si="16"/>
        <v>0</v>
      </c>
      <c r="S113" s="3"/>
      <c r="T113" s="3">
        <v>291</v>
      </c>
      <c r="U113" s="3"/>
      <c r="V113" s="26">
        <f t="shared" si="17"/>
        <v>3.5876529923642741E-5</v>
      </c>
      <c r="W113" s="3"/>
      <c r="X113" s="3">
        <f t="shared" si="18"/>
        <v>-291</v>
      </c>
      <c r="Y113" s="3"/>
      <c r="Z113" s="26">
        <f t="shared" si="19"/>
        <v>-1</v>
      </c>
    </row>
    <row r="114" spans="1:26" s="69" customFormat="1" ht="15" hidden="1" customHeight="1" outlineLevel="1" x14ac:dyDescent="0.3">
      <c r="A114" s="47"/>
      <c r="B114" s="9" t="str">
        <f>CONCATENATE("          ","5033"," - ","PURCHASES @ COST-CANDY")</f>
        <v xml:space="preserve">          5033 - PURCHASES @ COST-CANDY</v>
      </c>
      <c r="C114" s="9"/>
      <c r="D114" s="3"/>
      <c r="E114" s="3"/>
      <c r="F114" s="26">
        <f t="shared" si="12"/>
        <v>0</v>
      </c>
      <c r="G114" s="3"/>
      <c r="H114" s="3">
        <v>1266</v>
      </c>
      <c r="I114" s="3"/>
      <c r="J114" s="26">
        <f t="shared" si="13"/>
        <v>3.8458490150662201E-3</v>
      </c>
      <c r="K114" s="3"/>
      <c r="L114" s="3">
        <f t="shared" si="14"/>
        <v>-1266</v>
      </c>
      <c r="M114" s="3"/>
      <c r="N114" s="26">
        <f t="shared" si="15"/>
        <v>-1</v>
      </c>
      <c r="O114" s="9"/>
      <c r="P114" s="3"/>
      <c r="Q114" s="3"/>
      <c r="R114" s="26">
        <f t="shared" si="16"/>
        <v>0</v>
      </c>
      <c r="S114" s="3"/>
      <c r="T114" s="3">
        <v>1266</v>
      </c>
      <c r="U114" s="3"/>
      <c r="V114" s="26">
        <f t="shared" si="17"/>
        <v>1.5608139822450759E-4</v>
      </c>
      <c r="W114" s="3"/>
      <c r="X114" s="3">
        <f t="shared" si="18"/>
        <v>-1266</v>
      </c>
      <c r="Y114" s="3"/>
      <c r="Z114" s="26">
        <f t="shared" si="19"/>
        <v>-1</v>
      </c>
    </row>
    <row r="115" spans="1:26" s="69" customFormat="1" ht="15" hidden="1" customHeight="1" outlineLevel="1" x14ac:dyDescent="0.3">
      <c r="A115" s="47"/>
      <c r="B115" s="9" t="str">
        <f>CONCATENATE("          ","5034"," - ","PURCHASES @ COST-SODA")</f>
        <v xml:space="preserve">          5034 - PURCHASES @ COST-SODA</v>
      </c>
      <c r="C115" s="9"/>
      <c r="D115" s="3"/>
      <c r="E115" s="3"/>
      <c r="F115" s="26">
        <f t="shared" si="12"/>
        <v>0</v>
      </c>
      <c r="G115" s="3"/>
      <c r="H115" s="3">
        <v>567</v>
      </c>
      <c r="I115" s="3"/>
      <c r="J115" s="26">
        <f t="shared" si="13"/>
        <v>1.7224300091173356E-3</v>
      </c>
      <c r="K115" s="3"/>
      <c r="L115" s="3">
        <f t="shared" si="14"/>
        <v>-567</v>
      </c>
      <c r="M115" s="3"/>
      <c r="N115" s="26">
        <f t="shared" si="15"/>
        <v>-1</v>
      </c>
      <c r="O115" s="9"/>
      <c r="P115" s="3"/>
      <c r="Q115" s="3"/>
      <c r="R115" s="26">
        <f t="shared" si="16"/>
        <v>0</v>
      </c>
      <c r="S115" s="3"/>
      <c r="T115" s="3">
        <v>567</v>
      </c>
      <c r="U115" s="3"/>
      <c r="V115" s="26">
        <f t="shared" si="17"/>
        <v>6.9903754181118325E-5</v>
      </c>
      <c r="W115" s="3"/>
      <c r="X115" s="3">
        <f t="shared" si="18"/>
        <v>-567</v>
      </c>
      <c r="Y115" s="3"/>
      <c r="Z115" s="26">
        <f t="shared" si="19"/>
        <v>-1</v>
      </c>
    </row>
    <row r="116" spans="1:26" s="69" customFormat="1" ht="15" hidden="1" customHeight="1" outlineLevel="1" x14ac:dyDescent="0.3">
      <c r="A116" s="47"/>
      <c r="B116" s="9" t="str">
        <f>CONCATENATE("          ","5035"," - ","PURCHASES @ COST-HEALTH &amp; BEAU")</f>
        <v xml:space="preserve">          5035 - PURCHASES @ COST-HEALTH &amp; BEAU</v>
      </c>
      <c r="C116" s="9"/>
      <c r="D116" s="3"/>
      <c r="E116" s="3"/>
      <c r="F116" s="26">
        <f t="shared" si="12"/>
        <v>0</v>
      </c>
      <c r="G116" s="3"/>
      <c r="H116" s="3">
        <v>339</v>
      </c>
      <c r="I116" s="3"/>
      <c r="J116" s="26">
        <f t="shared" si="13"/>
        <v>1.0298126509537509E-3</v>
      </c>
      <c r="K116" s="3"/>
      <c r="L116" s="3">
        <f t="shared" si="14"/>
        <v>-339</v>
      </c>
      <c r="M116" s="3"/>
      <c r="N116" s="26">
        <f t="shared" si="15"/>
        <v>-1</v>
      </c>
      <c r="O116" s="9"/>
      <c r="P116" s="3"/>
      <c r="Q116" s="3"/>
      <c r="R116" s="26">
        <f t="shared" si="16"/>
        <v>0</v>
      </c>
      <c r="S116" s="3"/>
      <c r="T116" s="3">
        <v>339</v>
      </c>
      <c r="U116" s="3"/>
      <c r="V116" s="26">
        <f t="shared" si="17"/>
        <v>4.1794308055377621E-5</v>
      </c>
      <c r="W116" s="3"/>
      <c r="X116" s="3">
        <f t="shared" si="18"/>
        <v>-339</v>
      </c>
      <c r="Y116" s="3"/>
      <c r="Z116" s="26">
        <f t="shared" si="19"/>
        <v>-1</v>
      </c>
    </row>
    <row r="117" spans="1:26" s="69" customFormat="1" ht="15" hidden="1" customHeight="1" outlineLevel="1" x14ac:dyDescent="0.3">
      <c r="A117" s="47"/>
      <c r="B117" s="9" t="str">
        <f>CONCATENATE("          ","5037"," - ","PURCHASES @ COST-WATER")</f>
        <v xml:space="preserve">          5037 - PURCHASES @ COST-WATER</v>
      </c>
      <c r="C117" s="9"/>
      <c r="D117" s="3"/>
      <c r="E117" s="3"/>
      <c r="F117" s="26">
        <f t="shared" si="12"/>
        <v>0</v>
      </c>
      <c r="G117" s="3"/>
      <c r="H117" s="3">
        <v>190.95</v>
      </c>
      <c r="I117" s="3"/>
      <c r="J117" s="26">
        <f t="shared" si="13"/>
        <v>5.8006703746200212E-4</v>
      </c>
      <c r="K117" s="3"/>
      <c r="L117" s="3">
        <f t="shared" si="14"/>
        <v>-190.95</v>
      </c>
      <c r="M117" s="3"/>
      <c r="N117" s="26">
        <f t="shared" si="15"/>
        <v>-1</v>
      </c>
      <c r="O117" s="9"/>
      <c r="P117" s="3"/>
      <c r="Q117" s="3"/>
      <c r="R117" s="26">
        <f t="shared" si="16"/>
        <v>0</v>
      </c>
      <c r="S117" s="3"/>
      <c r="T117" s="3">
        <v>190.95</v>
      </c>
      <c r="U117" s="3"/>
      <c r="V117" s="26">
        <f t="shared" si="17"/>
        <v>2.3541661130307835E-5</v>
      </c>
      <c r="W117" s="3"/>
      <c r="X117" s="3">
        <f t="shared" si="18"/>
        <v>-190.95</v>
      </c>
      <c r="Y117" s="3"/>
      <c r="Z117" s="26">
        <f t="shared" si="19"/>
        <v>-1</v>
      </c>
    </row>
    <row r="118" spans="1:26" s="69" customFormat="1" ht="15" hidden="1" customHeight="1" outlineLevel="1" x14ac:dyDescent="0.3">
      <c r="A118" s="47"/>
      <c r="B118" s="9" t="str">
        <f>CONCATENATE("          ","5040"," - ","PURCHASES @ COST-LOGO CLOTHING")</f>
        <v xml:space="preserve">          5040 - PURCHASES @ COST-LOGO CLOTHING</v>
      </c>
      <c r="C118" s="9"/>
      <c r="D118" s="3"/>
      <c r="E118" s="3"/>
      <c r="F118" s="26">
        <f t="shared" si="12"/>
        <v>0</v>
      </c>
      <c r="G118" s="3"/>
      <c r="H118" s="3">
        <v>65486.18</v>
      </c>
      <c r="I118" s="3"/>
      <c r="J118" s="26">
        <f t="shared" si="13"/>
        <v>0.19893361836765341</v>
      </c>
      <c r="K118" s="3"/>
      <c r="L118" s="3">
        <f t="shared" si="14"/>
        <v>-65486.18</v>
      </c>
      <c r="M118" s="3"/>
      <c r="N118" s="26">
        <f t="shared" si="15"/>
        <v>-1</v>
      </c>
      <c r="O118" s="9"/>
      <c r="P118" s="3">
        <v>0</v>
      </c>
      <c r="Q118" s="3"/>
      <c r="R118" s="26">
        <f t="shared" si="16"/>
        <v>0</v>
      </c>
      <c r="S118" s="3"/>
      <c r="T118" s="3">
        <v>392865.16</v>
      </c>
      <c r="U118" s="3"/>
      <c r="V118" s="26">
        <f t="shared" si="17"/>
        <v>4.8435184428510969E-2</v>
      </c>
      <c r="W118" s="3"/>
      <c r="X118" s="3">
        <f t="shared" si="18"/>
        <v>-392865.16</v>
      </c>
      <c r="Y118" s="3"/>
      <c r="Z118" s="26">
        <f t="shared" si="19"/>
        <v>-1</v>
      </c>
    </row>
    <row r="119" spans="1:26" s="69" customFormat="1" ht="15" hidden="1" customHeight="1" outlineLevel="1" x14ac:dyDescent="0.3">
      <c r="A119" s="47"/>
      <c r="B119" s="9" t="str">
        <f>CONCATENATE("          ","5041"," - ","PURCHASES @ COST-LOGO GIFTS")</f>
        <v xml:space="preserve">          5041 - PURCHASES @ COST-LOGO GIFTS</v>
      </c>
      <c r="C119" s="9"/>
      <c r="D119" s="3"/>
      <c r="E119" s="3"/>
      <c r="F119" s="26">
        <f t="shared" si="12"/>
        <v>0</v>
      </c>
      <c r="G119" s="3"/>
      <c r="H119" s="3">
        <v>115476.79</v>
      </c>
      <c r="I119" s="3"/>
      <c r="J119" s="26">
        <f t="shared" si="13"/>
        <v>0.35079486499566248</v>
      </c>
      <c r="K119" s="3"/>
      <c r="L119" s="3">
        <f t="shared" si="14"/>
        <v>-115476.79</v>
      </c>
      <c r="M119" s="3"/>
      <c r="N119" s="26">
        <f t="shared" si="15"/>
        <v>-1</v>
      </c>
      <c r="O119" s="9"/>
      <c r="P119" s="3">
        <v>0</v>
      </c>
      <c r="Q119" s="3"/>
      <c r="R119" s="26">
        <f t="shared" si="16"/>
        <v>0</v>
      </c>
      <c r="S119" s="3"/>
      <c r="T119" s="3">
        <v>221875.64</v>
      </c>
      <c r="U119" s="3"/>
      <c r="V119" s="26">
        <f t="shared" si="17"/>
        <v>2.7354391882430874E-2</v>
      </c>
      <c r="W119" s="3"/>
      <c r="X119" s="3">
        <f t="shared" si="18"/>
        <v>-221875.64</v>
      </c>
      <c r="Y119" s="3"/>
      <c r="Z119" s="26">
        <f t="shared" si="19"/>
        <v>-1</v>
      </c>
    </row>
    <row r="120" spans="1:26" s="69" customFormat="1" ht="15" hidden="1" customHeight="1" outlineLevel="1" x14ac:dyDescent="0.3">
      <c r="A120" s="47"/>
      <c r="B120" s="9" t="str">
        <f>CONCATENATE("          ","5042"," - ","PURCHASES @ COST-EVERYDAY GIFT")</f>
        <v xml:space="preserve">          5042 - PURCHASES @ COST-EVERYDAY GIFT</v>
      </c>
      <c r="C120" s="9"/>
      <c r="D120" s="3"/>
      <c r="E120" s="3"/>
      <c r="F120" s="26">
        <f t="shared" si="12"/>
        <v>0</v>
      </c>
      <c r="G120" s="3"/>
      <c r="H120" s="3">
        <v>-39.200000000000003</v>
      </c>
      <c r="I120" s="3"/>
      <c r="J120" s="26">
        <f t="shared" si="13"/>
        <v>-1.1908158087724791E-4</v>
      </c>
      <c r="K120" s="3"/>
      <c r="L120" s="3">
        <f t="shared" si="14"/>
        <v>39.200000000000003</v>
      </c>
      <c r="M120" s="3"/>
      <c r="N120" s="26">
        <f t="shared" si="15"/>
        <v>-1</v>
      </c>
      <c r="O120" s="9"/>
      <c r="P120" s="3">
        <v>0</v>
      </c>
      <c r="Q120" s="3"/>
      <c r="R120" s="26">
        <f t="shared" si="16"/>
        <v>0</v>
      </c>
      <c r="S120" s="3"/>
      <c r="T120" s="3">
        <v>18708.87</v>
      </c>
      <c r="U120" s="3"/>
      <c r="V120" s="26">
        <f t="shared" si="17"/>
        <v>2.3065612865723088E-3</v>
      </c>
      <c r="W120" s="3"/>
      <c r="X120" s="3">
        <f t="shared" si="18"/>
        <v>-18708.87</v>
      </c>
      <c r="Y120" s="3"/>
      <c r="Z120" s="26">
        <f t="shared" si="19"/>
        <v>-1</v>
      </c>
    </row>
    <row r="121" spans="1:26" s="69" customFormat="1" ht="15" hidden="1" customHeight="1" outlineLevel="1" x14ac:dyDescent="0.3">
      <c r="A121" s="47"/>
      <c r="B121" s="9" t="str">
        <f>CONCATENATE("          ","5043"," - ","PURCHASES @ COST-CARDS")</f>
        <v xml:space="preserve">          5043 - PURCHASES @ COST-CARDS</v>
      </c>
      <c r="C121" s="9"/>
      <c r="D121" s="3"/>
      <c r="E121" s="3"/>
      <c r="F121" s="26">
        <f t="shared" si="12"/>
        <v>0</v>
      </c>
      <c r="G121" s="3"/>
      <c r="H121" s="3">
        <v>-4615.6499999999996</v>
      </c>
      <c r="I121" s="3"/>
      <c r="J121" s="26">
        <f t="shared" si="13"/>
        <v>-1.4021400478981356E-2</v>
      </c>
      <c r="K121" s="3"/>
      <c r="L121" s="3">
        <f t="shared" si="14"/>
        <v>4615.6499999999996</v>
      </c>
      <c r="M121" s="3"/>
      <c r="N121" s="26">
        <f t="shared" si="15"/>
        <v>-1</v>
      </c>
      <c r="O121" s="9"/>
      <c r="P121" s="3">
        <v>0</v>
      </c>
      <c r="Q121" s="3"/>
      <c r="R121" s="26">
        <f t="shared" si="16"/>
        <v>0</v>
      </c>
      <c r="S121" s="3"/>
      <c r="T121" s="3">
        <v>50967.68</v>
      </c>
      <c r="U121" s="3"/>
      <c r="V121" s="26">
        <f t="shared" si="17"/>
        <v>6.2836546276929467E-3</v>
      </c>
      <c r="W121" s="3"/>
      <c r="X121" s="3">
        <f t="shared" si="18"/>
        <v>-50967.68</v>
      </c>
      <c r="Y121" s="3"/>
      <c r="Z121" s="26">
        <f t="shared" si="19"/>
        <v>-1</v>
      </c>
    </row>
    <row r="122" spans="1:26" s="69" customFormat="1" ht="15" hidden="1" customHeight="1" outlineLevel="1" x14ac:dyDescent="0.3">
      <c r="A122" s="47"/>
      <c r="B122" s="9" t="str">
        <f>CONCATENATE("          ","5044"," - ","PURCHASES @ COST-ACCESSORIES")</f>
        <v xml:space="preserve">          5044 - PURCHASES @ COST-ACCESSORIES</v>
      </c>
      <c r="C122" s="9"/>
      <c r="D122" s="3"/>
      <c r="E122" s="3"/>
      <c r="F122" s="26">
        <f t="shared" si="12"/>
        <v>0</v>
      </c>
      <c r="G122" s="3"/>
      <c r="H122" s="3">
        <v>4371.2</v>
      </c>
      <c r="I122" s="3"/>
      <c r="J122" s="26">
        <f t="shared" si="13"/>
        <v>1.3278811385985356E-2</v>
      </c>
      <c r="K122" s="3"/>
      <c r="L122" s="3">
        <f t="shared" si="14"/>
        <v>-4371.2</v>
      </c>
      <c r="M122" s="3"/>
      <c r="N122" s="26">
        <f t="shared" si="15"/>
        <v>-1</v>
      </c>
      <c r="O122" s="9"/>
      <c r="P122" s="3">
        <v>0</v>
      </c>
      <c r="Q122" s="3"/>
      <c r="R122" s="26">
        <f t="shared" si="16"/>
        <v>0</v>
      </c>
      <c r="S122" s="3"/>
      <c r="T122" s="3">
        <v>6926.91</v>
      </c>
      <c r="U122" s="3"/>
      <c r="V122" s="26">
        <f t="shared" si="17"/>
        <v>8.5399826080199352E-4</v>
      </c>
      <c r="W122" s="3"/>
      <c r="X122" s="3">
        <f t="shared" si="18"/>
        <v>-6926.91</v>
      </c>
      <c r="Y122" s="3"/>
      <c r="Z122" s="26">
        <f t="shared" si="19"/>
        <v>-1</v>
      </c>
    </row>
    <row r="123" spans="1:26" s="69" customFormat="1" ht="15" hidden="1" customHeight="1" outlineLevel="1" x14ac:dyDescent="0.3">
      <c r="A123" s="47"/>
      <c r="B123" s="9" t="str">
        <f>CONCATENATE("          ","5045"," - ","PURCHASES @ COST-SPECIAL ORDER")</f>
        <v xml:space="preserve">          5045 - PURCHASES @ COST-SPECIAL ORDER</v>
      </c>
      <c r="C123" s="9"/>
      <c r="D123" s="3"/>
      <c r="E123" s="3"/>
      <c r="F123" s="26">
        <f t="shared" si="12"/>
        <v>0</v>
      </c>
      <c r="G123" s="3"/>
      <c r="H123" s="3">
        <v>33785.81</v>
      </c>
      <c r="I123" s="3"/>
      <c r="J123" s="26">
        <f t="shared" si="13"/>
        <v>0.10263437923516149</v>
      </c>
      <c r="K123" s="3"/>
      <c r="L123" s="3">
        <f t="shared" si="14"/>
        <v>-33785.81</v>
      </c>
      <c r="M123" s="3"/>
      <c r="N123" s="26">
        <f t="shared" si="15"/>
        <v>-1</v>
      </c>
      <c r="O123" s="9"/>
      <c r="P123" s="3">
        <v>0</v>
      </c>
      <c r="Q123" s="3"/>
      <c r="R123" s="26">
        <f t="shared" si="16"/>
        <v>0</v>
      </c>
      <c r="S123" s="3"/>
      <c r="T123" s="3">
        <v>172925.05</v>
      </c>
      <c r="U123" s="3"/>
      <c r="V123" s="26">
        <f t="shared" si="17"/>
        <v>2.1319418319149196E-2</v>
      </c>
      <c r="W123" s="3"/>
      <c r="X123" s="3">
        <f t="shared" si="18"/>
        <v>-172925.05</v>
      </c>
      <c r="Y123" s="3"/>
      <c r="Z123" s="26">
        <f t="shared" si="19"/>
        <v>-1</v>
      </c>
    </row>
    <row r="124" spans="1:26" s="69" customFormat="1" ht="15" hidden="1" customHeight="1" outlineLevel="1" x14ac:dyDescent="0.3">
      <c r="A124" s="47"/>
      <c r="B124" s="9" t="str">
        <f>CONCATENATE("          ","5081"," - ","PURCHASES @ COST-ELECTRONICS")</f>
        <v xml:space="preserve">          5081 - PURCHASES @ COST-ELECTRONICS</v>
      </c>
      <c r="C124" s="9"/>
      <c r="D124" s="3"/>
      <c r="E124" s="3"/>
      <c r="F124" s="26">
        <f t="shared" si="12"/>
        <v>0</v>
      </c>
      <c r="G124" s="3"/>
      <c r="H124" s="3">
        <v>-4801.84</v>
      </c>
      <c r="I124" s="3"/>
      <c r="J124" s="26">
        <f t="shared" si="13"/>
        <v>-1.4587007610193981E-2</v>
      </c>
      <c r="K124" s="3"/>
      <c r="L124" s="3">
        <f t="shared" si="14"/>
        <v>4801.84</v>
      </c>
      <c r="M124" s="3"/>
      <c r="N124" s="26">
        <f t="shared" si="15"/>
        <v>-1</v>
      </c>
      <c r="O124" s="9"/>
      <c r="P124" s="3">
        <v>0</v>
      </c>
      <c r="Q124" s="3"/>
      <c r="R124" s="26">
        <f t="shared" si="16"/>
        <v>0</v>
      </c>
      <c r="S124" s="3"/>
      <c r="T124" s="3">
        <v>27617.62</v>
      </c>
      <c r="U124" s="3"/>
      <c r="V124" s="26">
        <f t="shared" si="17"/>
        <v>3.4048947434700827E-3</v>
      </c>
      <c r="W124" s="3"/>
      <c r="X124" s="3">
        <f t="shared" si="18"/>
        <v>-27617.62</v>
      </c>
      <c r="Y124" s="3"/>
      <c r="Z124" s="26">
        <f t="shared" si="19"/>
        <v>-1</v>
      </c>
    </row>
    <row r="125" spans="1:26" s="69" customFormat="1" ht="15" hidden="1" customHeight="1" outlineLevel="1" x14ac:dyDescent="0.3">
      <c r="A125" s="47"/>
      <c r="B125" s="9" t="str">
        <f>CONCATENATE("          ","5082"," - ","PURCHASES @ COST-COMPUTER HARD")</f>
        <v xml:space="preserve">          5082 - PURCHASES @ COST-COMPUTER HARD</v>
      </c>
      <c r="C125" s="9"/>
      <c r="D125" s="3">
        <v>-29693.58</v>
      </c>
      <c r="E125" s="3"/>
      <c r="F125" s="26">
        <f t="shared" si="12"/>
        <v>-4.2997050633413997E-2</v>
      </c>
      <c r="G125" s="3"/>
      <c r="H125" s="3">
        <v>153062.79</v>
      </c>
      <c r="I125" s="3"/>
      <c r="J125" s="26">
        <f t="shared" si="13"/>
        <v>0.46497344404801561</v>
      </c>
      <c r="K125" s="3"/>
      <c r="L125" s="3">
        <f t="shared" si="14"/>
        <v>-182756.37</v>
      </c>
      <c r="M125" s="3"/>
      <c r="N125" s="26">
        <f t="shared" si="15"/>
        <v>-1.1939960718081775</v>
      </c>
      <c r="O125" s="9"/>
      <c r="P125" s="3">
        <v>-150076.54999999999</v>
      </c>
      <c r="Q125" s="3"/>
      <c r="R125" s="26">
        <f t="shared" si="16"/>
        <v>-1.4033306044153227E-2</v>
      </c>
      <c r="S125" s="3"/>
      <c r="T125" s="3">
        <v>1955597.66</v>
      </c>
      <c r="U125" s="3"/>
      <c r="V125" s="26">
        <f t="shared" si="17"/>
        <v>0.24109985555874816</v>
      </c>
      <c r="W125" s="3"/>
      <c r="X125" s="3">
        <f t="shared" si="18"/>
        <v>-2105674.21</v>
      </c>
      <c r="Y125" s="3"/>
      <c r="Z125" s="26">
        <f t="shared" si="19"/>
        <v>-1.0767420380325061</v>
      </c>
    </row>
    <row r="126" spans="1:26" s="69" customFormat="1" ht="15" hidden="1" customHeight="1" outlineLevel="1" x14ac:dyDescent="0.3">
      <c r="A126" s="47"/>
      <c r="B126" s="9" t="str">
        <f>CONCATENATE("          ","5083"," - ","PURCHASES @ COST-COMPUTER EQUI")</f>
        <v xml:space="preserve">          5083 - PURCHASES @ COST-COMPUTER EQUI</v>
      </c>
      <c r="C126" s="9"/>
      <c r="D126" s="3"/>
      <c r="E126" s="3"/>
      <c r="F126" s="26">
        <f t="shared" si="12"/>
        <v>0</v>
      </c>
      <c r="G126" s="3"/>
      <c r="H126" s="3">
        <v>24791.69</v>
      </c>
      <c r="I126" s="3"/>
      <c r="J126" s="26">
        <f t="shared" si="13"/>
        <v>7.5312082597414731E-2</v>
      </c>
      <c r="K126" s="3"/>
      <c r="L126" s="3">
        <f t="shared" si="14"/>
        <v>-24791.69</v>
      </c>
      <c r="M126" s="3"/>
      <c r="N126" s="26">
        <f t="shared" si="15"/>
        <v>-1</v>
      </c>
      <c r="O126" s="9"/>
      <c r="P126" s="3">
        <v>0</v>
      </c>
      <c r="Q126" s="3"/>
      <c r="R126" s="26">
        <f t="shared" si="16"/>
        <v>0</v>
      </c>
      <c r="S126" s="3"/>
      <c r="T126" s="3">
        <v>151821.63</v>
      </c>
      <c r="U126" s="3"/>
      <c r="V126" s="26">
        <f t="shared" si="17"/>
        <v>1.8717640040382188E-2</v>
      </c>
      <c r="W126" s="3"/>
      <c r="X126" s="3">
        <f t="shared" si="18"/>
        <v>-151821.63</v>
      </c>
      <c r="Y126" s="3"/>
      <c r="Z126" s="26">
        <f t="shared" si="19"/>
        <v>-1</v>
      </c>
    </row>
    <row r="127" spans="1:26" s="69" customFormat="1" ht="15" hidden="1" customHeight="1" outlineLevel="1" x14ac:dyDescent="0.3">
      <c r="A127" s="47"/>
      <c r="B127" s="9" t="str">
        <f>CONCATENATE("          ","5084"," - ","PURCHASES @ COST-SOFTWARE LICE")</f>
        <v xml:space="preserve">          5084 - PURCHASES @ COST-SOFTWARE LICE</v>
      </c>
      <c r="C127" s="9"/>
      <c r="D127" s="3"/>
      <c r="E127" s="3"/>
      <c r="F127" s="26">
        <f t="shared" si="12"/>
        <v>0</v>
      </c>
      <c r="G127" s="3"/>
      <c r="H127" s="3">
        <v>2421</v>
      </c>
      <c r="I127" s="3"/>
      <c r="J127" s="26">
        <f t="shared" si="13"/>
        <v>7.3545027373422738E-3</v>
      </c>
      <c r="K127" s="3"/>
      <c r="L127" s="3">
        <f t="shared" si="14"/>
        <v>-2421</v>
      </c>
      <c r="M127" s="3"/>
      <c r="N127" s="26">
        <f t="shared" si="15"/>
        <v>-1</v>
      </c>
      <c r="O127" s="9"/>
      <c r="P127" s="3"/>
      <c r="Q127" s="3"/>
      <c r="R127" s="26">
        <f t="shared" si="16"/>
        <v>0</v>
      </c>
      <c r="S127" s="3"/>
      <c r="T127" s="3">
        <v>2421</v>
      </c>
      <c r="U127" s="3"/>
      <c r="V127" s="26">
        <f t="shared" si="17"/>
        <v>2.9847793451937823E-4</v>
      </c>
      <c r="W127" s="3"/>
      <c r="X127" s="3">
        <f t="shared" si="18"/>
        <v>-2421</v>
      </c>
      <c r="Y127" s="3"/>
      <c r="Z127" s="26">
        <f t="shared" si="19"/>
        <v>-1</v>
      </c>
    </row>
    <row r="128" spans="1:26" s="69" customFormat="1" ht="15" hidden="1" customHeight="1" outlineLevel="1" x14ac:dyDescent="0.3">
      <c r="A128" s="47"/>
      <c r="B128" s="9" t="str">
        <f>CONCATENATE("          ","5085"," - ","PURCHASES @ COST-SOFTWARE")</f>
        <v xml:space="preserve">          5085 - PURCHASES @ COST-SOFTWARE</v>
      </c>
      <c r="C128" s="9"/>
      <c r="D128" s="3"/>
      <c r="E128" s="3"/>
      <c r="F128" s="26">
        <f t="shared" si="12"/>
        <v>0</v>
      </c>
      <c r="G128" s="3"/>
      <c r="H128" s="3">
        <v>10694.79</v>
      </c>
      <c r="I128" s="3"/>
      <c r="J128" s="26">
        <f t="shared" si="13"/>
        <v>3.2488584192606688E-2</v>
      </c>
      <c r="K128" s="3"/>
      <c r="L128" s="3">
        <f t="shared" si="14"/>
        <v>-10694.79</v>
      </c>
      <c r="M128" s="3"/>
      <c r="N128" s="26">
        <f t="shared" si="15"/>
        <v>-1</v>
      </c>
      <c r="O128" s="9"/>
      <c r="P128" s="3">
        <v>0</v>
      </c>
      <c r="Q128" s="3"/>
      <c r="R128" s="26">
        <f t="shared" si="16"/>
        <v>0</v>
      </c>
      <c r="S128" s="3"/>
      <c r="T128" s="3">
        <v>56981.16</v>
      </c>
      <c r="U128" s="3"/>
      <c r="V128" s="26">
        <f t="shared" si="17"/>
        <v>7.0250388035184696E-3</v>
      </c>
      <c r="W128" s="3"/>
      <c r="X128" s="3">
        <f t="shared" si="18"/>
        <v>-56981.16</v>
      </c>
      <c r="Y128" s="3"/>
      <c r="Z128" s="26">
        <f t="shared" si="19"/>
        <v>-1</v>
      </c>
    </row>
    <row r="129" spans="1:26" s="69" customFormat="1" ht="15" hidden="1" customHeight="1" outlineLevel="1" x14ac:dyDescent="0.3">
      <c r="A129" s="47"/>
      <c r="B129" s="9" t="str">
        <f>CONCATENATE("          ","5086"," - ","PURCHASES @ COST-COMPUTER SUPP")</f>
        <v xml:space="preserve">          5086 - PURCHASES @ COST-COMPUTER SUPP</v>
      </c>
      <c r="C129" s="9"/>
      <c r="D129" s="3"/>
      <c r="E129" s="3"/>
      <c r="F129" s="26">
        <f t="shared" si="12"/>
        <v>0</v>
      </c>
      <c r="G129" s="3"/>
      <c r="H129" s="3">
        <v>853.49</v>
      </c>
      <c r="I129" s="3"/>
      <c r="J129" s="26">
        <f t="shared" si="13"/>
        <v>2.5927280220133242E-3</v>
      </c>
      <c r="K129" s="3"/>
      <c r="L129" s="3">
        <f t="shared" si="14"/>
        <v>-853.49</v>
      </c>
      <c r="M129" s="3"/>
      <c r="N129" s="26">
        <f t="shared" si="15"/>
        <v>-1</v>
      </c>
      <c r="O129" s="9"/>
      <c r="P129" s="3">
        <v>0</v>
      </c>
      <c r="Q129" s="3"/>
      <c r="R129" s="26">
        <f t="shared" si="16"/>
        <v>0</v>
      </c>
      <c r="S129" s="3"/>
      <c r="T129" s="3">
        <v>24629.71</v>
      </c>
      <c r="U129" s="3"/>
      <c r="V129" s="26">
        <f t="shared" si="17"/>
        <v>3.0365241506035835E-3</v>
      </c>
      <c r="W129" s="3"/>
      <c r="X129" s="3">
        <f t="shared" si="18"/>
        <v>-24629.71</v>
      </c>
      <c r="Y129" s="3"/>
      <c r="Z129" s="26">
        <f t="shared" si="19"/>
        <v>-1</v>
      </c>
    </row>
    <row r="130" spans="1:26" s="69" customFormat="1" ht="15" hidden="1" customHeight="1" outlineLevel="1" x14ac:dyDescent="0.3">
      <c r="A130" s="47"/>
      <c r="B130" s="9" t="str">
        <f>CONCATENATE("          ","5092"," - ","PURCHASES @ COST-GRAD MERCH")</f>
        <v xml:space="preserve">          5092 - PURCHASES @ COST-GRAD MERCH</v>
      </c>
      <c r="C130" s="9"/>
      <c r="D130" s="3"/>
      <c r="E130" s="3"/>
      <c r="F130" s="26">
        <f t="shared" ref="F130:F154" si="20">IF(D$12=0,0,D130/D$12)</f>
        <v>0</v>
      </c>
      <c r="G130" s="3"/>
      <c r="H130" s="3"/>
      <c r="I130" s="3"/>
      <c r="J130" s="26">
        <f t="shared" ref="J130:J154" si="21">IF(H$12=0,0,H130/H$12)</f>
        <v>0</v>
      </c>
      <c r="K130" s="3"/>
      <c r="L130" s="3">
        <f t="shared" ref="L130:L154" si="22">+D130-H130</f>
        <v>0</v>
      </c>
      <c r="M130" s="3"/>
      <c r="N130" s="26">
        <f t="shared" ref="N130:N154" si="23">IF(H130=0,0,L130/H130)</f>
        <v>0</v>
      </c>
      <c r="O130" s="9"/>
      <c r="P130" s="3"/>
      <c r="Q130" s="3"/>
      <c r="R130" s="26">
        <f t="shared" ref="R130:R154" si="24">IF(P$12=0,0,P130/P$12)</f>
        <v>0</v>
      </c>
      <c r="S130" s="3"/>
      <c r="T130" s="3">
        <v>0</v>
      </c>
      <c r="U130" s="3"/>
      <c r="V130" s="26">
        <f t="shared" ref="V130:V154" si="25">IF(T$12=0,0,T130/T$12)</f>
        <v>0</v>
      </c>
      <c r="W130" s="3"/>
      <c r="X130" s="3">
        <f t="shared" ref="X130:X154" si="26">+P130-T130</f>
        <v>0</v>
      </c>
      <c r="Y130" s="3"/>
      <c r="Z130" s="26">
        <f t="shared" ref="Z130:Z154" si="27">IF(T130=0,0,X130/T130)</f>
        <v>0</v>
      </c>
    </row>
    <row r="131" spans="1:26" s="69" customFormat="1" ht="15" hidden="1" customHeight="1" outlineLevel="1" x14ac:dyDescent="0.3">
      <c r="A131" s="47"/>
      <c r="B131" s="9" t="str">
        <f>CONCATENATE("          ","5200"," - ","PURCHASES OFFSET")</f>
        <v xml:space="preserve">          5200 - PURCHASES OFFSET</v>
      </c>
      <c r="C131" s="9"/>
      <c r="D131" s="3">
        <v>-576187.54</v>
      </c>
      <c r="E131" s="3"/>
      <c r="F131" s="26">
        <f t="shared" si="20"/>
        <v>-0.83433404903424413</v>
      </c>
      <c r="G131" s="3"/>
      <c r="H131" s="3">
        <v>-715181.51</v>
      </c>
      <c r="I131" s="3"/>
      <c r="J131" s="26">
        <f t="shared" si="21"/>
        <v>-2.1725751230861547</v>
      </c>
      <c r="K131" s="3"/>
      <c r="L131" s="3">
        <f t="shared" si="22"/>
        <v>138993.96999999997</v>
      </c>
      <c r="M131" s="3"/>
      <c r="N131" s="26">
        <f t="shared" si="23"/>
        <v>-0.19434782367346154</v>
      </c>
      <c r="O131" s="9"/>
      <c r="P131" s="3">
        <v>-6731645.8200000003</v>
      </c>
      <c r="Q131" s="3"/>
      <c r="R131" s="26">
        <f t="shared" si="24"/>
        <v>-0.62946040519258217</v>
      </c>
      <c r="S131" s="3"/>
      <c r="T131" s="3">
        <v>-4591688.47</v>
      </c>
      <c r="U131" s="3"/>
      <c r="V131" s="26">
        <f t="shared" si="25"/>
        <v>-0.56609570032302514</v>
      </c>
      <c r="W131" s="3"/>
      <c r="X131" s="3">
        <f t="shared" si="26"/>
        <v>-2139957.3500000006</v>
      </c>
      <c r="Y131" s="3"/>
      <c r="Z131" s="26">
        <f t="shared" si="27"/>
        <v>0.46605020440334899</v>
      </c>
    </row>
    <row r="132" spans="1:26" s="69" customFormat="1" ht="15" hidden="1" customHeight="1" outlineLevel="1" x14ac:dyDescent="0.3">
      <c r="A132" s="47"/>
      <c r="B132" s="9" t="str">
        <f>CONCATENATE("          ","5300"," - ","COG$ OFFSET")</f>
        <v xml:space="preserve">          5300 - COG$ OFFSET</v>
      </c>
      <c r="C132" s="9"/>
      <c r="D132" s="3">
        <v>530332.74</v>
      </c>
      <c r="E132" s="3"/>
      <c r="F132" s="26">
        <f t="shared" si="20"/>
        <v>0.7679351453862141</v>
      </c>
      <c r="G132" s="3"/>
      <c r="H132" s="3">
        <v>223946</v>
      </c>
      <c r="I132" s="3"/>
      <c r="J132" s="26">
        <f t="shared" si="21"/>
        <v>0.68030213548816731</v>
      </c>
      <c r="K132" s="3"/>
      <c r="L132" s="3">
        <f t="shared" si="22"/>
        <v>306386.74</v>
      </c>
      <c r="M132" s="3"/>
      <c r="N132" s="26">
        <f t="shared" si="23"/>
        <v>1.3681277629428523</v>
      </c>
      <c r="O132" s="9"/>
      <c r="P132" s="3">
        <v>6531852.4299999997</v>
      </c>
      <c r="Q132" s="3"/>
      <c r="R132" s="26">
        <f t="shared" si="24"/>
        <v>0.61077819409785172</v>
      </c>
      <c r="S132" s="3"/>
      <c r="T132" s="3">
        <v>5152122</v>
      </c>
      <c r="U132" s="3"/>
      <c r="V132" s="26">
        <f t="shared" si="25"/>
        <v>0.63518989382562907</v>
      </c>
      <c r="W132" s="3"/>
      <c r="X132" s="3">
        <f t="shared" si="26"/>
        <v>1379730.4299999997</v>
      </c>
      <c r="Y132" s="3"/>
      <c r="Z132" s="26">
        <f t="shared" si="27"/>
        <v>0.26779847798635198</v>
      </c>
    </row>
    <row r="133" spans="1:26" s="69" customFormat="1" ht="15" hidden="1" customHeight="1" outlineLevel="1" x14ac:dyDescent="0.3">
      <c r="A133" s="47"/>
      <c r="B133" s="9" t="str">
        <f>CONCATENATE("          ","5500"," - ","FREIGHT-IN")</f>
        <v xml:space="preserve">          5500 - FREIGHT-IN</v>
      </c>
      <c r="C133" s="9"/>
      <c r="D133" s="3">
        <v>9234.56</v>
      </c>
      <c r="E133" s="3"/>
      <c r="F133" s="26">
        <f t="shared" si="20"/>
        <v>1.3371875129145745E-2</v>
      </c>
      <c r="G133" s="3"/>
      <c r="H133" s="3">
        <v>65</v>
      </c>
      <c r="I133" s="3"/>
      <c r="J133" s="26">
        <f t="shared" si="21"/>
        <v>1.9745670298523249E-4</v>
      </c>
      <c r="K133" s="3"/>
      <c r="L133" s="3">
        <f t="shared" si="22"/>
        <v>9169.56</v>
      </c>
      <c r="M133" s="3"/>
      <c r="N133" s="26">
        <f t="shared" si="23"/>
        <v>141.07015384615383</v>
      </c>
      <c r="O133" s="9"/>
      <c r="P133" s="3">
        <v>204612.84</v>
      </c>
      <c r="Q133" s="3"/>
      <c r="R133" s="26">
        <f t="shared" si="24"/>
        <v>1.9132866555656811E-2</v>
      </c>
      <c r="S133" s="3"/>
      <c r="T133" s="3">
        <v>65</v>
      </c>
      <c r="U133" s="3"/>
      <c r="V133" s="26">
        <f t="shared" si="25"/>
        <v>8.0136578867243232E-6</v>
      </c>
      <c r="W133" s="3"/>
      <c r="X133" s="3">
        <f t="shared" si="26"/>
        <v>204547.84</v>
      </c>
      <c r="Y133" s="3"/>
      <c r="Z133" s="26">
        <f t="shared" si="27"/>
        <v>3146.8898461538461</v>
      </c>
    </row>
    <row r="134" spans="1:26" s="69" customFormat="1" ht="15" hidden="1" customHeight="1" outlineLevel="1" x14ac:dyDescent="0.3">
      <c r="A134" s="47"/>
      <c r="B134" s="9" t="str">
        <f>CONCATENATE("          ","5501"," - ","FREIGHT-IN-NEW TEXT")</f>
        <v xml:space="preserve">          5501 - FREIGHT-IN-NEW TEXT</v>
      </c>
      <c r="C134" s="9"/>
      <c r="D134" s="3"/>
      <c r="E134" s="3"/>
      <c r="F134" s="26">
        <f t="shared" si="20"/>
        <v>0</v>
      </c>
      <c r="G134" s="3"/>
      <c r="H134" s="3">
        <v>1565.85</v>
      </c>
      <c r="I134" s="3"/>
      <c r="J134" s="26">
        <f t="shared" si="21"/>
        <v>4.7567319749142502E-3</v>
      </c>
      <c r="K134" s="3"/>
      <c r="L134" s="3">
        <f t="shared" si="22"/>
        <v>-1565.85</v>
      </c>
      <c r="M134" s="3"/>
      <c r="N134" s="26">
        <f t="shared" si="23"/>
        <v>-1</v>
      </c>
      <c r="O134" s="9"/>
      <c r="P134" s="3">
        <v>0</v>
      </c>
      <c r="Q134" s="3"/>
      <c r="R134" s="26">
        <f t="shared" si="24"/>
        <v>0</v>
      </c>
      <c r="S134" s="3"/>
      <c r="T134" s="3">
        <v>53401.99</v>
      </c>
      <c r="U134" s="3"/>
      <c r="V134" s="26">
        <f t="shared" si="25"/>
        <v>6.5837735127734368E-3</v>
      </c>
      <c r="W134" s="3"/>
      <c r="X134" s="3">
        <f t="shared" si="26"/>
        <v>-53401.99</v>
      </c>
      <c r="Y134" s="3"/>
      <c r="Z134" s="26">
        <f t="shared" si="27"/>
        <v>-1</v>
      </c>
    </row>
    <row r="135" spans="1:26" s="69" customFormat="1" ht="15" hidden="1" customHeight="1" outlineLevel="1" x14ac:dyDescent="0.3">
      <c r="A135" s="47"/>
      <c r="B135" s="9" t="str">
        <f>CONCATENATE("          ","5502"," - ","FREIGHT-IN-USED TEXT")</f>
        <v xml:space="preserve">          5502 - FREIGHT-IN-USED TEXT</v>
      </c>
      <c r="C135" s="9"/>
      <c r="D135" s="3"/>
      <c r="E135" s="3"/>
      <c r="F135" s="26">
        <f t="shared" si="20"/>
        <v>0</v>
      </c>
      <c r="G135" s="3"/>
      <c r="H135" s="3">
        <v>149.80000000000001</v>
      </c>
      <c r="I135" s="3"/>
      <c r="J135" s="26">
        <f t="shared" si="21"/>
        <v>4.5506175549519737E-4</v>
      </c>
      <c r="K135" s="3"/>
      <c r="L135" s="3">
        <f t="shared" si="22"/>
        <v>-149.80000000000001</v>
      </c>
      <c r="M135" s="3"/>
      <c r="N135" s="26">
        <f t="shared" si="23"/>
        <v>-1</v>
      </c>
      <c r="O135" s="9"/>
      <c r="P135" s="3">
        <v>0</v>
      </c>
      <c r="Q135" s="3"/>
      <c r="R135" s="26">
        <f t="shared" si="24"/>
        <v>0</v>
      </c>
      <c r="S135" s="3"/>
      <c r="T135" s="3">
        <v>18142.669999999998</v>
      </c>
      <c r="U135" s="3"/>
      <c r="V135" s="26">
        <f t="shared" si="25"/>
        <v>2.2367561620267192E-3</v>
      </c>
      <c r="W135" s="3"/>
      <c r="X135" s="3">
        <f t="shared" si="26"/>
        <v>-18142.669999999998</v>
      </c>
      <c r="Y135" s="3"/>
      <c r="Z135" s="26">
        <f t="shared" si="27"/>
        <v>-1</v>
      </c>
    </row>
    <row r="136" spans="1:26" s="69" customFormat="1" ht="15" hidden="1" customHeight="1" outlineLevel="1" x14ac:dyDescent="0.3">
      <c r="A136" s="47"/>
      <c r="B136" s="9" t="str">
        <f>CONCATENATE("          ","5504"," - ","FREIGHT-IN-DIGITAL TEXT")</f>
        <v xml:space="preserve">          5504 - FREIGHT-IN-DIGITAL TEXT</v>
      </c>
      <c r="C136" s="9"/>
      <c r="D136" s="3"/>
      <c r="E136" s="3"/>
      <c r="F136" s="26">
        <f t="shared" si="20"/>
        <v>0</v>
      </c>
      <c r="G136" s="3"/>
      <c r="H136" s="3">
        <v>4.28</v>
      </c>
      <c r="I136" s="3"/>
      <c r="J136" s="26">
        <f t="shared" si="21"/>
        <v>1.3001764442719923E-5</v>
      </c>
      <c r="K136" s="3"/>
      <c r="L136" s="3">
        <f t="shared" si="22"/>
        <v>-4.28</v>
      </c>
      <c r="M136" s="3"/>
      <c r="N136" s="26">
        <f t="shared" si="23"/>
        <v>-1</v>
      </c>
      <c r="O136" s="9"/>
      <c r="P136" s="3"/>
      <c r="Q136" s="3"/>
      <c r="R136" s="26">
        <f t="shared" si="24"/>
        <v>0</v>
      </c>
      <c r="S136" s="3"/>
      <c r="T136" s="3">
        <v>33.200000000000003</v>
      </c>
      <c r="U136" s="3"/>
      <c r="V136" s="26">
        <f t="shared" si="25"/>
        <v>4.0931298744499621E-6</v>
      </c>
      <c r="W136" s="3"/>
      <c r="X136" s="3">
        <f t="shared" si="26"/>
        <v>-33.200000000000003</v>
      </c>
      <c r="Y136" s="3"/>
      <c r="Z136" s="26">
        <f t="shared" si="27"/>
        <v>-1</v>
      </c>
    </row>
    <row r="137" spans="1:26" s="69" customFormat="1" ht="15" hidden="1" customHeight="1" outlineLevel="1" x14ac:dyDescent="0.3">
      <c r="A137" s="47"/>
      <c r="B137" s="9" t="str">
        <f>CONCATENATE("          ","5513"," - ","FREIGHT-IN-TRADE BOOKS")</f>
        <v xml:space="preserve">          5513 - FREIGHT-IN-TRADE BOOKS</v>
      </c>
      <c r="C137" s="9"/>
      <c r="D137" s="3"/>
      <c r="E137" s="3"/>
      <c r="F137" s="26">
        <f t="shared" si="20"/>
        <v>0</v>
      </c>
      <c r="G137" s="3"/>
      <c r="H137" s="3"/>
      <c r="I137" s="3"/>
      <c r="J137" s="26">
        <f t="shared" si="21"/>
        <v>0</v>
      </c>
      <c r="K137" s="3"/>
      <c r="L137" s="3">
        <f t="shared" si="22"/>
        <v>0</v>
      </c>
      <c r="M137" s="3"/>
      <c r="N137" s="26">
        <f t="shared" si="23"/>
        <v>0</v>
      </c>
      <c r="O137" s="9"/>
      <c r="P137" s="3"/>
      <c r="Q137" s="3"/>
      <c r="R137" s="26">
        <f t="shared" si="24"/>
        <v>0</v>
      </c>
      <c r="S137" s="3"/>
      <c r="T137" s="3">
        <v>85.28</v>
      </c>
      <c r="U137" s="3"/>
      <c r="V137" s="26">
        <f t="shared" si="25"/>
        <v>1.0513919147382311E-5</v>
      </c>
      <c r="W137" s="3"/>
      <c r="X137" s="3">
        <f t="shared" si="26"/>
        <v>-85.28</v>
      </c>
      <c r="Y137" s="3"/>
      <c r="Z137" s="26">
        <f t="shared" si="27"/>
        <v>-1</v>
      </c>
    </row>
    <row r="138" spans="1:26" s="69" customFormat="1" ht="15" hidden="1" customHeight="1" outlineLevel="1" x14ac:dyDescent="0.3">
      <c r="A138" s="47"/>
      <c r="B138" s="9" t="str">
        <f>CONCATENATE("          ","5518"," - ","FREIGHT-IN-STUDY GUIDES")</f>
        <v xml:space="preserve">          5518 - FREIGHT-IN-STUDY GUIDES</v>
      </c>
      <c r="C138" s="9"/>
      <c r="D138" s="3"/>
      <c r="E138" s="3"/>
      <c r="F138" s="26">
        <f t="shared" si="20"/>
        <v>0</v>
      </c>
      <c r="G138" s="3"/>
      <c r="H138" s="3"/>
      <c r="I138" s="3"/>
      <c r="J138" s="26">
        <f t="shared" si="21"/>
        <v>0</v>
      </c>
      <c r="K138" s="3"/>
      <c r="L138" s="3">
        <f t="shared" si="22"/>
        <v>0</v>
      </c>
      <c r="M138" s="3"/>
      <c r="N138" s="26">
        <f t="shared" si="23"/>
        <v>0</v>
      </c>
      <c r="O138" s="9"/>
      <c r="P138" s="3">
        <v>0</v>
      </c>
      <c r="Q138" s="3"/>
      <c r="R138" s="26">
        <f t="shared" si="24"/>
        <v>0</v>
      </c>
      <c r="S138" s="3"/>
      <c r="T138" s="3"/>
      <c r="U138" s="3"/>
      <c r="V138" s="26">
        <f t="shared" si="25"/>
        <v>0</v>
      </c>
      <c r="W138" s="3"/>
      <c r="X138" s="3">
        <f t="shared" si="26"/>
        <v>0</v>
      </c>
      <c r="Y138" s="3"/>
      <c r="Z138" s="26">
        <f t="shared" si="27"/>
        <v>0</v>
      </c>
    </row>
    <row r="139" spans="1:26" s="69" customFormat="1" ht="15" hidden="1" customHeight="1" outlineLevel="1" x14ac:dyDescent="0.3">
      <c r="A139" s="47"/>
      <c r="B139" s="9" t="str">
        <f>CONCATENATE("          ","5525"," - ","FREIGHT-IN-TEST FORMS")</f>
        <v xml:space="preserve">          5525 - FREIGHT-IN-TEST FORMS</v>
      </c>
      <c r="C139" s="9"/>
      <c r="D139" s="3"/>
      <c r="E139" s="3"/>
      <c r="F139" s="26">
        <f t="shared" si="20"/>
        <v>0</v>
      </c>
      <c r="G139" s="3"/>
      <c r="H139" s="3"/>
      <c r="I139" s="3"/>
      <c r="J139" s="26">
        <f t="shared" si="21"/>
        <v>0</v>
      </c>
      <c r="K139" s="3"/>
      <c r="L139" s="3">
        <f t="shared" si="22"/>
        <v>0</v>
      </c>
      <c r="M139" s="3"/>
      <c r="N139" s="26">
        <f t="shared" si="23"/>
        <v>0</v>
      </c>
      <c r="O139" s="9"/>
      <c r="P139" s="3"/>
      <c r="Q139" s="3"/>
      <c r="R139" s="26">
        <f t="shared" si="24"/>
        <v>0</v>
      </c>
      <c r="S139" s="3"/>
      <c r="T139" s="3">
        <v>48.14</v>
      </c>
      <c r="U139" s="3"/>
      <c r="V139" s="26">
        <f t="shared" si="25"/>
        <v>5.9350383179524444E-6</v>
      </c>
      <c r="W139" s="3"/>
      <c r="X139" s="3">
        <f t="shared" si="26"/>
        <v>-48.14</v>
      </c>
      <c r="Y139" s="3"/>
      <c r="Z139" s="26">
        <f t="shared" si="27"/>
        <v>-1</v>
      </c>
    </row>
    <row r="140" spans="1:26" s="69" customFormat="1" ht="15" hidden="1" customHeight="1" outlineLevel="1" x14ac:dyDescent="0.3">
      <c r="A140" s="47"/>
      <c r="B140" s="9" t="str">
        <f>CONCATENATE("          ","5526"," - ","FREIGHT-IN-WRITING INSTRUMENTS")</f>
        <v xml:space="preserve">          5526 - FREIGHT-IN-WRITING INSTRUMENTS</v>
      </c>
      <c r="C140" s="9"/>
      <c r="D140" s="3"/>
      <c r="E140" s="3"/>
      <c r="F140" s="26">
        <f t="shared" si="20"/>
        <v>0</v>
      </c>
      <c r="G140" s="3"/>
      <c r="H140" s="3"/>
      <c r="I140" s="3"/>
      <c r="J140" s="26">
        <f t="shared" si="21"/>
        <v>0</v>
      </c>
      <c r="K140" s="3"/>
      <c r="L140" s="3">
        <f t="shared" si="22"/>
        <v>0</v>
      </c>
      <c r="M140" s="3"/>
      <c r="N140" s="26">
        <f t="shared" si="23"/>
        <v>0</v>
      </c>
      <c r="O140" s="9"/>
      <c r="P140" s="3"/>
      <c r="Q140" s="3"/>
      <c r="R140" s="26">
        <f t="shared" si="24"/>
        <v>0</v>
      </c>
      <c r="S140" s="3"/>
      <c r="T140" s="3">
        <v>0</v>
      </c>
      <c r="U140" s="3"/>
      <c r="V140" s="26">
        <f t="shared" si="25"/>
        <v>0</v>
      </c>
      <c r="W140" s="3"/>
      <c r="X140" s="3">
        <f t="shared" si="26"/>
        <v>0</v>
      </c>
      <c r="Y140" s="3"/>
      <c r="Z140" s="26">
        <f t="shared" si="27"/>
        <v>0</v>
      </c>
    </row>
    <row r="141" spans="1:26" s="69" customFormat="1" ht="15" hidden="1" customHeight="1" outlineLevel="1" x14ac:dyDescent="0.3">
      <c r="A141" s="47"/>
      <c r="B141" s="9" t="str">
        <f>CONCATENATE("          ","5527"," - ","FREIGHT-IN-SCHOOL SUPPLIES")</f>
        <v xml:space="preserve">          5527 - FREIGHT-IN-SCHOOL SUPPLIES</v>
      </c>
      <c r="C141" s="9"/>
      <c r="D141" s="3"/>
      <c r="E141" s="3"/>
      <c r="F141" s="26">
        <f t="shared" si="20"/>
        <v>0</v>
      </c>
      <c r="G141" s="3"/>
      <c r="H141" s="3">
        <v>58.29</v>
      </c>
      <c r="I141" s="3"/>
      <c r="J141" s="26">
        <f t="shared" si="21"/>
        <v>1.7707309564629539E-4</v>
      </c>
      <c r="K141" s="3"/>
      <c r="L141" s="3">
        <f t="shared" si="22"/>
        <v>-58.29</v>
      </c>
      <c r="M141" s="3"/>
      <c r="N141" s="26">
        <f t="shared" si="23"/>
        <v>-1</v>
      </c>
      <c r="O141" s="9"/>
      <c r="P141" s="3">
        <v>0</v>
      </c>
      <c r="Q141" s="3"/>
      <c r="R141" s="26">
        <f t="shared" si="24"/>
        <v>0</v>
      </c>
      <c r="S141" s="3"/>
      <c r="T141" s="3">
        <v>276.91000000000003</v>
      </c>
      <c r="U141" s="3"/>
      <c r="V141" s="26">
        <f t="shared" si="25"/>
        <v>3.4139415467889733E-5</v>
      </c>
      <c r="W141" s="3"/>
      <c r="X141" s="3">
        <f t="shared" si="26"/>
        <v>-276.91000000000003</v>
      </c>
      <c r="Y141" s="3"/>
      <c r="Z141" s="26">
        <f t="shared" si="27"/>
        <v>-1</v>
      </c>
    </row>
    <row r="142" spans="1:26" s="69" customFormat="1" ht="15" hidden="1" customHeight="1" outlineLevel="1" x14ac:dyDescent="0.3">
      <c r="A142" s="47"/>
      <c r="B142" s="9" t="str">
        <f>CONCATENATE("          ","5528"," - ","FREIGHT-IN-ART/TECH")</f>
        <v xml:space="preserve">          5528 - FREIGHT-IN-ART/TECH</v>
      </c>
      <c r="C142" s="9"/>
      <c r="D142" s="3"/>
      <c r="E142" s="3"/>
      <c r="F142" s="26">
        <f t="shared" si="20"/>
        <v>0</v>
      </c>
      <c r="G142" s="3"/>
      <c r="H142" s="3">
        <v>102.68</v>
      </c>
      <c r="I142" s="3"/>
      <c r="J142" s="26">
        <f t="shared" si="21"/>
        <v>3.1192083480805649E-4</v>
      </c>
      <c r="K142" s="3"/>
      <c r="L142" s="3">
        <f t="shared" si="22"/>
        <v>-102.68</v>
      </c>
      <c r="M142" s="3"/>
      <c r="N142" s="26">
        <f t="shared" si="23"/>
        <v>-1</v>
      </c>
      <c r="O142" s="9"/>
      <c r="P142" s="3">
        <v>0</v>
      </c>
      <c r="Q142" s="3"/>
      <c r="R142" s="26">
        <f t="shared" si="24"/>
        <v>0</v>
      </c>
      <c r="S142" s="3"/>
      <c r="T142" s="3">
        <v>675.64</v>
      </c>
      <c r="U142" s="3"/>
      <c r="V142" s="26">
        <f t="shared" si="25"/>
        <v>8.3297658685944938E-5</v>
      </c>
      <c r="W142" s="3"/>
      <c r="X142" s="3">
        <f t="shared" si="26"/>
        <v>-675.64</v>
      </c>
      <c r="Y142" s="3"/>
      <c r="Z142" s="26">
        <f t="shared" si="27"/>
        <v>-1</v>
      </c>
    </row>
    <row r="143" spans="1:26" s="69" customFormat="1" ht="15" hidden="1" customHeight="1" outlineLevel="1" x14ac:dyDescent="0.3">
      <c r="A143" s="47"/>
      <c r="B143" s="9" t="str">
        <f>CONCATENATE("          ","5540"," - ","FREIGHT-IN-LOGO CLOTHING")</f>
        <v xml:space="preserve">          5540 - FREIGHT-IN-LOGO CLOTHING</v>
      </c>
      <c r="C143" s="9"/>
      <c r="D143" s="3"/>
      <c r="E143" s="3"/>
      <c r="F143" s="26">
        <f t="shared" si="20"/>
        <v>0</v>
      </c>
      <c r="G143" s="3"/>
      <c r="H143" s="3">
        <v>1384.09</v>
      </c>
      <c r="I143" s="3"/>
      <c r="J143" s="26">
        <f t="shared" si="21"/>
        <v>4.2045822774589292E-3</v>
      </c>
      <c r="K143" s="3"/>
      <c r="L143" s="3">
        <f t="shared" si="22"/>
        <v>-1384.09</v>
      </c>
      <c r="M143" s="3"/>
      <c r="N143" s="26">
        <f t="shared" si="23"/>
        <v>-1</v>
      </c>
      <c r="O143" s="9"/>
      <c r="P143" s="3">
        <v>0</v>
      </c>
      <c r="Q143" s="3"/>
      <c r="R143" s="26">
        <f t="shared" si="24"/>
        <v>0</v>
      </c>
      <c r="S143" s="3"/>
      <c r="T143" s="3">
        <v>11883.79</v>
      </c>
      <c r="U143" s="3"/>
      <c r="V143" s="26">
        <f t="shared" si="25"/>
        <v>1.4651173455027023E-3</v>
      </c>
      <c r="W143" s="3"/>
      <c r="X143" s="3">
        <f t="shared" si="26"/>
        <v>-11883.79</v>
      </c>
      <c r="Y143" s="3"/>
      <c r="Z143" s="26">
        <f t="shared" si="27"/>
        <v>-1</v>
      </c>
    </row>
    <row r="144" spans="1:26" s="69" customFormat="1" ht="15" hidden="1" customHeight="1" outlineLevel="1" x14ac:dyDescent="0.3">
      <c r="A144" s="47"/>
      <c r="B144" s="9" t="str">
        <f>CONCATENATE("          ","5541"," - ","FREIGHT-IN-LOGO GIFTS")</f>
        <v xml:space="preserve">          5541 - FREIGHT-IN-LOGO GIFTS</v>
      </c>
      <c r="C144" s="9"/>
      <c r="D144" s="3"/>
      <c r="E144" s="3"/>
      <c r="F144" s="26">
        <f t="shared" si="20"/>
        <v>0</v>
      </c>
      <c r="G144" s="3"/>
      <c r="H144" s="3">
        <v>1606.81</v>
      </c>
      <c r="I144" s="3"/>
      <c r="J144" s="26">
        <f t="shared" si="21"/>
        <v>4.8811600757492522E-3</v>
      </c>
      <c r="K144" s="3"/>
      <c r="L144" s="3">
        <f t="shared" si="22"/>
        <v>-1606.81</v>
      </c>
      <c r="M144" s="3"/>
      <c r="N144" s="26">
        <f t="shared" si="23"/>
        <v>-1</v>
      </c>
      <c r="O144" s="9"/>
      <c r="P144" s="3">
        <v>0</v>
      </c>
      <c r="Q144" s="3"/>
      <c r="R144" s="26">
        <f t="shared" si="24"/>
        <v>0</v>
      </c>
      <c r="S144" s="3"/>
      <c r="T144" s="3">
        <v>7584.01</v>
      </c>
      <c r="U144" s="3"/>
      <c r="V144" s="26">
        <f t="shared" si="25"/>
        <v>9.3501017768455588E-4</v>
      </c>
      <c r="W144" s="3"/>
      <c r="X144" s="3">
        <f t="shared" si="26"/>
        <v>-7584.01</v>
      </c>
      <c r="Y144" s="3"/>
      <c r="Z144" s="26">
        <f t="shared" si="27"/>
        <v>-1</v>
      </c>
    </row>
    <row r="145" spans="1:26" s="69" customFormat="1" ht="15" hidden="1" customHeight="1" outlineLevel="1" x14ac:dyDescent="0.3">
      <c r="A145" s="47"/>
      <c r="B145" s="9" t="str">
        <f>CONCATENATE("          ","5542"," - ","FREIGHT-IN-EVERYDAY GIFTS")</f>
        <v xml:space="preserve">          5542 - FREIGHT-IN-EVERYDAY GIFTS</v>
      </c>
      <c r="C145" s="9"/>
      <c r="D145" s="3"/>
      <c r="E145" s="3"/>
      <c r="F145" s="26">
        <f t="shared" si="20"/>
        <v>0</v>
      </c>
      <c r="G145" s="3"/>
      <c r="H145" s="3"/>
      <c r="I145" s="3"/>
      <c r="J145" s="26">
        <f t="shared" si="21"/>
        <v>0</v>
      </c>
      <c r="K145" s="3"/>
      <c r="L145" s="3">
        <f t="shared" si="22"/>
        <v>0</v>
      </c>
      <c r="M145" s="3"/>
      <c r="N145" s="26">
        <f t="shared" si="23"/>
        <v>0</v>
      </c>
      <c r="O145" s="9"/>
      <c r="P145" s="3">
        <v>0</v>
      </c>
      <c r="Q145" s="3"/>
      <c r="R145" s="26">
        <f t="shared" si="24"/>
        <v>0</v>
      </c>
      <c r="S145" s="3"/>
      <c r="T145" s="3">
        <v>681.72</v>
      </c>
      <c r="U145" s="3"/>
      <c r="V145" s="26">
        <f t="shared" si="25"/>
        <v>8.40472439159647E-5</v>
      </c>
      <c r="W145" s="3"/>
      <c r="X145" s="3">
        <f t="shared" si="26"/>
        <v>-681.72</v>
      </c>
      <c r="Y145" s="3"/>
      <c r="Z145" s="26">
        <f t="shared" si="27"/>
        <v>-1</v>
      </c>
    </row>
    <row r="146" spans="1:26" s="69" customFormat="1" ht="15" hidden="1" customHeight="1" outlineLevel="1" x14ac:dyDescent="0.3">
      <c r="A146" s="47"/>
      <c r="B146" s="9" t="str">
        <f>CONCATENATE("          ","5543"," - ","FREIGHT-IN-CARDS")</f>
        <v xml:space="preserve">          5543 - FREIGHT-IN-CARDS</v>
      </c>
      <c r="C146" s="9"/>
      <c r="D146" s="3"/>
      <c r="E146" s="3"/>
      <c r="F146" s="26">
        <f t="shared" si="20"/>
        <v>0</v>
      </c>
      <c r="G146" s="3"/>
      <c r="H146" s="3"/>
      <c r="I146" s="3"/>
      <c r="J146" s="26">
        <f t="shared" si="21"/>
        <v>0</v>
      </c>
      <c r="K146" s="3"/>
      <c r="L146" s="3">
        <f t="shared" si="22"/>
        <v>0</v>
      </c>
      <c r="M146" s="3"/>
      <c r="N146" s="26">
        <f t="shared" si="23"/>
        <v>0</v>
      </c>
      <c r="O146" s="9"/>
      <c r="P146" s="3"/>
      <c r="Q146" s="3"/>
      <c r="R146" s="26">
        <f t="shared" si="24"/>
        <v>0</v>
      </c>
      <c r="S146" s="3"/>
      <c r="T146" s="3">
        <v>9110.5300000000007</v>
      </c>
      <c r="U146" s="3"/>
      <c r="V146" s="26">
        <f t="shared" si="25"/>
        <v>1.1232103167190545E-3</v>
      </c>
      <c r="W146" s="3"/>
      <c r="X146" s="3">
        <f t="shared" si="26"/>
        <v>-9110.5300000000007</v>
      </c>
      <c r="Y146" s="3"/>
      <c r="Z146" s="26">
        <f t="shared" si="27"/>
        <v>-1</v>
      </c>
    </row>
    <row r="147" spans="1:26" s="69" customFormat="1" ht="15" hidden="1" customHeight="1" outlineLevel="1" x14ac:dyDescent="0.3">
      <c r="A147" s="47"/>
      <c r="B147" s="9" t="str">
        <f>CONCATENATE("          ","5544"," - ","FREIGHT-IN-ACCESSORIES")</f>
        <v xml:space="preserve">          5544 - FREIGHT-IN-ACCESSORIES</v>
      </c>
      <c r="C147" s="9"/>
      <c r="D147" s="3"/>
      <c r="E147" s="3"/>
      <c r="F147" s="26">
        <f t="shared" si="20"/>
        <v>0</v>
      </c>
      <c r="G147" s="3"/>
      <c r="H147" s="3">
        <v>48.59</v>
      </c>
      <c r="I147" s="3"/>
      <c r="J147" s="26">
        <f t="shared" si="21"/>
        <v>1.4760647997003764E-4</v>
      </c>
      <c r="K147" s="3"/>
      <c r="L147" s="3">
        <f t="shared" si="22"/>
        <v>-48.59</v>
      </c>
      <c r="M147" s="3"/>
      <c r="N147" s="26">
        <f t="shared" si="23"/>
        <v>-1</v>
      </c>
      <c r="O147" s="9"/>
      <c r="P147" s="3">
        <v>0</v>
      </c>
      <c r="Q147" s="3"/>
      <c r="R147" s="26">
        <f t="shared" si="24"/>
        <v>0</v>
      </c>
      <c r="S147" s="3"/>
      <c r="T147" s="3">
        <v>48.59</v>
      </c>
      <c r="U147" s="3"/>
      <c r="V147" s="26">
        <f t="shared" si="25"/>
        <v>5.9905174879374597E-6</v>
      </c>
      <c r="W147" s="3"/>
      <c r="X147" s="3">
        <f t="shared" si="26"/>
        <v>-48.59</v>
      </c>
      <c r="Y147" s="3"/>
      <c r="Z147" s="26">
        <f t="shared" si="27"/>
        <v>-1</v>
      </c>
    </row>
    <row r="148" spans="1:26" s="69" customFormat="1" ht="15" hidden="1" customHeight="1" outlineLevel="1" x14ac:dyDescent="0.3">
      <c r="A148" s="47"/>
      <c r="B148" s="9" t="str">
        <f>CONCATENATE("          ","5545"," - ","FREIGHT-IN-SPECIAL ORDERS")</f>
        <v xml:space="preserve">          5545 - FREIGHT-IN-SPECIAL ORDERS</v>
      </c>
      <c r="C148" s="9"/>
      <c r="D148" s="3"/>
      <c r="E148" s="3"/>
      <c r="F148" s="26">
        <f t="shared" si="20"/>
        <v>0</v>
      </c>
      <c r="G148" s="3"/>
      <c r="H148" s="3">
        <v>90.41</v>
      </c>
      <c r="I148" s="3"/>
      <c r="J148" s="26">
        <f t="shared" si="21"/>
        <v>2.7464708487530566E-4</v>
      </c>
      <c r="K148" s="3"/>
      <c r="L148" s="3">
        <f t="shared" si="22"/>
        <v>-90.41</v>
      </c>
      <c r="M148" s="3"/>
      <c r="N148" s="26">
        <f t="shared" si="23"/>
        <v>-1</v>
      </c>
      <c r="O148" s="9"/>
      <c r="P148" s="3">
        <v>0</v>
      </c>
      <c r="Q148" s="3"/>
      <c r="R148" s="26">
        <f t="shared" si="24"/>
        <v>0</v>
      </c>
      <c r="S148" s="3"/>
      <c r="T148" s="3">
        <v>2559.0700000000002</v>
      </c>
      <c r="U148" s="3"/>
      <c r="V148" s="26">
        <f t="shared" si="25"/>
        <v>3.1550017674122482E-4</v>
      </c>
      <c r="W148" s="3"/>
      <c r="X148" s="3">
        <f t="shared" si="26"/>
        <v>-2559.0700000000002</v>
      </c>
      <c r="Y148" s="3"/>
      <c r="Z148" s="26">
        <f t="shared" si="27"/>
        <v>-1</v>
      </c>
    </row>
    <row r="149" spans="1:26" s="69" customFormat="1" ht="15" hidden="1" customHeight="1" outlineLevel="1" x14ac:dyDescent="0.3">
      <c r="A149" s="47"/>
      <c r="B149" s="9" t="str">
        <f>CONCATENATE("          ","5581"," - ","FREIGHT-IN-ELECTRONICS")</f>
        <v xml:space="preserve">          5581 - FREIGHT-IN-ELECTRONICS</v>
      </c>
      <c r="C149" s="9"/>
      <c r="D149" s="3"/>
      <c r="E149" s="3"/>
      <c r="F149" s="26">
        <f t="shared" si="20"/>
        <v>0</v>
      </c>
      <c r="G149" s="3"/>
      <c r="H149" s="3">
        <v>0</v>
      </c>
      <c r="I149" s="3"/>
      <c r="J149" s="26">
        <f t="shared" si="21"/>
        <v>0</v>
      </c>
      <c r="K149" s="3"/>
      <c r="L149" s="3">
        <f t="shared" si="22"/>
        <v>0</v>
      </c>
      <c r="M149" s="3"/>
      <c r="N149" s="26">
        <f t="shared" si="23"/>
        <v>0</v>
      </c>
      <c r="O149" s="9"/>
      <c r="P149" s="3"/>
      <c r="Q149" s="3"/>
      <c r="R149" s="26">
        <f t="shared" si="24"/>
        <v>0</v>
      </c>
      <c r="S149" s="3"/>
      <c r="T149" s="3">
        <v>31</v>
      </c>
      <c r="U149" s="3"/>
      <c r="V149" s="26">
        <f t="shared" si="25"/>
        <v>3.8218983767454464E-6</v>
      </c>
      <c r="W149" s="3"/>
      <c r="X149" s="3">
        <f t="shared" si="26"/>
        <v>-31</v>
      </c>
      <c r="Y149" s="3"/>
      <c r="Z149" s="26">
        <f t="shared" si="27"/>
        <v>-1</v>
      </c>
    </row>
    <row r="150" spans="1:26" s="69" customFormat="1" ht="15" hidden="1" customHeight="1" outlineLevel="1" x14ac:dyDescent="0.3">
      <c r="A150" s="47"/>
      <c r="B150" s="9" t="str">
        <f>CONCATENATE("          ","5582"," - ","FREIGHT-IN-COMPUTER HARDWARE")</f>
        <v xml:space="preserve">          5582 - FREIGHT-IN-COMPUTER HARDWARE</v>
      </c>
      <c r="C150" s="9"/>
      <c r="D150" s="3"/>
      <c r="E150" s="3"/>
      <c r="F150" s="26">
        <f t="shared" si="20"/>
        <v>0</v>
      </c>
      <c r="G150" s="3"/>
      <c r="H150" s="3"/>
      <c r="I150" s="3"/>
      <c r="J150" s="26">
        <f t="shared" si="21"/>
        <v>0</v>
      </c>
      <c r="K150" s="3"/>
      <c r="L150" s="3">
        <f t="shared" si="22"/>
        <v>0</v>
      </c>
      <c r="M150" s="3"/>
      <c r="N150" s="26">
        <f t="shared" si="23"/>
        <v>0</v>
      </c>
      <c r="O150" s="9"/>
      <c r="P150" s="3"/>
      <c r="Q150" s="3"/>
      <c r="R150" s="26">
        <f t="shared" si="24"/>
        <v>0</v>
      </c>
      <c r="S150" s="3"/>
      <c r="T150" s="3">
        <v>145</v>
      </c>
      <c r="U150" s="3"/>
      <c r="V150" s="26">
        <f t="shared" si="25"/>
        <v>1.7876621439615797E-5</v>
      </c>
      <c r="W150" s="3"/>
      <c r="X150" s="3">
        <f t="shared" si="26"/>
        <v>-145</v>
      </c>
      <c r="Y150" s="3"/>
      <c r="Z150" s="26">
        <f t="shared" si="27"/>
        <v>-1</v>
      </c>
    </row>
    <row r="151" spans="1:26" s="69" customFormat="1" ht="15" hidden="1" customHeight="1" outlineLevel="1" x14ac:dyDescent="0.3">
      <c r="A151" s="47"/>
      <c r="B151" s="9" t="str">
        <f>CONCATENATE("          ","5583"," - ","FREIGHT-IN-COMPUTER EQUIPMENT")</f>
        <v xml:space="preserve">          5583 - FREIGHT-IN-COMPUTER EQUIPMENT</v>
      </c>
      <c r="C151" s="9"/>
      <c r="D151" s="3"/>
      <c r="E151" s="3"/>
      <c r="F151" s="26">
        <f t="shared" si="20"/>
        <v>0</v>
      </c>
      <c r="G151" s="3"/>
      <c r="H151" s="3"/>
      <c r="I151" s="3"/>
      <c r="J151" s="26">
        <f t="shared" si="21"/>
        <v>0</v>
      </c>
      <c r="K151" s="3"/>
      <c r="L151" s="3">
        <f t="shared" si="22"/>
        <v>0</v>
      </c>
      <c r="M151" s="3"/>
      <c r="N151" s="26">
        <f t="shared" si="23"/>
        <v>0</v>
      </c>
      <c r="O151" s="9"/>
      <c r="P151" s="3">
        <v>0</v>
      </c>
      <c r="Q151" s="3"/>
      <c r="R151" s="26">
        <f t="shared" si="24"/>
        <v>0</v>
      </c>
      <c r="S151" s="3"/>
      <c r="T151" s="3">
        <v>242.46</v>
      </c>
      <c r="U151" s="3"/>
      <c r="V151" s="26">
        <f t="shared" si="25"/>
        <v>2.9892176787925835E-5</v>
      </c>
      <c r="W151" s="3"/>
      <c r="X151" s="3">
        <f t="shared" si="26"/>
        <v>-242.46</v>
      </c>
      <c r="Y151" s="3"/>
      <c r="Z151" s="26">
        <f t="shared" si="27"/>
        <v>-1</v>
      </c>
    </row>
    <row r="152" spans="1:26" s="69" customFormat="1" ht="15" hidden="1" customHeight="1" outlineLevel="1" x14ac:dyDescent="0.3">
      <c r="A152" s="47"/>
      <c r="B152" s="9" t="str">
        <f>CONCATENATE("          ","5585"," - ","FREIGHT-IN-SOFTWARE")</f>
        <v xml:space="preserve">          5585 - FREIGHT-IN-SOFTWARE</v>
      </c>
      <c r="C152" s="9"/>
      <c r="D152" s="3"/>
      <c r="E152" s="3"/>
      <c r="F152" s="26">
        <f t="shared" si="20"/>
        <v>0</v>
      </c>
      <c r="G152" s="3"/>
      <c r="H152" s="3"/>
      <c r="I152" s="3"/>
      <c r="J152" s="26">
        <f t="shared" si="21"/>
        <v>0</v>
      </c>
      <c r="K152" s="3"/>
      <c r="L152" s="3">
        <f t="shared" si="22"/>
        <v>0</v>
      </c>
      <c r="M152" s="3"/>
      <c r="N152" s="26">
        <f t="shared" si="23"/>
        <v>0</v>
      </c>
      <c r="O152" s="9"/>
      <c r="P152" s="3"/>
      <c r="Q152" s="3"/>
      <c r="R152" s="26">
        <f t="shared" si="24"/>
        <v>0</v>
      </c>
      <c r="S152" s="3"/>
      <c r="T152" s="3">
        <v>9.41</v>
      </c>
      <c r="U152" s="3"/>
      <c r="V152" s="26">
        <f t="shared" si="25"/>
        <v>1.1601310879088597E-6</v>
      </c>
      <c r="W152" s="3"/>
      <c r="X152" s="3">
        <f t="shared" si="26"/>
        <v>-9.41</v>
      </c>
      <c r="Y152" s="3"/>
      <c r="Z152" s="26">
        <f t="shared" si="27"/>
        <v>-1</v>
      </c>
    </row>
    <row r="153" spans="1:26" s="69" customFormat="1" ht="15" hidden="1" customHeight="1" outlineLevel="1" x14ac:dyDescent="0.3">
      <c r="A153" s="47"/>
      <c r="B153" s="9" t="str">
        <f>CONCATENATE("          ","5586"," - ","FREIGHT-IN-COMPUTER SUPPLIES")</f>
        <v xml:space="preserve">          5586 - FREIGHT-IN-COMPUTER SUPPLIES</v>
      </c>
      <c r="C153" s="9"/>
      <c r="D153" s="3"/>
      <c r="E153" s="3"/>
      <c r="F153" s="26">
        <f t="shared" si="20"/>
        <v>0</v>
      </c>
      <c r="G153" s="3"/>
      <c r="H153" s="3"/>
      <c r="I153" s="3"/>
      <c r="J153" s="26">
        <f t="shared" si="21"/>
        <v>0</v>
      </c>
      <c r="K153" s="3"/>
      <c r="L153" s="3">
        <f t="shared" si="22"/>
        <v>0</v>
      </c>
      <c r="M153" s="3"/>
      <c r="N153" s="26">
        <f t="shared" si="23"/>
        <v>0</v>
      </c>
      <c r="O153" s="9"/>
      <c r="P153" s="3"/>
      <c r="Q153" s="3"/>
      <c r="R153" s="26">
        <f t="shared" si="24"/>
        <v>0</v>
      </c>
      <c r="S153" s="3"/>
      <c r="T153" s="3">
        <v>24.12</v>
      </c>
      <c r="U153" s="3"/>
      <c r="V153" s="26">
        <f t="shared" si="25"/>
        <v>2.9736835111967797E-6</v>
      </c>
      <c r="W153" s="3"/>
      <c r="X153" s="3">
        <f t="shared" si="26"/>
        <v>-24.12</v>
      </c>
      <c r="Y153" s="3"/>
      <c r="Z153" s="26">
        <f t="shared" si="27"/>
        <v>-1</v>
      </c>
    </row>
    <row r="154" spans="1:26" s="69" customFormat="1" ht="15" hidden="1" customHeight="1" outlineLevel="1" x14ac:dyDescent="0.3">
      <c r="A154" s="47"/>
      <c r="B154" s="9" t="str">
        <f>CONCATENATE("          ","5592"," - ","FREIGHT-IN-GRAD MERCH")</f>
        <v xml:space="preserve">          5592 - FREIGHT-IN-GRAD MERCH</v>
      </c>
      <c r="C154" s="9"/>
      <c r="D154" s="3"/>
      <c r="E154" s="3"/>
      <c r="F154" s="26">
        <f t="shared" si="20"/>
        <v>0</v>
      </c>
      <c r="G154" s="3"/>
      <c r="H154" s="3"/>
      <c r="I154" s="3"/>
      <c r="J154" s="26">
        <f t="shared" si="21"/>
        <v>0</v>
      </c>
      <c r="K154" s="3"/>
      <c r="L154" s="3">
        <f t="shared" si="22"/>
        <v>0</v>
      </c>
      <c r="M154" s="3"/>
      <c r="N154" s="26">
        <f t="shared" si="23"/>
        <v>0</v>
      </c>
      <c r="O154" s="9"/>
      <c r="P154" s="3"/>
      <c r="Q154" s="3"/>
      <c r="R154" s="26">
        <f t="shared" si="24"/>
        <v>0</v>
      </c>
      <c r="S154" s="3"/>
      <c r="T154" s="3">
        <v>0</v>
      </c>
      <c r="U154" s="3"/>
      <c r="V154" s="26">
        <f t="shared" si="25"/>
        <v>0</v>
      </c>
      <c r="W154" s="3"/>
      <c r="X154" s="3">
        <f t="shared" si="26"/>
        <v>0</v>
      </c>
      <c r="Y154" s="3"/>
      <c r="Z154" s="26">
        <f t="shared" si="27"/>
        <v>0</v>
      </c>
    </row>
    <row r="155" spans="1:26" ht="15" customHeight="1" x14ac:dyDescent="0.3">
      <c r="A155" s="12"/>
      <c r="B155" s="13"/>
      <c r="C155" s="13"/>
      <c r="D155" s="4"/>
      <c r="E155" s="4"/>
      <c r="F155" s="10"/>
      <c r="G155" s="4"/>
      <c r="H155" s="4"/>
      <c r="I155" s="4"/>
      <c r="J155" s="10"/>
      <c r="K155" s="4"/>
      <c r="L155" s="4"/>
      <c r="M155" s="4"/>
      <c r="N155" s="10"/>
      <c r="O155" s="13"/>
      <c r="P155" s="4"/>
      <c r="Q155" s="4"/>
      <c r="R155" s="10"/>
      <c r="S155" s="4"/>
      <c r="T155" s="4"/>
      <c r="U155" s="4"/>
      <c r="V155" s="10"/>
      <c r="W155" s="4"/>
      <c r="X155" s="4"/>
      <c r="Y155" s="4"/>
      <c r="Z155" s="10"/>
    </row>
    <row r="156" spans="1:26" s="62" customFormat="1" ht="15" customHeight="1" x14ac:dyDescent="0.3">
      <c r="A156" s="13"/>
      <c r="B156" s="28" t="s">
        <v>288</v>
      </c>
      <c r="C156" s="28"/>
      <c r="D156" s="22">
        <f>D12-D98</f>
        <v>-28366.520000000135</v>
      </c>
      <c r="E156" s="15"/>
      <c r="F156" s="24">
        <f>IF(D$12=0,0,D156/D$12)</f>
        <v>-4.1075434377860688E-2</v>
      </c>
      <c r="G156" s="15"/>
      <c r="H156" s="22">
        <f>H12-H98</f>
        <v>40600.760000000068</v>
      </c>
      <c r="I156" s="15"/>
      <c r="J156" s="24">
        <f>IF(H$12=0,0,H156/H$12)</f>
        <v>0.12333680320453416</v>
      </c>
      <c r="K156" s="17"/>
      <c r="L156" s="22">
        <f>+D156-H156</f>
        <v>-68967.280000000203</v>
      </c>
      <c r="M156" s="17"/>
      <c r="N156" s="24">
        <f>IF(H156=0,0,L156/H156)</f>
        <v>-1.6986696800749563</v>
      </c>
      <c r="O156" s="27"/>
      <c r="P156" s="22">
        <f>P12-P98</f>
        <v>3792320.71</v>
      </c>
      <c r="Q156" s="15"/>
      <c r="R156" s="24">
        <f>IF(P$12=0,0,P156/P$12)</f>
        <v>0.35461101112072779</v>
      </c>
      <c r="S156" s="15"/>
      <c r="T156" s="22">
        <f>T12-T98</f>
        <v>2339296.3599999957</v>
      </c>
      <c r="U156" s="15"/>
      <c r="V156" s="24">
        <f>IF(T$12=0,0,T156/T$12)</f>
        <v>0.28840493422614566</v>
      </c>
      <c r="W156" s="17"/>
      <c r="X156" s="22">
        <f>+P156-T156</f>
        <v>1453024.3500000043</v>
      </c>
      <c r="Y156" s="17"/>
      <c r="Z156" s="24">
        <f>IF(T156=0,0,X156/T156)</f>
        <v>0.62113735345615084</v>
      </c>
    </row>
    <row r="157" spans="1:26" ht="15" customHeight="1" x14ac:dyDescent="0.3">
      <c r="A157" s="12"/>
      <c r="B157" s="13"/>
      <c r="C157" s="12"/>
      <c r="D157" s="2"/>
      <c r="E157" s="2"/>
      <c r="F157" s="5"/>
      <c r="G157" s="2"/>
      <c r="H157" s="2"/>
      <c r="I157" s="2"/>
      <c r="J157" s="5"/>
      <c r="K157" s="2"/>
      <c r="L157" s="2"/>
      <c r="M157" s="2"/>
      <c r="N157" s="5"/>
      <c r="O157" s="37"/>
      <c r="P157" s="2"/>
      <c r="Q157" s="2"/>
      <c r="R157" s="5"/>
      <c r="S157" s="2"/>
      <c r="T157" s="2"/>
      <c r="U157" s="2"/>
      <c r="V157" s="5"/>
      <c r="W157" s="2"/>
      <c r="X157" s="2"/>
      <c r="Y157" s="2"/>
      <c r="Z157" s="5"/>
    </row>
    <row r="158" spans="1:26" s="62" customFormat="1" ht="15" customHeight="1" x14ac:dyDescent="0.3">
      <c r="A158" s="13"/>
      <c r="B158" s="27" t="s">
        <v>289</v>
      </c>
      <c r="C158" s="13"/>
      <c r="D158" s="23" cm="1">
        <f t="array" ref="D158">SUM(OSRRefD22x_0)</f>
        <v>240731.95999999996</v>
      </c>
      <c r="E158" s="23"/>
      <c r="F158" s="34">
        <f t="shared" ref="F158:F189" si="28">IF(D$12=0,0,D158/D$12)</f>
        <v>0.34858593248779668</v>
      </c>
      <c r="G158" s="23"/>
      <c r="H158" s="23" cm="1">
        <f t="array" ref="H158">SUM(OSRRefH22x_0)</f>
        <v>248476.36000000002</v>
      </c>
      <c r="I158" s="23"/>
      <c r="J158" s="34">
        <f t="shared" ref="J158:J189" si="29">IF(H$12=0,0,H158/H$12)</f>
        <v>0.75482035100571854</v>
      </c>
      <c r="K158" s="8"/>
      <c r="L158" s="23">
        <f t="shared" ref="L158:L189" si="30">+D158-H158</f>
        <v>-7744.4000000000524</v>
      </c>
      <c r="M158" s="8"/>
      <c r="N158" s="34">
        <f t="shared" ref="N158:N189" si="31">IF(H158=0,0,L158/H158)</f>
        <v>-3.116755251887967E-2</v>
      </c>
      <c r="O158" s="13"/>
      <c r="P158" s="23" cm="1">
        <f t="array" ref="P158">SUM(OSRRefP22x_0)</f>
        <v>3949885.0500000003</v>
      </c>
      <c r="Q158" s="23"/>
      <c r="R158" s="34">
        <f t="shared" ref="R158:R189" si="32">IF(P$12=0,0,P158/P$12)</f>
        <v>0.36934448283809485</v>
      </c>
      <c r="S158" s="23"/>
      <c r="T158" s="23" cm="1">
        <f t="array" ref="T158">SUM(OSRRefT22x_0)</f>
        <v>3268986.620000002</v>
      </c>
      <c r="U158" s="23"/>
      <c r="V158" s="34">
        <f t="shared" ref="V158:V189" si="33">IF(T$12=0,0,T158/T$12)</f>
        <v>0.40302369859937387</v>
      </c>
      <c r="W158" s="8"/>
      <c r="X158" s="23">
        <f t="shared" ref="X158:X189" si="34">+P158-T158</f>
        <v>680898.4299999983</v>
      </c>
      <c r="Y158" s="8"/>
      <c r="Z158" s="34">
        <f t="shared" ref="Z158:Z189" si="35">IF(T158=0,0,X158/T158)</f>
        <v>0.20829036920316238</v>
      </c>
    </row>
    <row r="159" spans="1:26" s="68" customFormat="1" ht="15" customHeight="1" outlineLevel="1" collapsed="1" x14ac:dyDescent="0.3">
      <c r="A159" s="20"/>
      <c r="B159" s="11" t="str">
        <f>CONCATENATE("     ","*Benefits                                         ")</f>
        <v xml:space="preserve">     *Benefits                                         </v>
      </c>
      <c r="C159" s="11"/>
      <c r="D159" s="2">
        <f>SUM(OSRRefD22_0x_0)</f>
        <v>28132.18</v>
      </c>
      <c r="E159" s="2"/>
      <c r="F159" s="5">
        <f t="shared" si="28"/>
        <v>4.073610416421046E-2</v>
      </c>
      <c r="G159" s="2"/>
      <c r="H159" s="2">
        <f>SUM(OSRRefH22_0x_0)</f>
        <v>56727.14</v>
      </c>
      <c r="I159" s="2"/>
      <c r="J159" s="5">
        <f t="shared" si="29"/>
        <v>0.17232544667971847</v>
      </c>
      <c r="K159" s="2"/>
      <c r="L159" s="2">
        <f t="shared" si="30"/>
        <v>-28594.959999999999</v>
      </c>
      <c r="M159" s="2"/>
      <c r="N159" s="5">
        <f t="shared" si="31"/>
        <v>-0.50407899992842931</v>
      </c>
      <c r="O159" s="11"/>
      <c r="P159" s="2">
        <f>SUM(OSRRefP22_0x_0)</f>
        <v>575624.65</v>
      </c>
      <c r="Q159" s="2"/>
      <c r="R159" s="5">
        <f t="shared" si="32"/>
        <v>5.3825310350008627E-2</v>
      </c>
      <c r="S159" s="2"/>
      <c r="T159" s="2">
        <f>SUM(OSRRefT22_0x_0)</f>
        <v>600719.17999999993</v>
      </c>
      <c r="U159" s="2"/>
      <c r="V159" s="5">
        <f t="shared" si="33"/>
        <v>7.4060892223285657E-2</v>
      </c>
      <c r="W159" s="2"/>
      <c r="X159" s="2">
        <f t="shared" si="34"/>
        <v>-25094.529999999912</v>
      </c>
      <c r="Y159" s="2"/>
      <c r="Z159" s="5">
        <f t="shared" si="35"/>
        <v>-4.1774144784256624E-2</v>
      </c>
    </row>
    <row r="160" spans="1:26" s="69" customFormat="1" ht="15" hidden="1" customHeight="1" outlineLevel="2" x14ac:dyDescent="0.3">
      <c r="A160" s="21"/>
      <c r="B160" s="9" t="str">
        <f>CONCATENATE("          ","6111"," - ","F.I.C.A.")</f>
        <v xml:space="preserve">          6111 - F.I.C.A.</v>
      </c>
      <c r="C160" s="9"/>
      <c r="D160" s="6">
        <v>11981.97</v>
      </c>
      <c r="E160" s="3"/>
      <c r="F160" s="7">
        <f t="shared" si="28"/>
        <v>1.7350193906495864E-2</v>
      </c>
      <c r="G160" s="3"/>
      <c r="H160" s="6">
        <v>10006.1</v>
      </c>
      <c r="I160" s="3"/>
      <c r="J160" s="7">
        <f t="shared" si="29"/>
        <v>3.0396484857546688E-2</v>
      </c>
      <c r="K160" s="3"/>
      <c r="L160" s="6">
        <f t="shared" si="30"/>
        <v>1975.869999999999</v>
      </c>
      <c r="M160" s="3"/>
      <c r="N160" s="7">
        <f t="shared" si="31"/>
        <v>0.19746654540730144</v>
      </c>
      <c r="O160" s="9"/>
      <c r="P160" s="6">
        <v>114776.12</v>
      </c>
      <c r="Q160" s="3"/>
      <c r="R160" s="7">
        <f t="shared" si="32"/>
        <v>1.073244566536515E-2</v>
      </c>
      <c r="S160" s="3"/>
      <c r="T160" s="6">
        <v>113421.24</v>
      </c>
      <c r="U160" s="3"/>
      <c r="V160" s="7">
        <f t="shared" si="33"/>
        <v>1.3983369453046958E-2</v>
      </c>
      <c r="W160" s="3"/>
      <c r="X160" s="6">
        <f t="shared" si="34"/>
        <v>1354.8799999999901</v>
      </c>
      <c r="Y160" s="3"/>
      <c r="Z160" s="7">
        <f t="shared" si="35"/>
        <v>1.1945557992488797E-2</v>
      </c>
    </row>
    <row r="161" spans="1:26" s="69" customFormat="1" ht="15" hidden="1" customHeight="1" outlineLevel="2" x14ac:dyDescent="0.3">
      <c r="A161" s="21"/>
      <c r="B161" s="9" t="str">
        <f>CONCATENATE("          ","6112"," - ","COMPENSATION INSURANCE")</f>
        <v xml:space="preserve">          6112 - COMPENSATION INSURANCE</v>
      </c>
      <c r="C161" s="9"/>
      <c r="D161" s="6">
        <v>-18029.48</v>
      </c>
      <c r="E161" s="3"/>
      <c r="F161" s="7">
        <f t="shared" si="28"/>
        <v>-2.610714048134731E-2</v>
      </c>
      <c r="G161" s="3"/>
      <c r="H161" s="6">
        <v>2119.34</v>
      </c>
      <c r="I161" s="3"/>
      <c r="J161" s="7">
        <f t="shared" si="29"/>
        <v>6.4381213677649632E-3</v>
      </c>
      <c r="K161" s="3"/>
      <c r="L161" s="6">
        <f t="shared" si="30"/>
        <v>-20148.82</v>
      </c>
      <c r="M161" s="3"/>
      <c r="N161" s="7">
        <f t="shared" si="31"/>
        <v>-9.507120141176026</v>
      </c>
      <c r="O161" s="9"/>
      <c r="P161" s="6">
        <v>11806.35</v>
      </c>
      <c r="Q161" s="3"/>
      <c r="R161" s="7">
        <f t="shared" si="32"/>
        <v>1.1039840855509304E-3</v>
      </c>
      <c r="S161" s="3"/>
      <c r="T161" s="6">
        <v>28146.639999999999</v>
      </c>
      <c r="U161" s="3"/>
      <c r="V161" s="7">
        <f t="shared" si="33"/>
        <v>3.4701160557044659E-3</v>
      </c>
      <c r="W161" s="3"/>
      <c r="X161" s="6">
        <f t="shared" si="34"/>
        <v>-16340.289999999999</v>
      </c>
      <c r="Y161" s="3"/>
      <c r="Z161" s="7">
        <f t="shared" si="35"/>
        <v>-0.58054140742909277</v>
      </c>
    </row>
    <row r="162" spans="1:26" s="69" customFormat="1" ht="15" hidden="1" customHeight="1" outlineLevel="2" x14ac:dyDescent="0.3">
      <c r="A162" s="21"/>
      <c r="B162" s="9" t="str">
        <f>CONCATENATE("          ","6113"," - ","GROUP INSURANCE")</f>
        <v xml:space="preserve">          6113 - GROUP INSURANCE</v>
      </c>
      <c r="C162" s="9"/>
      <c r="D162" s="6">
        <v>15041.47</v>
      </c>
      <c r="E162" s="3"/>
      <c r="F162" s="7">
        <f t="shared" si="28"/>
        <v>2.1780426852908191E-2</v>
      </c>
      <c r="G162" s="3"/>
      <c r="H162" s="6">
        <v>19337.900000000001</v>
      </c>
      <c r="I162" s="3"/>
      <c r="J162" s="7">
        <f t="shared" si="29"/>
        <v>5.8744584256278883E-2</v>
      </c>
      <c r="K162" s="3"/>
      <c r="L162" s="6">
        <f t="shared" si="30"/>
        <v>-4296.4300000000021</v>
      </c>
      <c r="M162" s="3"/>
      <c r="N162" s="7">
        <f t="shared" si="31"/>
        <v>-0.2221766582720979</v>
      </c>
      <c r="O162" s="9"/>
      <c r="P162" s="6">
        <v>205294.61</v>
      </c>
      <c r="Q162" s="3"/>
      <c r="R162" s="7">
        <f t="shared" si="32"/>
        <v>1.9196617268621111E-2</v>
      </c>
      <c r="S162" s="3"/>
      <c r="T162" s="6">
        <v>213976.12</v>
      </c>
      <c r="U162" s="3"/>
      <c r="V162" s="7">
        <f t="shared" si="33"/>
        <v>2.6380483409364153E-2</v>
      </c>
      <c r="W162" s="3"/>
      <c r="X162" s="6">
        <f t="shared" si="34"/>
        <v>-8681.5100000000093</v>
      </c>
      <c r="Y162" s="3"/>
      <c r="Z162" s="7">
        <f t="shared" si="35"/>
        <v>-4.0572331155457955E-2</v>
      </c>
    </row>
    <row r="163" spans="1:26" s="69" customFormat="1" ht="15" hidden="1" customHeight="1" outlineLevel="2" x14ac:dyDescent="0.3">
      <c r="A163" s="21"/>
      <c r="B163" s="9" t="str">
        <f>CONCATENATE("          ","6114"," - ","STATE UNEMPLOYMENT INSURANCE")</f>
        <v xml:space="preserve">          6114 - STATE UNEMPLOYMENT INSURANCE</v>
      </c>
      <c r="C163" s="9"/>
      <c r="D163" s="6"/>
      <c r="E163" s="3"/>
      <c r="F163" s="7">
        <f t="shared" si="28"/>
        <v>0</v>
      </c>
      <c r="G163" s="3"/>
      <c r="H163" s="6">
        <v>365.33</v>
      </c>
      <c r="I163" s="3"/>
      <c r="J163" s="7">
        <f t="shared" si="29"/>
        <v>1.1097978046399227E-3</v>
      </c>
      <c r="K163" s="3"/>
      <c r="L163" s="6">
        <f t="shared" si="30"/>
        <v>-365.33</v>
      </c>
      <c r="M163" s="3"/>
      <c r="N163" s="7">
        <f t="shared" si="31"/>
        <v>-1</v>
      </c>
      <c r="O163" s="9"/>
      <c r="P163" s="6">
        <v>5368.26</v>
      </c>
      <c r="Q163" s="3"/>
      <c r="R163" s="7">
        <f t="shared" si="32"/>
        <v>5.0197339627400825E-4</v>
      </c>
      <c r="S163" s="3"/>
      <c r="T163" s="6">
        <v>4638.91</v>
      </c>
      <c r="U163" s="3"/>
      <c r="V163" s="7">
        <f t="shared" si="33"/>
        <v>5.7191750318929732E-4</v>
      </c>
      <c r="W163" s="3"/>
      <c r="X163" s="6">
        <f t="shared" si="34"/>
        <v>729.35000000000036</v>
      </c>
      <c r="Y163" s="3"/>
      <c r="Z163" s="7">
        <f t="shared" si="35"/>
        <v>0.15722443418820378</v>
      </c>
    </row>
    <row r="164" spans="1:26" s="69" customFormat="1" ht="15" hidden="1" customHeight="1" outlineLevel="2" x14ac:dyDescent="0.3">
      <c r="A164" s="21"/>
      <c r="B164" s="9" t="str">
        <f>CONCATENATE("          ","6115"," - ","P.E.R.S.")</f>
        <v xml:space="preserve">          6115 - P.E.R.S.</v>
      </c>
      <c r="C164" s="9"/>
      <c r="D164" s="6">
        <v>5091.79</v>
      </c>
      <c r="E164" s="3"/>
      <c r="F164" s="7">
        <f t="shared" si="28"/>
        <v>7.3730399784974069E-3</v>
      </c>
      <c r="G164" s="3"/>
      <c r="H164" s="6">
        <v>11941.22</v>
      </c>
      <c r="I164" s="3"/>
      <c r="J164" s="7">
        <f t="shared" si="29"/>
        <v>3.6274983551097192E-2</v>
      </c>
      <c r="K164" s="3"/>
      <c r="L164" s="6">
        <f t="shared" si="30"/>
        <v>-6849.4299999999994</v>
      </c>
      <c r="M164" s="3"/>
      <c r="N164" s="7">
        <f t="shared" si="31"/>
        <v>-0.57359549526765274</v>
      </c>
      <c r="O164" s="9"/>
      <c r="P164" s="6">
        <v>78220.05</v>
      </c>
      <c r="Q164" s="3"/>
      <c r="R164" s="7">
        <f t="shared" si="32"/>
        <v>7.3141733364670749E-3</v>
      </c>
      <c r="S164" s="3"/>
      <c r="T164" s="6">
        <v>88758.7</v>
      </c>
      <c r="U164" s="3"/>
      <c r="V164" s="7">
        <f t="shared" si="33"/>
        <v>1.0942797788775356E-2</v>
      </c>
      <c r="W164" s="3"/>
      <c r="X164" s="6">
        <f t="shared" si="34"/>
        <v>-10538.649999999994</v>
      </c>
      <c r="Y164" s="3"/>
      <c r="Z164" s="7">
        <f t="shared" si="35"/>
        <v>-0.11873371286420367</v>
      </c>
    </row>
    <row r="165" spans="1:26" s="69" customFormat="1" ht="15" hidden="1" customHeight="1" outlineLevel="2" x14ac:dyDescent="0.3">
      <c r="A165" s="21"/>
      <c r="B165" s="9" t="str">
        <f>CONCATENATE("          ","6116"," - ","EDUCATIONAL BENEFITS")</f>
        <v xml:space="preserve">          6116 - EDUCATIONAL BENEFITS</v>
      </c>
      <c r="C165" s="9"/>
      <c r="D165" s="6"/>
      <c r="E165" s="3"/>
      <c r="F165" s="7">
        <f t="shared" si="28"/>
        <v>0</v>
      </c>
      <c r="G165" s="3"/>
      <c r="H165" s="6"/>
      <c r="I165" s="3"/>
      <c r="J165" s="7">
        <f t="shared" si="29"/>
        <v>0</v>
      </c>
      <c r="K165" s="3"/>
      <c r="L165" s="6">
        <f t="shared" si="30"/>
        <v>0</v>
      </c>
      <c r="M165" s="3"/>
      <c r="N165" s="7">
        <f t="shared" si="31"/>
        <v>0</v>
      </c>
      <c r="O165" s="9"/>
      <c r="P165" s="6"/>
      <c r="Q165" s="3"/>
      <c r="R165" s="7">
        <f t="shared" si="32"/>
        <v>0</v>
      </c>
      <c r="S165" s="3"/>
      <c r="T165" s="6">
        <v>0</v>
      </c>
      <c r="U165" s="3"/>
      <c r="V165" s="7">
        <f t="shared" si="33"/>
        <v>0</v>
      </c>
      <c r="W165" s="3"/>
      <c r="X165" s="6">
        <f t="shared" si="34"/>
        <v>0</v>
      </c>
      <c r="Y165" s="3"/>
      <c r="Z165" s="7">
        <f t="shared" si="35"/>
        <v>0</v>
      </c>
    </row>
    <row r="166" spans="1:26" s="69" customFormat="1" ht="15" hidden="1" customHeight="1" outlineLevel="2" x14ac:dyDescent="0.3">
      <c r="A166" s="21"/>
      <c r="B166" s="9" t="str">
        <f>CONCATENATE("          ","6117"," - ","RETIREMENT STAFF HOURLY")</f>
        <v xml:space="preserve">          6117 - RETIREMENT STAFF HOURLY</v>
      </c>
      <c r="C166" s="9"/>
      <c r="D166" s="6">
        <v>845.35</v>
      </c>
      <c r="E166" s="3"/>
      <c r="F166" s="7">
        <f t="shared" si="28"/>
        <v>1.2240880605489982E-3</v>
      </c>
      <c r="G166" s="3"/>
      <c r="H166" s="6">
        <v>700.53</v>
      </c>
      <c r="I166" s="3"/>
      <c r="J166" s="7">
        <f t="shared" si="29"/>
        <v>2.128066832957614E-3</v>
      </c>
      <c r="K166" s="3"/>
      <c r="L166" s="6">
        <f t="shared" si="30"/>
        <v>144.82000000000005</v>
      </c>
      <c r="M166" s="3"/>
      <c r="N166" s="7">
        <f t="shared" si="31"/>
        <v>0.20672919075557086</v>
      </c>
      <c r="O166" s="9"/>
      <c r="P166" s="6">
        <v>8748.06</v>
      </c>
      <c r="Q166" s="3"/>
      <c r="R166" s="7">
        <f t="shared" si="32"/>
        <v>8.1801056375972844E-4</v>
      </c>
      <c r="S166" s="3"/>
      <c r="T166" s="6">
        <v>7011.58</v>
      </c>
      <c r="U166" s="3"/>
      <c r="V166" s="7">
        <f t="shared" si="33"/>
        <v>8.6443697485228505E-4</v>
      </c>
      <c r="W166" s="3"/>
      <c r="X166" s="6">
        <f t="shared" si="34"/>
        <v>1736.4799999999996</v>
      </c>
      <c r="Y166" s="3"/>
      <c r="Z166" s="7">
        <f t="shared" si="35"/>
        <v>0.24765887289312816</v>
      </c>
    </row>
    <row r="167" spans="1:26" s="69" customFormat="1" ht="15" hidden="1" customHeight="1" outlineLevel="2" x14ac:dyDescent="0.3">
      <c r="A167" s="21"/>
      <c r="B167" s="9" t="str">
        <f>CONCATENATE("          ","6118"," - ","VACATION")</f>
        <v xml:space="preserve">          6118 - VACATION</v>
      </c>
      <c r="C167" s="9"/>
      <c r="D167" s="6">
        <v>5613.15</v>
      </c>
      <c r="E167" s="3"/>
      <c r="F167" s="7">
        <f t="shared" si="28"/>
        <v>8.1279823706992462E-3</v>
      </c>
      <c r="G167" s="3"/>
      <c r="H167" s="6">
        <v>5999.91</v>
      </c>
      <c r="I167" s="3"/>
      <c r="J167" s="7">
        <f t="shared" si="29"/>
        <v>1.822649918166348E-2</v>
      </c>
      <c r="K167" s="3"/>
      <c r="L167" s="6">
        <f t="shared" si="30"/>
        <v>-386.76000000000022</v>
      </c>
      <c r="M167" s="3"/>
      <c r="N167" s="7">
        <f t="shared" si="31"/>
        <v>-6.4460966914503759E-2</v>
      </c>
      <c r="O167" s="9"/>
      <c r="P167" s="6">
        <v>77897.31</v>
      </c>
      <c r="Q167" s="3"/>
      <c r="R167" s="7">
        <f t="shared" si="32"/>
        <v>7.2839946763586828E-3</v>
      </c>
      <c r="S167" s="3"/>
      <c r="T167" s="6">
        <v>72282.899999999994</v>
      </c>
      <c r="U167" s="3"/>
      <c r="V167" s="7">
        <f t="shared" si="33"/>
        <v>8.9115451024662385E-3</v>
      </c>
      <c r="W167" s="3"/>
      <c r="X167" s="6">
        <f t="shared" si="34"/>
        <v>5614.4100000000035</v>
      </c>
      <c r="Y167" s="3"/>
      <c r="Z167" s="7">
        <f t="shared" si="35"/>
        <v>7.7672727574571637E-2</v>
      </c>
    </row>
    <row r="168" spans="1:26" s="69" customFormat="1" ht="15" hidden="1" customHeight="1" outlineLevel="2" x14ac:dyDescent="0.3">
      <c r="A168" s="21"/>
      <c r="B168" s="9" t="str">
        <f>CONCATENATE("          ","6119"," - ","SICK LEAVE")</f>
        <v xml:space="preserve">          6119 - SICK LEAVE</v>
      </c>
      <c r="C168" s="9"/>
      <c r="D168" s="6">
        <v>3971.55</v>
      </c>
      <c r="E168" s="3"/>
      <c r="F168" s="7">
        <f t="shared" si="28"/>
        <v>5.7509042844660482E-3</v>
      </c>
      <c r="G168" s="3"/>
      <c r="H168" s="6">
        <v>4535.18</v>
      </c>
      <c r="I168" s="3"/>
      <c r="J168" s="7">
        <f t="shared" si="29"/>
        <v>1.3776949080685641E-2</v>
      </c>
      <c r="K168" s="3"/>
      <c r="L168" s="6">
        <f t="shared" si="30"/>
        <v>-563.63000000000011</v>
      </c>
      <c r="M168" s="3"/>
      <c r="N168" s="7">
        <f t="shared" si="31"/>
        <v>-0.12427952143024093</v>
      </c>
      <c r="O168" s="9"/>
      <c r="P168" s="6">
        <v>36032.339999999997</v>
      </c>
      <c r="Q168" s="3"/>
      <c r="R168" s="7">
        <f t="shared" si="32"/>
        <v>3.369299565501633E-3</v>
      </c>
      <c r="S168" s="3"/>
      <c r="T168" s="6">
        <v>52220.02</v>
      </c>
      <c r="U168" s="3"/>
      <c r="V168" s="7">
        <f t="shared" si="33"/>
        <v>6.4380519248907978E-3</v>
      </c>
      <c r="W168" s="3"/>
      <c r="X168" s="6">
        <f t="shared" si="34"/>
        <v>-16187.68</v>
      </c>
      <c r="Y168" s="3"/>
      <c r="Z168" s="7">
        <f t="shared" si="35"/>
        <v>-0.30998992340485509</v>
      </c>
    </row>
    <row r="169" spans="1:26" s="69" customFormat="1" ht="15" hidden="1" customHeight="1" outlineLevel="2" x14ac:dyDescent="0.3">
      <c r="A169" s="21"/>
      <c r="B169" s="9" t="str">
        <f>CONCATENATE("          ","6156"," - ","EMPLOYEE MEALS")</f>
        <v xml:space="preserve">          6156 - EMPLOYEE MEALS</v>
      </c>
      <c r="C169" s="9"/>
      <c r="D169" s="6">
        <v>3616.38</v>
      </c>
      <c r="E169" s="3"/>
      <c r="F169" s="7">
        <f t="shared" si="28"/>
        <v>5.2366091919420193E-3</v>
      </c>
      <c r="G169" s="3"/>
      <c r="H169" s="6">
        <v>1721.63</v>
      </c>
      <c r="I169" s="3"/>
      <c r="J169" s="7">
        <f t="shared" si="29"/>
        <v>5.2299597470840892E-3</v>
      </c>
      <c r="K169" s="3"/>
      <c r="L169" s="6">
        <f t="shared" si="30"/>
        <v>1894.75</v>
      </c>
      <c r="M169" s="3"/>
      <c r="N169" s="7">
        <f t="shared" si="31"/>
        <v>1.1005558685664167</v>
      </c>
      <c r="O169" s="9"/>
      <c r="P169" s="6">
        <v>37481.550000000003</v>
      </c>
      <c r="Q169" s="3"/>
      <c r="R169" s="7">
        <f t="shared" si="32"/>
        <v>3.5048117921103027E-3</v>
      </c>
      <c r="S169" s="3"/>
      <c r="T169" s="6">
        <v>20263.07</v>
      </c>
      <c r="U169" s="3"/>
      <c r="V169" s="7">
        <f t="shared" si="33"/>
        <v>2.4981740109961082E-3</v>
      </c>
      <c r="W169" s="3"/>
      <c r="X169" s="6">
        <f t="shared" si="34"/>
        <v>17218.480000000003</v>
      </c>
      <c r="Y169" s="3"/>
      <c r="Z169" s="7">
        <f t="shared" si="35"/>
        <v>0.84974685474609735</v>
      </c>
    </row>
    <row r="170" spans="1:26" s="68" customFormat="1" ht="15" customHeight="1" outlineLevel="1" collapsed="1" x14ac:dyDescent="0.3">
      <c r="A170" s="20"/>
      <c r="B170" s="11" t="str">
        <f>CONCATENATE("     ","*Payroll                                          ")</f>
        <v xml:space="preserve">     *Payroll                                          </v>
      </c>
      <c r="C170" s="11"/>
      <c r="D170" s="2">
        <f>SUM(OSRRefD22_1x_0)</f>
        <v>145828.88999999998</v>
      </c>
      <c r="E170" s="2"/>
      <c r="F170" s="5">
        <f t="shared" si="28"/>
        <v>0.21116390031597937</v>
      </c>
      <c r="G170" s="2"/>
      <c r="H170" s="2">
        <f>SUM(OSRRefH22_1x_0)</f>
        <v>134424.68000000002</v>
      </c>
      <c r="I170" s="2"/>
      <c r="J170" s="5">
        <f t="shared" si="29"/>
        <v>0.40835467865607578</v>
      </c>
      <c r="K170" s="2"/>
      <c r="L170" s="2">
        <f t="shared" si="30"/>
        <v>11404.209999999963</v>
      </c>
      <c r="M170" s="2"/>
      <c r="N170" s="5">
        <f t="shared" si="31"/>
        <v>8.4837174245086244E-2</v>
      </c>
      <c r="O170" s="11"/>
      <c r="P170" s="2">
        <f>SUM(OSRRefP22_1x_0)</f>
        <v>2111399.9900000002</v>
      </c>
      <c r="Q170" s="2"/>
      <c r="R170" s="5">
        <f t="shared" si="32"/>
        <v>0.19743205878128242</v>
      </c>
      <c r="S170" s="2"/>
      <c r="T170" s="2">
        <f>SUM(OSRRefT22_1x_0)</f>
        <v>1595184.57</v>
      </c>
      <c r="U170" s="2"/>
      <c r="V170" s="5">
        <f t="shared" si="33"/>
        <v>0.19666559092556074</v>
      </c>
      <c r="W170" s="2"/>
      <c r="X170" s="2">
        <f t="shared" si="34"/>
        <v>516215.42000000016</v>
      </c>
      <c r="Y170" s="2"/>
      <c r="Z170" s="5">
        <f t="shared" si="35"/>
        <v>0.32360858405243986</v>
      </c>
    </row>
    <row r="171" spans="1:26" s="69" customFormat="1" ht="15" hidden="1" customHeight="1" outlineLevel="2" x14ac:dyDescent="0.3">
      <c r="A171" s="21"/>
      <c r="B171" s="9" t="str">
        <f>CONCATENATE("          ","6001"," - ","ADMINISTRATIVE SALARIES")</f>
        <v xml:space="preserve">          6001 - ADMINISTRATIVE SALARIES</v>
      </c>
      <c r="C171" s="9"/>
      <c r="D171" s="6">
        <v>5124.17</v>
      </c>
      <c r="E171" s="3"/>
      <c r="F171" s="7">
        <f t="shared" si="28"/>
        <v>7.4199270328542729E-3</v>
      </c>
      <c r="G171" s="3"/>
      <c r="H171" s="6">
        <v>3583.28</v>
      </c>
      <c r="I171" s="3"/>
      <c r="J171" s="7">
        <f t="shared" si="29"/>
        <v>1.0885271610352675E-2</v>
      </c>
      <c r="K171" s="3"/>
      <c r="L171" s="6">
        <f t="shared" si="30"/>
        <v>1540.8899999999999</v>
      </c>
      <c r="M171" s="3"/>
      <c r="N171" s="7">
        <f t="shared" si="31"/>
        <v>0.43002221428411952</v>
      </c>
      <c r="O171" s="9"/>
      <c r="P171" s="6">
        <v>56517.3</v>
      </c>
      <c r="Q171" s="3"/>
      <c r="R171" s="7">
        <f t="shared" si="32"/>
        <v>5.2848001082728864E-3</v>
      </c>
      <c r="S171" s="3"/>
      <c r="T171" s="6">
        <v>50981.81</v>
      </c>
      <c r="U171" s="3"/>
      <c r="V171" s="7">
        <f t="shared" si="33"/>
        <v>6.2853966736304756E-3</v>
      </c>
      <c r="W171" s="3"/>
      <c r="X171" s="6">
        <f t="shared" si="34"/>
        <v>5535.4900000000052</v>
      </c>
      <c r="Y171" s="3"/>
      <c r="Z171" s="7">
        <f t="shared" si="35"/>
        <v>0.10857774567046571</v>
      </c>
    </row>
    <row r="172" spans="1:26" s="69" customFormat="1" ht="15" hidden="1" customHeight="1" outlineLevel="2" x14ac:dyDescent="0.3">
      <c r="A172" s="21"/>
      <c r="B172" s="9" t="str">
        <f>CONCATENATE("          ","6002"," - ","STAFF SALARIES")</f>
        <v xml:space="preserve">          6002 - STAFF SALARIES</v>
      </c>
      <c r="C172" s="9"/>
      <c r="D172" s="6">
        <v>37964.53</v>
      </c>
      <c r="E172" s="3"/>
      <c r="F172" s="7">
        <f t="shared" si="28"/>
        <v>5.4973594247772227E-2</v>
      </c>
      <c r="G172" s="3"/>
      <c r="H172" s="6">
        <v>59254.99</v>
      </c>
      <c r="I172" s="3"/>
      <c r="J172" s="7">
        <f t="shared" si="29"/>
        <v>0.18000453785881415</v>
      </c>
      <c r="K172" s="3"/>
      <c r="L172" s="6">
        <f t="shared" si="30"/>
        <v>-21290.46</v>
      </c>
      <c r="M172" s="3"/>
      <c r="N172" s="7">
        <f t="shared" si="31"/>
        <v>-0.35930239799213537</v>
      </c>
      <c r="O172" s="9"/>
      <c r="P172" s="6">
        <v>674321.89</v>
      </c>
      <c r="Q172" s="3"/>
      <c r="R172" s="7">
        <f t="shared" si="32"/>
        <v>6.3054257674778832E-2</v>
      </c>
      <c r="S172" s="3"/>
      <c r="T172" s="6">
        <v>751544.25</v>
      </c>
      <c r="U172" s="3"/>
      <c r="V172" s="7">
        <f t="shared" si="33"/>
        <v>9.2655669326689477E-2</v>
      </c>
      <c r="W172" s="3"/>
      <c r="X172" s="6">
        <f t="shared" si="34"/>
        <v>-77222.359999999986</v>
      </c>
      <c r="Y172" s="3"/>
      <c r="Z172" s="7">
        <f t="shared" si="35"/>
        <v>-0.10275158116105604</v>
      </c>
    </row>
    <row r="173" spans="1:26" s="69" customFormat="1" ht="15" hidden="1" customHeight="1" outlineLevel="2" x14ac:dyDescent="0.3">
      <c r="A173" s="21"/>
      <c r="B173" s="9" t="str">
        <f>CONCATENATE("          ","6004"," - ","STAFF HOURLY")</f>
        <v xml:space="preserve">          6004 - STAFF HOURLY</v>
      </c>
      <c r="C173" s="9"/>
      <c r="D173" s="6">
        <v>29582.91</v>
      </c>
      <c r="E173" s="3"/>
      <c r="F173" s="7">
        <f t="shared" si="28"/>
        <v>4.2836797690063953E-2</v>
      </c>
      <c r="G173" s="3"/>
      <c r="H173" s="6">
        <v>20449.16</v>
      </c>
      <c r="I173" s="3"/>
      <c r="J173" s="7">
        <f t="shared" si="29"/>
        <v>6.2120364806423023E-2</v>
      </c>
      <c r="K173" s="3"/>
      <c r="L173" s="6">
        <f t="shared" si="30"/>
        <v>9133.75</v>
      </c>
      <c r="M173" s="3"/>
      <c r="N173" s="7">
        <f t="shared" si="31"/>
        <v>0.44665648857948198</v>
      </c>
      <c r="O173" s="9"/>
      <c r="P173" s="6">
        <v>340175.43</v>
      </c>
      <c r="Q173" s="3"/>
      <c r="R173" s="7">
        <f t="shared" si="32"/>
        <v>3.1809006256416632E-2</v>
      </c>
      <c r="S173" s="3"/>
      <c r="T173" s="6">
        <v>228528.86</v>
      </c>
      <c r="U173" s="3"/>
      <c r="V173" s="7">
        <f t="shared" si="33"/>
        <v>2.8174647712047977E-2</v>
      </c>
      <c r="W173" s="3"/>
      <c r="X173" s="6">
        <f t="shared" si="34"/>
        <v>111646.57</v>
      </c>
      <c r="Y173" s="3"/>
      <c r="Z173" s="7">
        <f t="shared" si="35"/>
        <v>0.48854472909898561</v>
      </c>
    </row>
    <row r="174" spans="1:26" s="69" customFormat="1" ht="15" hidden="1" customHeight="1" outlineLevel="2" x14ac:dyDescent="0.3">
      <c r="A174" s="21"/>
      <c r="B174" s="9" t="str">
        <f>CONCATENATE("          ","6005"," - ","TEMPORARY WAGES-HOURLY")</f>
        <v xml:space="preserve">          6005 - TEMPORARY WAGES-HOURLY</v>
      </c>
      <c r="C174" s="9"/>
      <c r="D174" s="6">
        <v>3926.16</v>
      </c>
      <c r="E174" s="3"/>
      <c r="F174" s="7">
        <f t="shared" si="28"/>
        <v>5.6851784229077357E-3</v>
      </c>
      <c r="G174" s="3"/>
      <c r="H174" s="6">
        <v>9126.32</v>
      </c>
      <c r="I174" s="3"/>
      <c r="J174" s="7">
        <f t="shared" si="29"/>
        <v>2.7723893193664414E-2</v>
      </c>
      <c r="K174" s="3"/>
      <c r="L174" s="6">
        <f t="shared" si="30"/>
        <v>-5200.16</v>
      </c>
      <c r="M174" s="3"/>
      <c r="N174" s="7">
        <f t="shared" si="31"/>
        <v>-0.56979812235380745</v>
      </c>
      <c r="O174" s="9"/>
      <c r="P174" s="6">
        <v>101407.29</v>
      </c>
      <c r="Q174" s="3"/>
      <c r="R174" s="7">
        <f t="shared" si="32"/>
        <v>9.4823577412873564E-3</v>
      </c>
      <c r="S174" s="3"/>
      <c r="T174" s="6">
        <v>168966.08</v>
      </c>
      <c r="U174" s="3"/>
      <c r="V174" s="7">
        <f t="shared" si="33"/>
        <v>2.083132860893681E-2</v>
      </c>
      <c r="W174" s="3"/>
      <c r="X174" s="6">
        <f t="shared" si="34"/>
        <v>-67558.789999999994</v>
      </c>
      <c r="Y174" s="3"/>
      <c r="Z174" s="7">
        <f t="shared" si="35"/>
        <v>-0.39983640503466733</v>
      </c>
    </row>
    <row r="175" spans="1:26" s="69" customFormat="1" ht="15" hidden="1" customHeight="1" outlineLevel="2" x14ac:dyDescent="0.3">
      <c r="A175" s="21"/>
      <c r="B175" s="9" t="str">
        <f>CONCATENATE("          ","6006"," - ","TEMPORARY PART TIME")</f>
        <v xml:space="preserve">          6006 - TEMPORARY PART TIME</v>
      </c>
      <c r="C175" s="9"/>
      <c r="D175" s="6">
        <v>2996.89</v>
      </c>
      <c r="E175" s="3"/>
      <c r="F175" s="7">
        <f t="shared" si="28"/>
        <v>4.3395720917710854E-3</v>
      </c>
      <c r="G175" s="3"/>
      <c r="H175" s="6">
        <v>4232.72</v>
      </c>
      <c r="I175" s="3"/>
      <c r="J175" s="7">
        <f t="shared" si="29"/>
        <v>1.2858137474763897E-2</v>
      </c>
      <c r="K175" s="3"/>
      <c r="L175" s="6">
        <f t="shared" si="30"/>
        <v>-1235.8300000000004</v>
      </c>
      <c r="M175" s="3"/>
      <c r="N175" s="7">
        <f t="shared" si="31"/>
        <v>-0.2919706477158896</v>
      </c>
      <c r="O175" s="9"/>
      <c r="P175" s="6">
        <v>22351.83</v>
      </c>
      <c r="Q175" s="3"/>
      <c r="R175" s="7">
        <f t="shared" si="32"/>
        <v>2.0900671759637697E-3</v>
      </c>
      <c r="S175" s="3"/>
      <c r="T175" s="6">
        <v>23949.45</v>
      </c>
      <c r="U175" s="3"/>
      <c r="V175" s="7">
        <f t="shared" si="33"/>
        <v>2.9526569057724589E-3</v>
      </c>
      <c r="W175" s="3"/>
      <c r="X175" s="6">
        <f t="shared" si="34"/>
        <v>-1597.619999999999</v>
      </c>
      <c r="Y175" s="3"/>
      <c r="Z175" s="7">
        <f t="shared" si="35"/>
        <v>-6.67080037328623E-2</v>
      </c>
    </row>
    <row r="176" spans="1:26" s="69" customFormat="1" ht="15" hidden="1" customHeight="1" outlineLevel="2" x14ac:dyDescent="0.3">
      <c r="A176" s="21"/>
      <c r="B176" s="9" t="str">
        <f>CONCATENATE("          ","6007"," - ","STUDENT HOURLY")</f>
        <v xml:space="preserve">          6007 - STUDENT HOURLY</v>
      </c>
      <c r="C176" s="9"/>
      <c r="D176" s="6">
        <v>58919.93</v>
      </c>
      <c r="E176" s="3"/>
      <c r="F176" s="7">
        <f t="shared" si="28"/>
        <v>8.5317540475995421E-2</v>
      </c>
      <c r="G176" s="3"/>
      <c r="H176" s="6">
        <v>30960.29</v>
      </c>
      <c r="I176" s="3"/>
      <c r="J176" s="7">
        <f t="shared" si="29"/>
        <v>9.4051027490256359E-2</v>
      </c>
      <c r="K176" s="3"/>
      <c r="L176" s="6">
        <f t="shared" si="30"/>
        <v>27959.64</v>
      </c>
      <c r="M176" s="3"/>
      <c r="N176" s="7">
        <f t="shared" si="31"/>
        <v>0.90308068819768805</v>
      </c>
      <c r="O176" s="9"/>
      <c r="P176" s="6">
        <v>786114.42</v>
      </c>
      <c r="Q176" s="3"/>
      <c r="R176" s="7">
        <f t="shared" si="32"/>
        <v>7.3507714840073346E-2</v>
      </c>
      <c r="S176" s="3"/>
      <c r="T176" s="6">
        <v>351854.79</v>
      </c>
      <c r="U176" s="3"/>
      <c r="V176" s="7">
        <f t="shared" si="33"/>
        <v>4.3379137121003546E-2</v>
      </c>
      <c r="W176" s="3"/>
      <c r="X176" s="6">
        <f t="shared" si="34"/>
        <v>434259.63000000006</v>
      </c>
      <c r="Y176" s="3"/>
      <c r="Z176" s="7">
        <f t="shared" si="35"/>
        <v>1.2342012737697847</v>
      </c>
    </row>
    <row r="177" spans="1:26" s="69" customFormat="1" ht="15" hidden="1" customHeight="1" outlineLevel="2" x14ac:dyDescent="0.3">
      <c r="A177" s="21"/>
      <c r="B177" s="9" t="str">
        <f>CONCATENATE("          ","6008"," - ","STUDENT HOURLY-FICA EXEMPT")</f>
        <v xml:space="preserve">          6008 - STUDENT HOURLY-FICA EXEMPT</v>
      </c>
      <c r="C177" s="9"/>
      <c r="D177" s="6">
        <v>7314.3</v>
      </c>
      <c r="E177" s="3"/>
      <c r="F177" s="7">
        <f t="shared" si="28"/>
        <v>1.05912903546147E-2</v>
      </c>
      <c r="G177" s="3"/>
      <c r="H177" s="6">
        <v>6817.92</v>
      </c>
      <c r="I177" s="3"/>
      <c r="J177" s="7">
        <f t="shared" si="29"/>
        <v>2.0711446221801173E-2</v>
      </c>
      <c r="K177" s="3"/>
      <c r="L177" s="6">
        <f t="shared" si="30"/>
        <v>496.38000000000011</v>
      </c>
      <c r="M177" s="3"/>
      <c r="N177" s="7">
        <f t="shared" si="31"/>
        <v>7.2805195719515645E-2</v>
      </c>
      <c r="O177" s="9"/>
      <c r="P177" s="6">
        <v>130511.83</v>
      </c>
      <c r="Q177" s="3"/>
      <c r="R177" s="7">
        <f t="shared" si="32"/>
        <v>1.2203854984489573E-2</v>
      </c>
      <c r="S177" s="3"/>
      <c r="T177" s="6">
        <v>19359.330000000002</v>
      </c>
      <c r="U177" s="3"/>
      <c r="V177" s="7">
        <f t="shared" si="33"/>
        <v>2.3867545774799814E-3</v>
      </c>
      <c r="W177" s="3"/>
      <c r="X177" s="6">
        <f t="shared" si="34"/>
        <v>111152.5</v>
      </c>
      <c r="Y177" s="3"/>
      <c r="Z177" s="7">
        <f t="shared" si="35"/>
        <v>5.7415468407222763</v>
      </c>
    </row>
    <row r="178" spans="1:26" s="68" customFormat="1" ht="15" customHeight="1" outlineLevel="1" collapsed="1" x14ac:dyDescent="0.3">
      <c r="A178" s="20"/>
      <c r="B178" s="11" t="str">
        <f>CONCATENATE("     ","Advertising/Promo                                 ")</f>
        <v xml:space="preserve">     Advertising/Promo                                 </v>
      </c>
      <c r="C178" s="11"/>
      <c r="D178" s="2">
        <f>SUM(OSRRefD22_2x_0)</f>
        <v>6464.7</v>
      </c>
      <c r="E178" s="2"/>
      <c r="F178" s="5">
        <f t="shared" si="28"/>
        <v>9.3610481871782194E-3</v>
      </c>
      <c r="G178" s="2"/>
      <c r="H178" s="2">
        <f>SUM(OSRRefH22_2x_0)</f>
        <v>1324.8</v>
      </c>
      <c r="I178" s="2"/>
      <c r="J178" s="5">
        <f t="shared" si="29"/>
        <v>4.0244713863820921E-3</v>
      </c>
      <c r="K178" s="2"/>
      <c r="L178" s="2">
        <f t="shared" si="30"/>
        <v>5139.8999999999996</v>
      </c>
      <c r="M178" s="2"/>
      <c r="N178" s="5">
        <f t="shared" si="31"/>
        <v>3.8797554347826084</v>
      </c>
      <c r="O178" s="11"/>
      <c r="P178" s="2">
        <f>SUM(OSRRefP22_2x_0)</f>
        <v>20165.64</v>
      </c>
      <c r="Q178" s="2"/>
      <c r="R178" s="5">
        <f t="shared" si="32"/>
        <v>1.8856416788380203E-3</v>
      </c>
      <c r="S178" s="2"/>
      <c r="T178" s="2">
        <f>SUM(OSRRefT22_2x_0)</f>
        <v>19560.95</v>
      </c>
      <c r="U178" s="2"/>
      <c r="V178" s="5">
        <f t="shared" si="33"/>
        <v>2.4116117113741563E-3</v>
      </c>
      <c r="W178" s="2"/>
      <c r="X178" s="2">
        <f t="shared" si="34"/>
        <v>604.68999999999869</v>
      </c>
      <c r="Y178" s="2"/>
      <c r="Z178" s="5">
        <f t="shared" si="35"/>
        <v>3.0913120272788319E-2</v>
      </c>
    </row>
    <row r="179" spans="1:26" s="69" customFormat="1" ht="15" hidden="1" customHeight="1" outlineLevel="2" x14ac:dyDescent="0.3">
      <c r="A179" s="21"/>
      <c r="B179" s="9" t="str">
        <f>CONCATENATE("          ","6362"," - ","ADVERTISING EXPENSE")</f>
        <v xml:space="preserve">          6362 - ADVERTISING EXPENSE</v>
      </c>
      <c r="C179" s="9"/>
      <c r="D179" s="6">
        <v>6464.7</v>
      </c>
      <c r="E179" s="3"/>
      <c r="F179" s="7">
        <f t="shared" si="28"/>
        <v>9.3610481871782194E-3</v>
      </c>
      <c r="G179" s="3"/>
      <c r="H179" s="6">
        <v>1324.8</v>
      </c>
      <c r="I179" s="3"/>
      <c r="J179" s="7">
        <f t="shared" si="29"/>
        <v>4.0244713863820921E-3</v>
      </c>
      <c r="K179" s="3"/>
      <c r="L179" s="6">
        <f t="shared" si="30"/>
        <v>5139.8999999999996</v>
      </c>
      <c r="M179" s="3"/>
      <c r="N179" s="7">
        <f t="shared" si="31"/>
        <v>3.8797554347826084</v>
      </c>
      <c r="O179" s="9"/>
      <c r="P179" s="6">
        <v>20165.64</v>
      </c>
      <c r="Q179" s="3"/>
      <c r="R179" s="7">
        <f t="shared" si="32"/>
        <v>1.8856416788380203E-3</v>
      </c>
      <c r="S179" s="3"/>
      <c r="T179" s="6">
        <v>19560.95</v>
      </c>
      <c r="U179" s="3"/>
      <c r="V179" s="7">
        <f t="shared" si="33"/>
        <v>2.4116117113741563E-3</v>
      </c>
      <c r="W179" s="3"/>
      <c r="X179" s="6">
        <f t="shared" si="34"/>
        <v>604.68999999999869</v>
      </c>
      <c r="Y179" s="3"/>
      <c r="Z179" s="7">
        <f t="shared" si="35"/>
        <v>3.0913120272788319E-2</v>
      </c>
    </row>
    <row r="180" spans="1:26" s="68" customFormat="1" ht="15" customHeight="1" outlineLevel="1" collapsed="1" x14ac:dyDescent="0.3">
      <c r="A180" s="20"/>
      <c r="B180" s="11" t="str">
        <f>CONCATENATE("     ","Bad Debts/Over/Short                              ")</f>
        <v xml:space="preserve">     Bad Debts/Over/Short                              </v>
      </c>
      <c r="C180" s="11"/>
      <c r="D180" s="2">
        <f>SUM(OSRRefD22_3x_0)</f>
        <v>59.88</v>
      </c>
      <c r="E180" s="2"/>
      <c r="F180" s="5">
        <f t="shared" si="28"/>
        <v>8.6707745981751952E-5</v>
      </c>
      <c r="G180" s="2"/>
      <c r="H180" s="2">
        <f>SUM(OSRRefH22_3x_0)</f>
        <v>10.39</v>
      </c>
      <c r="I180" s="2"/>
      <c r="J180" s="5">
        <f t="shared" si="29"/>
        <v>3.1562694523331777E-5</v>
      </c>
      <c r="K180" s="2"/>
      <c r="L180" s="2">
        <f t="shared" si="30"/>
        <v>49.49</v>
      </c>
      <c r="M180" s="2"/>
      <c r="N180" s="5">
        <f t="shared" si="31"/>
        <v>4.7632338787295474</v>
      </c>
      <c r="O180" s="11"/>
      <c r="P180" s="2">
        <f>SUM(OSRRefP22_3x_0)</f>
        <v>90.12</v>
      </c>
      <c r="Q180" s="2"/>
      <c r="R180" s="5">
        <f t="shared" si="32"/>
        <v>8.4269097383907669E-6</v>
      </c>
      <c r="S180" s="2"/>
      <c r="T180" s="2">
        <f>SUM(OSRRefT22_3x_0)</f>
        <v>5214.6499999999996</v>
      </c>
      <c r="U180" s="2"/>
      <c r="V180" s="5">
        <f t="shared" si="33"/>
        <v>6.4289878613856899E-4</v>
      </c>
      <c r="W180" s="2"/>
      <c r="X180" s="2">
        <f t="shared" si="34"/>
        <v>-5124.53</v>
      </c>
      <c r="Y180" s="2"/>
      <c r="Z180" s="5">
        <f t="shared" si="35"/>
        <v>-0.98271791970697941</v>
      </c>
    </row>
    <row r="181" spans="1:26" s="69" customFormat="1" ht="15" hidden="1" customHeight="1" outlineLevel="2" x14ac:dyDescent="0.3">
      <c r="A181" s="21"/>
      <c r="B181" s="9" t="str">
        <f>CONCATENATE("          ","6272"," - ","CASH (OVER/SHORT)")</f>
        <v xml:space="preserve">          6272 - CASH (OVER/SHORT)</v>
      </c>
      <c r="C181" s="9"/>
      <c r="D181" s="6">
        <v>59.88</v>
      </c>
      <c r="E181" s="3"/>
      <c r="F181" s="7">
        <f t="shared" si="28"/>
        <v>8.6707745981751952E-5</v>
      </c>
      <c r="G181" s="3"/>
      <c r="H181" s="6">
        <v>10.39</v>
      </c>
      <c r="I181" s="3"/>
      <c r="J181" s="7">
        <f t="shared" si="29"/>
        <v>3.1562694523331777E-5</v>
      </c>
      <c r="K181" s="3"/>
      <c r="L181" s="6">
        <f t="shared" si="30"/>
        <v>49.49</v>
      </c>
      <c r="M181" s="3"/>
      <c r="N181" s="7">
        <f t="shared" si="31"/>
        <v>4.7632338787295474</v>
      </c>
      <c r="O181" s="9"/>
      <c r="P181" s="6">
        <v>90.12</v>
      </c>
      <c r="Q181" s="3"/>
      <c r="R181" s="7">
        <f t="shared" si="32"/>
        <v>8.4269097383907669E-6</v>
      </c>
      <c r="S181" s="3"/>
      <c r="T181" s="6">
        <v>-134.77000000000001</v>
      </c>
      <c r="U181" s="3"/>
      <c r="V181" s="7">
        <f t="shared" si="33"/>
        <v>-1.6615394975289802E-5</v>
      </c>
      <c r="W181" s="3"/>
      <c r="X181" s="6">
        <f t="shared" si="34"/>
        <v>224.89000000000001</v>
      </c>
      <c r="Y181" s="3"/>
      <c r="Z181" s="7">
        <f t="shared" si="35"/>
        <v>-1.6686948133857684</v>
      </c>
    </row>
    <row r="182" spans="1:26" s="69" customFormat="1" ht="15" hidden="1" customHeight="1" outlineLevel="2" x14ac:dyDescent="0.3">
      <c r="A182" s="21"/>
      <c r="B182" s="9" t="str">
        <f>CONCATENATE("          ","6342"," - ","BAD DEBT")</f>
        <v xml:space="preserve">          6342 - BAD DEBT</v>
      </c>
      <c r="C182" s="9"/>
      <c r="D182" s="6"/>
      <c r="E182" s="3"/>
      <c r="F182" s="7">
        <f t="shared" si="28"/>
        <v>0</v>
      </c>
      <c r="G182" s="3"/>
      <c r="H182" s="6"/>
      <c r="I182" s="3"/>
      <c r="J182" s="7">
        <f t="shared" si="29"/>
        <v>0</v>
      </c>
      <c r="K182" s="3"/>
      <c r="L182" s="6">
        <f t="shared" si="30"/>
        <v>0</v>
      </c>
      <c r="M182" s="3"/>
      <c r="N182" s="7">
        <f t="shared" si="31"/>
        <v>0</v>
      </c>
      <c r="O182" s="9"/>
      <c r="P182" s="6"/>
      <c r="Q182" s="3"/>
      <c r="R182" s="7">
        <f t="shared" si="32"/>
        <v>0</v>
      </c>
      <c r="S182" s="3"/>
      <c r="T182" s="6">
        <v>5349.42</v>
      </c>
      <c r="U182" s="3"/>
      <c r="V182" s="7">
        <f t="shared" si="33"/>
        <v>6.5951418111385887E-4</v>
      </c>
      <c r="W182" s="3"/>
      <c r="X182" s="6">
        <f t="shared" si="34"/>
        <v>-5349.42</v>
      </c>
      <c r="Y182" s="3"/>
      <c r="Z182" s="7">
        <f t="shared" si="35"/>
        <v>-1</v>
      </c>
    </row>
    <row r="183" spans="1:26" s="68" customFormat="1" ht="15" customHeight="1" outlineLevel="1" collapsed="1" x14ac:dyDescent="0.3">
      <c r="A183" s="20"/>
      <c r="B183" s="11" t="str">
        <f>CONCATENATE("     ","Bank/card Fees                                    ")</f>
        <v xml:space="preserve">     Bank/card Fees                                    </v>
      </c>
      <c r="C183" s="11"/>
      <c r="D183" s="2">
        <f>SUM(OSRRefD22_4x_0)</f>
        <v>6383.29</v>
      </c>
      <c r="E183" s="2"/>
      <c r="F183" s="5">
        <f t="shared" si="28"/>
        <v>9.2431644597170577E-3</v>
      </c>
      <c r="G183" s="2"/>
      <c r="H183" s="2">
        <f>SUM(OSRRefH22_4x_0)</f>
        <v>10272.450000000001</v>
      </c>
      <c r="I183" s="2"/>
      <c r="J183" s="5">
        <f t="shared" si="29"/>
        <v>3.120560167047156E-2</v>
      </c>
      <c r="K183" s="2"/>
      <c r="L183" s="2">
        <f t="shared" si="30"/>
        <v>-3889.1600000000008</v>
      </c>
      <c r="M183" s="2"/>
      <c r="N183" s="5">
        <f t="shared" si="31"/>
        <v>-0.37860101533713969</v>
      </c>
      <c r="O183" s="11"/>
      <c r="P183" s="2">
        <f>SUM(OSRRefP22_4x_0)</f>
        <v>149253.45000000001</v>
      </c>
      <c r="Q183" s="2"/>
      <c r="R183" s="5">
        <f t="shared" si="32"/>
        <v>1.395633989451198E-2</v>
      </c>
      <c r="S183" s="2"/>
      <c r="T183" s="2">
        <f>SUM(OSRRefT22_4x_0)</f>
        <v>88875.99</v>
      </c>
      <c r="U183" s="2"/>
      <c r="V183" s="5">
        <f t="shared" si="33"/>
        <v>1.095725812621434E-2</v>
      </c>
      <c r="W183" s="2"/>
      <c r="X183" s="2">
        <f t="shared" si="34"/>
        <v>60377.460000000006</v>
      </c>
      <c r="Y183" s="2"/>
      <c r="Z183" s="5">
        <f t="shared" si="35"/>
        <v>0.67934500645224882</v>
      </c>
    </row>
    <row r="184" spans="1:26" s="69" customFormat="1" ht="15" hidden="1" customHeight="1" outlineLevel="2" x14ac:dyDescent="0.3">
      <c r="A184" s="21"/>
      <c r="B184" s="9" t="str">
        <f>CONCATENATE("          ","6381"," - ","BANK/CREDIT CARD FEES")</f>
        <v xml:space="preserve">          6381 - BANK/CREDIT CARD FEES</v>
      </c>
      <c r="C184" s="9"/>
      <c r="D184" s="6">
        <v>6383.29</v>
      </c>
      <c r="E184" s="3"/>
      <c r="F184" s="7">
        <f t="shared" si="28"/>
        <v>9.2431644597170577E-3</v>
      </c>
      <c r="G184" s="3"/>
      <c r="H184" s="6">
        <v>10272.450000000001</v>
      </c>
      <c r="I184" s="3"/>
      <c r="J184" s="7">
        <f t="shared" si="29"/>
        <v>3.120560167047156E-2</v>
      </c>
      <c r="K184" s="3"/>
      <c r="L184" s="6">
        <f t="shared" si="30"/>
        <v>-3889.1600000000008</v>
      </c>
      <c r="M184" s="3"/>
      <c r="N184" s="7">
        <f t="shared" si="31"/>
        <v>-0.37860101533713969</v>
      </c>
      <c r="O184" s="9"/>
      <c r="P184" s="6">
        <v>149253.45000000001</v>
      </c>
      <c r="Q184" s="3"/>
      <c r="R184" s="7">
        <f t="shared" si="32"/>
        <v>1.395633989451198E-2</v>
      </c>
      <c r="S184" s="3"/>
      <c r="T184" s="6">
        <v>88875.99</v>
      </c>
      <c r="U184" s="3"/>
      <c r="V184" s="7">
        <f t="shared" si="33"/>
        <v>1.095725812621434E-2</v>
      </c>
      <c r="W184" s="3"/>
      <c r="X184" s="6">
        <f t="shared" si="34"/>
        <v>60377.460000000006</v>
      </c>
      <c r="Y184" s="3"/>
      <c r="Z184" s="7">
        <f t="shared" si="35"/>
        <v>0.67934500645224882</v>
      </c>
    </row>
    <row r="185" spans="1:26" s="68" customFormat="1" ht="15" customHeight="1" outlineLevel="1" collapsed="1" x14ac:dyDescent="0.3">
      <c r="A185" s="20"/>
      <c r="B185" s="11" t="str">
        <f>CONCATENATE("     ","Depreciation                                      ")</f>
        <v xml:space="preserve">     Depreciation                                      </v>
      </c>
      <c r="C185" s="11"/>
      <c r="D185" s="2">
        <f>SUM(OSRRefD22_5x_0)</f>
        <v>16660.3</v>
      </c>
      <c r="E185" s="2"/>
      <c r="F185" s="5">
        <f t="shared" si="28"/>
        <v>2.4124533406475981E-2</v>
      </c>
      <c r="G185" s="2"/>
      <c r="H185" s="2">
        <f>SUM(OSRRefH22_5x_0)</f>
        <v>30998.91</v>
      </c>
      <c r="I185" s="2"/>
      <c r="J185" s="5">
        <f t="shared" si="29"/>
        <v>9.4168347149783893E-2</v>
      </c>
      <c r="K185" s="2"/>
      <c r="L185" s="2">
        <f t="shared" si="30"/>
        <v>-14338.61</v>
      </c>
      <c r="M185" s="2"/>
      <c r="N185" s="5">
        <f t="shared" si="31"/>
        <v>-0.46255207037924884</v>
      </c>
      <c r="O185" s="11"/>
      <c r="P185" s="2">
        <f>SUM(OSRRefP22_5x_0)</f>
        <v>319941.81</v>
      </c>
      <c r="Q185" s="2"/>
      <c r="R185" s="5">
        <f t="shared" si="32"/>
        <v>2.9917007927289931E-2</v>
      </c>
      <c r="S185" s="2"/>
      <c r="T185" s="2">
        <f>SUM(OSRRefT22_5x_0)</f>
        <v>372473.58999999997</v>
      </c>
      <c r="U185" s="2"/>
      <c r="V185" s="5">
        <f t="shared" si="33"/>
        <v>4.5921168032308023E-2</v>
      </c>
      <c r="W185" s="2"/>
      <c r="X185" s="2">
        <f t="shared" si="34"/>
        <v>-52531.77999999997</v>
      </c>
      <c r="Y185" s="2"/>
      <c r="Z185" s="5">
        <f t="shared" si="35"/>
        <v>-0.14103491203228657</v>
      </c>
    </row>
    <row r="186" spans="1:26" s="69" customFormat="1" ht="15" hidden="1" customHeight="1" outlineLevel="2" x14ac:dyDescent="0.3">
      <c r="A186" s="21"/>
      <c r="B186" s="9" t="str">
        <f>CONCATENATE("          ","6321"," - ","BUILDING DEPRECIATION")</f>
        <v xml:space="preserve">          6321 - BUILDING DEPRECIATION</v>
      </c>
      <c r="C186" s="9"/>
      <c r="D186" s="6">
        <v>13321.47</v>
      </c>
      <c r="E186" s="3"/>
      <c r="F186" s="7">
        <f t="shared" si="28"/>
        <v>1.9289823594915316E-2</v>
      </c>
      <c r="G186" s="3"/>
      <c r="H186" s="6">
        <v>16396.25</v>
      </c>
      <c r="I186" s="3"/>
      <c r="J186" s="7">
        <f t="shared" si="29"/>
        <v>4.9808453328024895E-2</v>
      </c>
      <c r="K186" s="3"/>
      <c r="L186" s="6">
        <f t="shared" si="30"/>
        <v>-3074.7800000000007</v>
      </c>
      <c r="M186" s="3"/>
      <c r="N186" s="7">
        <f t="shared" si="31"/>
        <v>-0.18752946557901964</v>
      </c>
      <c r="O186" s="9"/>
      <c r="P186" s="6">
        <v>179119.02</v>
      </c>
      <c r="Q186" s="3"/>
      <c r="R186" s="7">
        <f t="shared" si="32"/>
        <v>1.6748999267299274E-2</v>
      </c>
      <c r="S186" s="3"/>
      <c r="T186" s="6">
        <v>196757.97</v>
      </c>
      <c r="U186" s="3"/>
      <c r="V186" s="7">
        <f t="shared" si="33"/>
        <v>2.4257708585636428E-2</v>
      </c>
      <c r="W186" s="3"/>
      <c r="X186" s="6">
        <f t="shared" si="34"/>
        <v>-17638.950000000012</v>
      </c>
      <c r="Y186" s="3"/>
      <c r="Z186" s="7">
        <f t="shared" si="35"/>
        <v>-8.9647956827365177E-2</v>
      </c>
    </row>
    <row r="187" spans="1:26" s="69" customFormat="1" ht="15" hidden="1" customHeight="1" outlineLevel="2" x14ac:dyDescent="0.3">
      <c r="A187" s="21"/>
      <c r="B187" s="9" t="str">
        <f>CONCATENATE("          ","6322"," - ","EQUIPMENT DEPRECIATION EXPENSE")</f>
        <v xml:space="preserve">          6322 - EQUIPMENT DEPRECIATION EXPENSE</v>
      </c>
      <c r="C187" s="9"/>
      <c r="D187" s="6">
        <v>3338.83</v>
      </c>
      <c r="E187" s="3"/>
      <c r="F187" s="7">
        <f t="shared" si="28"/>
        <v>4.8347098115606689E-3</v>
      </c>
      <c r="G187" s="3"/>
      <c r="H187" s="6">
        <v>14602.66</v>
      </c>
      <c r="I187" s="3"/>
      <c r="J187" s="7">
        <f t="shared" si="29"/>
        <v>4.4359893821758999E-2</v>
      </c>
      <c r="K187" s="3"/>
      <c r="L187" s="6">
        <f t="shared" si="30"/>
        <v>-11263.83</v>
      </c>
      <c r="M187" s="3"/>
      <c r="N187" s="7">
        <f t="shared" si="31"/>
        <v>-0.77135467099829758</v>
      </c>
      <c r="O187" s="9"/>
      <c r="P187" s="6">
        <v>140822.79</v>
      </c>
      <c r="Q187" s="3"/>
      <c r="R187" s="7">
        <f t="shared" si="32"/>
        <v>1.3168008659990658E-2</v>
      </c>
      <c r="S187" s="3"/>
      <c r="T187" s="6">
        <v>175715.62</v>
      </c>
      <c r="U187" s="3"/>
      <c r="V187" s="7">
        <f t="shared" si="33"/>
        <v>2.1663459446671602E-2</v>
      </c>
      <c r="W187" s="3"/>
      <c r="X187" s="6">
        <f t="shared" si="34"/>
        <v>-34892.829999999987</v>
      </c>
      <c r="Y187" s="3"/>
      <c r="Z187" s="7">
        <f t="shared" si="35"/>
        <v>-0.19857557341800341</v>
      </c>
    </row>
    <row r="188" spans="1:26" s="68" customFormat="1" ht="15" customHeight="1" outlineLevel="1" collapsed="1" x14ac:dyDescent="0.3">
      <c r="A188" s="20"/>
      <c r="B188" s="11" t="str">
        <f>CONCATENATE("     ","Discounts and Markdowns                           ")</f>
        <v xml:space="preserve">     Discounts and Markdowns                           </v>
      </c>
      <c r="C188" s="11"/>
      <c r="D188" s="2">
        <f>SUM(OSRRefD22_6x_0)</f>
        <v>30.17</v>
      </c>
      <c r="E188" s="2"/>
      <c r="F188" s="5">
        <f t="shared" si="28"/>
        <v>4.3686918775375023E-5</v>
      </c>
      <c r="G188" s="2"/>
      <c r="H188" s="2">
        <f>SUM(OSRRefH22_6x_0)</f>
        <v>0</v>
      </c>
      <c r="I188" s="2"/>
      <c r="J188" s="5">
        <f t="shared" si="29"/>
        <v>0</v>
      </c>
      <c r="K188" s="2"/>
      <c r="L188" s="2">
        <f t="shared" si="30"/>
        <v>30.17</v>
      </c>
      <c r="M188" s="2"/>
      <c r="N188" s="5">
        <f t="shared" si="31"/>
        <v>0</v>
      </c>
      <c r="O188" s="11"/>
      <c r="P188" s="2">
        <f>SUM(OSRRefP22_6x_0)</f>
        <v>2019.25</v>
      </c>
      <c r="Q188" s="2"/>
      <c r="R188" s="5">
        <f t="shared" si="32"/>
        <v>1.8881532944125119E-4</v>
      </c>
      <c r="S188" s="2"/>
      <c r="T188" s="2">
        <f>SUM(OSRRefT22_6x_0)</f>
        <v>-15.43</v>
      </c>
      <c r="U188" s="2"/>
      <c r="V188" s="5">
        <f t="shared" si="33"/>
        <v>-1.902319095263943E-6</v>
      </c>
      <c r="W188" s="2"/>
      <c r="X188" s="2">
        <f t="shared" si="34"/>
        <v>2034.68</v>
      </c>
      <c r="Y188" s="2"/>
      <c r="Z188" s="5">
        <f t="shared" si="35"/>
        <v>-131.86519766688269</v>
      </c>
    </row>
    <row r="189" spans="1:26" s="69" customFormat="1" ht="15" hidden="1" customHeight="1" outlineLevel="2" x14ac:dyDescent="0.3">
      <c r="A189" s="21"/>
      <c r="B189" s="9" t="str">
        <f>CONCATENATE("          ","6382"," - ","DISCOUNTS/MARK DOWNS")</f>
        <v xml:space="preserve">          6382 - DISCOUNTS/MARK DOWNS</v>
      </c>
      <c r="C189" s="9"/>
      <c r="D189" s="6"/>
      <c r="E189" s="3"/>
      <c r="F189" s="7">
        <f t="shared" si="28"/>
        <v>0</v>
      </c>
      <c r="G189" s="3"/>
      <c r="H189" s="6">
        <v>0</v>
      </c>
      <c r="I189" s="3"/>
      <c r="J189" s="7">
        <f t="shared" si="29"/>
        <v>0</v>
      </c>
      <c r="K189" s="3"/>
      <c r="L189" s="6">
        <f t="shared" si="30"/>
        <v>0</v>
      </c>
      <c r="M189" s="3"/>
      <c r="N189" s="7">
        <f t="shared" si="31"/>
        <v>0</v>
      </c>
      <c r="O189" s="9"/>
      <c r="P189" s="6">
        <v>2171.35</v>
      </c>
      <c r="Q189" s="3"/>
      <c r="R189" s="7">
        <f t="shared" si="32"/>
        <v>2.030378435469906E-4</v>
      </c>
      <c r="S189" s="3"/>
      <c r="T189" s="6">
        <v>0</v>
      </c>
      <c r="U189" s="3"/>
      <c r="V189" s="7">
        <f t="shared" si="33"/>
        <v>0</v>
      </c>
      <c r="W189" s="3"/>
      <c r="X189" s="6">
        <f t="shared" si="34"/>
        <v>2171.35</v>
      </c>
      <c r="Y189" s="3"/>
      <c r="Z189" s="7">
        <f t="shared" si="35"/>
        <v>0</v>
      </c>
    </row>
    <row r="190" spans="1:26" s="69" customFormat="1" ht="15" hidden="1" customHeight="1" outlineLevel="2" x14ac:dyDescent="0.3">
      <c r="A190" s="21"/>
      <c r="B190" s="9" t="str">
        <f>CONCATENATE("          ","9175"," - ","EARNED DISCOUNTS")</f>
        <v xml:space="preserve">          9175 - EARNED DISCOUNTS</v>
      </c>
      <c r="C190" s="9"/>
      <c r="D190" s="6">
        <v>30.17</v>
      </c>
      <c r="E190" s="3"/>
      <c r="F190" s="7">
        <f t="shared" ref="F190:F221" si="36">IF(D$12=0,0,D190/D$12)</f>
        <v>4.3686918775375023E-5</v>
      </c>
      <c r="G190" s="3"/>
      <c r="H190" s="6">
        <v>0</v>
      </c>
      <c r="I190" s="3"/>
      <c r="J190" s="7">
        <f t="shared" ref="J190:J221" si="37">IF(H$12=0,0,H190/H$12)</f>
        <v>0</v>
      </c>
      <c r="K190" s="3"/>
      <c r="L190" s="6">
        <f t="shared" ref="L190:L221" si="38">+D190-H190</f>
        <v>30.17</v>
      </c>
      <c r="M190" s="3"/>
      <c r="N190" s="7">
        <f t="shared" ref="N190:N221" si="39">IF(H190=0,0,L190/H190)</f>
        <v>0</v>
      </c>
      <c r="O190" s="9"/>
      <c r="P190" s="6">
        <v>-152.1</v>
      </c>
      <c r="Q190" s="3"/>
      <c r="R190" s="7">
        <f t="shared" ref="R190:R221" si="40">IF(P$12=0,0,P190/P$12)</f>
        <v>-1.422251410573941E-5</v>
      </c>
      <c r="S190" s="3"/>
      <c r="T190" s="6">
        <v>-15.43</v>
      </c>
      <c r="U190" s="3"/>
      <c r="V190" s="7">
        <f t="shared" ref="V190:V221" si="41">IF(T$12=0,0,T190/T$12)</f>
        <v>-1.902319095263943E-6</v>
      </c>
      <c r="W190" s="3"/>
      <c r="X190" s="6">
        <f t="shared" ref="X190:X221" si="42">+P190-T190</f>
        <v>-136.66999999999999</v>
      </c>
      <c r="Y190" s="3"/>
      <c r="Z190" s="7">
        <f t="shared" ref="Z190:Z221" si="43">IF(T190=0,0,X190/T190)</f>
        <v>8.8574206092028511</v>
      </c>
    </row>
    <row r="191" spans="1:26" s="68" customFormat="1" ht="15" customHeight="1" outlineLevel="1" collapsed="1" x14ac:dyDescent="0.3">
      <c r="A191" s="20"/>
      <c r="B191" s="11" t="str">
        <f>CONCATENATE("     ","Donations                                         ")</f>
        <v xml:space="preserve">     Donations                                         </v>
      </c>
      <c r="C191" s="11"/>
      <c r="D191" s="2">
        <f>SUM(OSRRefD22_7x_0)</f>
        <v>2379.11</v>
      </c>
      <c r="E191" s="2"/>
      <c r="F191" s="5">
        <f t="shared" si="36"/>
        <v>3.4450111146066445E-3</v>
      </c>
      <c r="G191" s="2"/>
      <c r="H191" s="2">
        <f>SUM(OSRRefH22_7x_0)</f>
        <v>0</v>
      </c>
      <c r="I191" s="2"/>
      <c r="J191" s="5">
        <f t="shared" si="37"/>
        <v>0</v>
      </c>
      <c r="K191" s="2"/>
      <c r="L191" s="2">
        <f t="shared" si="38"/>
        <v>2379.11</v>
      </c>
      <c r="M191" s="2"/>
      <c r="N191" s="5">
        <f t="shared" si="39"/>
        <v>0</v>
      </c>
      <c r="O191" s="11"/>
      <c r="P191" s="2">
        <f>SUM(OSRRefP22_7x_0)</f>
        <v>9817.98</v>
      </c>
      <c r="Q191" s="2"/>
      <c r="R191" s="5">
        <f t="shared" si="40"/>
        <v>9.1805627245146232E-4</v>
      </c>
      <c r="S191" s="2"/>
      <c r="T191" s="2">
        <f>SUM(OSRRefT22_7x_0)</f>
        <v>360.9</v>
      </c>
      <c r="U191" s="2"/>
      <c r="V191" s="5">
        <f t="shared" si="41"/>
        <v>4.4494294327981663E-5</v>
      </c>
      <c r="W191" s="2"/>
      <c r="X191" s="2">
        <f t="shared" si="42"/>
        <v>9457.08</v>
      </c>
      <c r="Y191" s="2"/>
      <c r="Z191" s="5">
        <f t="shared" si="43"/>
        <v>26.204156275976725</v>
      </c>
    </row>
    <row r="192" spans="1:26" s="69" customFormat="1" ht="15" hidden="1" customHeight="1" outlineLevel="2" x14ac:dyDescent="0.3">
      <c r="A192" s="21"/>
      <c r="B192" s="9" t="str">
        <f>CONCATENATE("          ","6399"," - ","DONATION-ON CAMPUS")</f>
        <v xml:space="preserve">          6399 - DONATION-ON CAMPUS</v>
      </c>
      <c r="C192" s="9"/>
      <c r="D192" s="6">
        <v>2379.11</v>
      </c>
      <c r="E192" s="3"/>
      <c r="F192" s="7">
        <f t="shared" si="36"/>
        <v>3.4450111146066445E-3</v>
      </c>
      <c r="G192" s="3"/>
      <c r="H192" s="6"/>
      <c r="I192" s="3"/>
      <c r="J192" s="7">
        <f t="shared" si="37"/>
        <v>0</v>
      </c>
      <c r="K192" s="3"/>
      <c r="L192" s="6">
        <f t="shared" si="38"/>
        <v>2379.11</v>
      </c>
      <c r="M192" s="3"/>
      <c r="N192" s="7">
        <f t="shared" si="39"/>
        <v>0</v>
      </c>
      <c r="O192" s="9"/>
      <c r="P192" s="6">
        <v>9817.98</v>
      </c>
      <c r="Q192" s="3"/>
      <c r="R192" s="7">
        <f t="shared" si="40"/>
        <v>9.1805627245146232E-4</v>
      </c>
      <c r="S192" s="3"/>
      <c r="T192" s="6">
        <v>360.9</v>
      </c>
      <c r="U192" s="3"/>
      <c r="V192" s="7">
        <f t="shared" si="41"/>
        <v>4.4494294327981663E-5</v>
      </c>
      <c r="W192" s="3"/>
      <c r="X192" s="6">
        <f t="shared" si="42"/>
        <v>9457.08</v>
      </c>
      <c r="Y192" s="3"/>
      <c r="Z192" s="7">
        <f t="shared" si="43"/>
        <v>26.204156275976725</v>
      </c>
    </row>
    <row r="193" spans="1:26" s="68" customFormat="1" ht="15" customHeight="1" outlineLevel="1" collapsed="1" x14ac:dyDescent="0.3">
      <c r="A193" s="20"/>
      <c r="B193" s="11" t="str">
        <f>CONCATENATE("     ","Employees' Appreciation                           ")</f>
        <v xml:space="preserve">     Employees' Appreciation                           </v>
      </c>
      <c r="C193" s="11"/>
      <c r="D193" s="2">
        <f>SUM(OSRRefD22_8x_0)</f>
        <v>1840.15</v>
      </c>
      <c r="E193" s="2"/>
      <c r="F193" s="5">
        <f t="shared" si="36"/>
        <v>2.6645834797648774E-3</v>
      </c>
      <c r="G193" s="2"/>
      <c r="H193" s="2">
        <f>SUM(OSRRefH22_8x_0)</f>
        <v>522.86</v>
      </c>
      <c r="I193" s="2"/>
      <c r="J193" s="5">
        <f t="shared" si="37"/>
        <v>1.5883417188132102E-3</v>
      </c>
      <c r="K193" s="2"/>
      <c r="L193" s="2">
        <f t="shared" si="38"/>
        <v>1317.29</v>
      </c>
      <c r="M193" s="2"/>
      <c r="N193" s="5">
        <f t="shared" si="39"/>
        <v>2.5193933366484336</v>
      </c>
      <c r="O193" s="11"/>
      <c r="P193" s="2">
        <f>SUM(OSRRefP22_8x_0)</f>
        <v>6181.53</v>
      </c>
      <c r="Q193" s="2"/>
      <c r="R193" s="5">
        <f t="shared" si="40"/>
        <v>5.7802036568081088E-4</v>
      </c>
      <c r="S193" s="2"/>
      <c r="T193" s="2">
        <f>SUM(OSRRefT22_8x_0)</f>
        <v>708.89</v>
      </c>
      <c r="U193" s="2"/>
      <c r="V193" s="5">
        <f t="shared" si="41"/>
        <v>8.7396952912615461E-5</v>
      </c>
      <c r="W193" s="2"/>
      <c r="X193" s="2">
        <f t="shared" si="42"/>
        <v>5472.6399999999994</v>
      </c>
      <c r="Y193" s="2"/>
      <c r="Z193" s="5">
        <f t="shared" si="43"/>
        <v>7.7200129780360838</v>
      </c>
    </row>
    <row r="194" spans="1:26" s="69" customFormat="1" ht="15" hidden="1" customHeight="1" outlineLevel="2" x14ac:dyDescent="0.3">
      <c r="A194" s="21"/>
      <c r="B194" s="9" t="str">
        <f>CONCATENATE("          ","6277"," - ","EMPLOYEE APPRECIATION")</f>
        <v xml:space="preserve">          6277 - EMPLOYEE APPRECIATION</v>
      </c>
      <c r="C194" s="9"/>
      <c r="D194" s="6">
        <v>1840.15</v>
      </c>
      <c r="E194" s="3"/>
      <c r="F194" s="7">
        <f t="shared" si="36"/>
        <v>2.6645834797648774E-3</v>
      </c>
      <c r="G194" s="3"/>
      <c r="H194" s="6">
        <v>522.86</v>
      </c>
      <c r="I194" s="3"/>
      <c r="J194" s="7">
        <f t="shared" si="37"/>
        <v>1.5883417188132102E-3</v>
      </c>
      <c r="K194" s="3"/>
      <c r="L194" s="6">
        <f t="shared" si="38"/>
        <v>1317.29</v>
      </c>
      <c r="M194" s="3"/>
      <c r="N194" s="7">
        <f t="shared" si="39"/>
        <v>2.5193933366484336</v>
      </c>
      <c r="O194" s="9"/>
      <c r="P194" s="6">
        <v>6181.53</v>
      </c>
      <c r="Q194" s="3"/>
      <c r="R194" s="7">
        <f t="shared" si="40"/>
        <v>5.7802036568081088E-4</v>
      </c>
      <c r="S194" s="3"/>
      <c r="T194" s="6">
        <v>708.89</v>
      </c>
      <c r="U194" s="3"/>
      <c r="V194" s="7">
        <f t="shared" si="41"/>
        <v>8.7396952912615461E-5</v>
      </c>
      <c r="W194" s="3"/>
      <c r="X194" s="6">
        <f t="shared" si="42"/>
        <v>5472.6399999999994</v>
      </c>
      <c r="Y194" s="3"/>
      <c r="Z194" s="7">
        <f t="shared" si="43"/>
        <v>7.7200129780360838</v>
      </c>
    </row>
    <row r="195" spans="1:26" s="68" customFormat="1" ht="15" customHeight="1" outlineLevel="1" collapsed="1" x14ac:dyDescent="0.3">
      <c r="A195" s="20"/>
      <c r="B195" s="11" t="str">
        <f>CONCATENATE("     ","Equipment Rental                                  ")</f>
        <v xml:space="preserve">     Equipment Rental                                  </v>
      </c>
      <c r="C195" s="11"/>
      <c r="D195" s="2">
        <f>SUM(OSRRefD22_9x_0)</f>
        <v>2900.76</v>
      </c>
      <c r="E195" s="2"/>
      <c r="F195" s="5">
        <f t="shared" si="36"/>
        <v>4.2003734341019838E-3</v>
      </c>
      <c r="G195" s="2"/>
      <c r="H195" s="2">
        <f>SUM(OSRRefH22_9x_0)</f>
        <v>2220.81</v>
      </c>
      <c r="I195" s="2"/>
      <c r="J195" s="5">
        <f t="shared" si="37"/>
        <v>6.7463664701020633E-3</v>
      </c>
      <c r="K195" s="2"/>
      <c r="L195" s="2">
        <f t="shared" si="38"/>
        <v>679.95000000000027</v>
      </c>
      <c r="M195" s="2"/>
      <c r="N195" s="5">
        <f t="shared" si="39"/>
        <v>0.3061720723519798</v>
      </c>
      <c r="O195" s="11"/>
      <c r="P195" s="2">
        <f>SUM(OSRRefP22_9x_0)</f>
        <v>20411.12</v>
      </c>
      <c r="Q195" s="2"/>
      <c r="R195" s="5">
        <f t="shared" si="40"/>
        <v>1.9085959376327402E-3</v>
      </c>
      <c r="S195" s="2"/>
      <c r="T195" s="2">
        <f>SUM(OSRRefT22_9x_0)</f>
        <v>18767.03</v>
      </c>
      <c r="U195" s="2"/>
      <c r="V195" s="5">
        <f t="shared" si="41"/>
        <v>2.3137316610752608E-3</v>
      </c>
      <c r="W195" s="2"/>
      <c r="X195" s="2">
        <f t="shared" si="42"/>
        <v>1644.0900000000001</v>
      </c>
      <c r="Y195" s="2"/>
      <c r="Z195" s="5">
        <f t="shared" si="43"/>
        <v>8.760523108877645E-2</v>
      </c>
    </row>
    <row r="196" spans="1:26" s="69" customFormat="1" ht="15" hidden="1" customHeight="1" outlineLevel="2" x14ac:dyDescent="0.3">
      <c r="A196" s="21"/>
      <c r="B196" s="9" t="str">
        <f>CONCATENATE("          ","6351"," - ","EQUIPMENT RENTAL")</f>
        <v xml:space="preserve">          6351 - EQUIPMENT RENTAL</v>
      </c>
      <c r="C196" s="9"/>
      <c r="D196" s="6">
        <v>2900.76</v>
      </c>
      <c r="E196" s="3"/>
      <c r="F196" s="7">
        <f t="shared" si="36"/>
        <v>4.2003734341019838E-3</v>
      </c>
      <c r="G196" s="3"/>
      <c r="H196" s="6">
        <v>2220.81</v>
      </c>
      <c r="I196" s="3"/>
      <c r="J196" s="7">
        <f t="shared" si="37"/>
        <v>6.7463664701020633E-3</v>
      </c>
      <c r="K196" s="3"/>
      <c r="L196" s="6">
        <f t="shared" si="38"/>
        <v>679.95000000000027</v>
      </c>
      <c r="M196" s="3"/>
      <c r="N196" s="7">
        <f t="shared" si="39"/>
        <v>0.3061720723519798</v>
      </c>
      <c r="O196" s="9"/>
      <c r="P196" s="6">
        <v>20411.12</v>
      </c>
      <c r="Q196" s="3"/>
      <c r="R196" s="7">
        <f t="shared" si="40"/>
        <v>1.9085959376327402E-3</v>
      </c>
      <c r="S196" s="3"/>
      <c r="T196" s="6">
        <v>18767.03</v>
      </c>
      <c r="U196" s="3"/>
      <c r="V196" s="7">
        <f t="shared" si="41"/>
        <v>2.3137316610752608E-3</v>
      </c>
      <c r="W196" s="3"/>
      <c r="X196" s="6">
        <f t="shared" si="42"/>
        <v>1644.0900000000001</v>
      </c>
      <c r="Y196" s="3"/>
      <c r="Z196" s="7">
        <f t="shared" si="43"/>
        <v>8.760523108877645E-2</v>
      </c>
    </row>
    <row r="197" spans="1:26" s="68" customFormat="1" ht="15" customHeight="1" outlineLevel="1" collapsed="1" x14ac:dyDescent="0.3">
      <c r="A197" s="20"/>
      <c r="B197" s="11" t="str">
        <f>CONCATENATE("     ","Freight out/Postage                               ")</f>
        <v xml:space="preserve">     Freight out/Postage                               </v>
      </c>
      <c r="C197" s="11"/>
      <c r="D197" s="2">
        <f>SUM(OSRRefD22_10x_0)</f>
        <v>6549</v>
      </c>
      <c r="E197" s="2"/>
      <c r="F197" s="5">
        <f t="shared" si="36"/>
        <v>9.4831167073228702E-3</v>
      </c>
      <c r="G197" s="2"/>
      <c r="H197" s="2">
        <f>SUM(OSRRefH22_10x_0)</f>
        <v>-7501.3200000000006</v>
      </c>
      <c r="I197" s="2"/>
      <c r="J197" s="5">
        <f t="shared" si="37"/>
        <v>-2.2787475619033604E-2</v>
      </c>
      <c r="K197" s="2"/>
      <c r="L197" s="2">
        <f t="shared" si="38"/>
        <v>14050.32</v>
      </c>
      <c r="M197" s="2"/>
      <c r="N197" s="5">
        <f t="shared" si="39"/>
        <v>-1.8730463438434835</v>
      </c>
      <c r="O197" s="11"/>
      <c r="P197" s="2">
        <f>SUM(OSRRefP22_10x_0)</f>
        <v>-38547.51999999999</v>
      </c>
      <c r="Q197" s="2"/>
      <c r="R197" s="5">
        <f t="shared" si="40"/>
        <v>-3.6044881455704926E-3</v>
      </c>
      <c r="S197" s="2"/>
      <c r="T197" s="2">
        <f>SUM(OSRRefT22_10x_0)</f>
        <v>-72689.53</v>
      </c>
      <c r="U197" s="2"/>
      <c r="V197" s="5">
        <f t="shared" si="41"/>
        <v>-8.961677313335142E-3</v>
      </c>
      <c r="W197" s="2"/>
      <c r="X197" s="2">
        <f t="shared" si="42"/>
        <v>34142.010000000009</v>
      </c>
      <c r="Y197" s="2"/>
      <c r="Z197" s="5">
        <f t="shared" si="43"/>
        <v>-0.4696963923139964</v>
      </c>
    </row>
    <row r="198" spans="1:26" s="69" customFormat="1" ht="15" hidden="1" customHeight="1" outlineLevel="2" x14ac:dyDescent="0.3">
      <c r="A198" s="21"/>
      <c r="B198" s="9" t="str">
        <f>CONCATENATE("          ","6305"," - ","FREIGHT OUT")</f>
        <v xml:space="preserve">          6305 - FREIGHT OUT</v>
      </c>
      <c r="C198" s="9"/>
      <c r="D198" s="6">
        <v>19990.48</v>
      </c>
      <c r="E198" s="3"/>
      <c r="F198" s="7">
        <f t="shared" si="36"/>
        <v>2.8946717800489189E-2</v>
      </c>
      <c r="G198" s="3"/>
      <c r="H198" s="6">
        <v>7012.69</v>
      </c>
      <c r="I198" s="3"/>
      <c r="J198" s="7">
        <f t="shared" si="37"/>
        <v>2.1303117637807845E-2</v>
      </c>
      <c r="K198" s="3"/>
      <c r="L198" s="6">
        <f t="shared" si="38"/>
        <v>12977.79</v>
      </c>
      <c r="M198" s="3"/>
      <c r="N198" s="7">
        <f t="shared" si="39"/>
        <v>1.8506150991987385</v>
      </c>
      <c r="O198" s="9"/>
      <c r="P198" s="6">
        <v>154532.73000000001</v>
      </c>
      <c r="Q198" s="3"/>
      <c r="R198" s="7">
        <f t="shared" si="40"/>
        <v>1.444999297977265E-2</v>
      </c>
      <c r="S198" s="3"/>
      <c r="T198" s="6">
        <v>234082.29</v>
      </c>
      <c r="U198" s="3"/>
      <c r="V198" s="7">
        <f t="shared" si="41"/>
        <v>2.8859313683092157E-2</v>
      </c>
      <c r="W198" s="3"/>
      <c r="X198" s="6">
        <f t="shared" si="42"/>
        <v>-79549.56</v>
      </c>
      <c r="Y198" s="3"/>
      <c r="Z198" s="7">
        <f t="shared" si="43"/>
        <v>-0.33983587566577544</v>
      </c>
    </row>
    <row r="199" spans="1:26" s="69" customFormat="1" ht="15" hidden="1" customHeight="1" outlineLevel="2" x14ac:dyDescent="0.3">
      <c r="A199" s="21"/>
      <c r="B199" s="9" t="str">
        <f>CONCATENATE("          ","6307"," - ","POSTAGE")</f>
        <v xml:space="preserve">          6307 - POSTAGE</v>
      </c>
      <c r="C199" s="9"/>
      <c r="D199" s="6">
        <v>-13441.48</v>
      </c>
      <c r="E199" s="3"/>
      <c r="F199" s="7">
        <f t="shared" si="36"/>
        <v>-1.9463601093166319E-2</v>
      </c>
      <c r="G199" s="3"/>
      <c r="H199" s="6">
        <v>-14514.01</v>
      </c>
      <c r="I199" s="3"/>
      <c r="J199" s="7">
        <f t="shared" si="37"/>
        <v>-4.4090593256841448E-2</v>
      </c>
      <c r="K199" s="3"/>
      <c r="L199" s="6">
        <f t="shared" si="38"/>
        <v>1072.5300000000007</v>
      </c>
      <c r="M199" s="3"/>
      <c r="N199" s="7">
        <f t="shared" si="39"/>
        <v>-7.3896187201193925E-2</v>
      </c>
      <c r="O199" s="9"/>
      <c r="P199" s="6">
        <v>-193080.25</v>
      </c>
      <c r="Q199" s="3"/>
      <c r="R199" s="7">
        <f t="shared" si="40"/>
        <v>-1.8054481125343143E-2</v>
      </c>
      <c r="S199" s="3"/>
      <c r="T199" s="6">
        <v>-306771.82</v>
      </c>
      <c r="U199" s="3"/>
      <c r="V199" s="7">
        <f t="shared" si="41"/>
        <v>-3.7820990996427301E-2</v>
      </c>
      <c r="W199" s="3"/>
      <c r="X199" s="6">
        <f t="shared" si="42"/>
        <v>113691.57</v>
      </c>
      <c r="Y199" s="3"/>
      <c r="Z199" s="7">
        <f t="shared" si="43"/>
        <v>-0.37060630275623102</v>
      </c>
    </row>
    <row r="200" spans="1:26" s="68" customFormat="1" ht="15" customHeight="1" outlineLevel="1" collapsed="1" x14ac:dyDescent="0.3">
      <c r="A200" s="20"/>
      <c r="B200" s="11" t="str">
        <f>CONCATENATE("     ","General                                           ")</f>
        <v xml:space="preserve">     General                                           </v>
      </c>
      <c r="C200" s="11"/>
      <c r="D200" s="2">
        <f>SUM(OSRRefD22_11x_0)</f>
        <v>200</v>
      </c>
      <c r="E200" s="2"/>
      <c r="F200" s="5">
        <f t="shared" si="36"/>
        <v>2.8960502999917151E-4</v>
      </c>
      <c r="G200" s="2"/>
      <c r="H200" s="2">
        <f>SUM(OSRRefH22_11x_0)</f>
        <v>-3391.74</v>
      </c>
      <c r="I200" s="2"/>
      <c r="J200" s="5">
        <f t="shared" si="37"/>
        <v>-1.0303412273586651E-2</v>
      </c>
      <c r="K200" s="2"/>
      <c r="L200" s="2">
        <f t="shared" si="38"/>
        <v>3591.74</v>
      </c>
      <c r="M200" s="2"/>
      <c r="N200" s="5">
        <f t="shared" si="39"/>
        <v>-1.0589667840105668</v>
      </c>
      <c r="O200" s="11"/>
      <c r="P200" s="2">
        <f>SUM(OSRRefP22_11x_0)</f>
        <v>6970.51</v>
      </c>
      <c r="Q200" s="2"/>
      <c r="R200" s="5">
        <f t="shared" si="40"/>
        <v>6.517960341827589E-4</v>
      </c>
      <c r="S200" s="2"/>
      <c r="T200" s="2">
        <f>SUM(OSRRefT22_11x_0)</f>
        <v>-533.26</v>
      </c>
      <c r="U200" s="2"/>
      <c r="V200" s="5">
        <f t="shared" si="41"/>
        <v>-6.574404930268635E-5</v>
      </c>
      <c r="W200" s="2"/>
      <c r="X200" s="2">
        <f t="shared" si="42"/>
        <v>7503.77</v>
      </c>
      <c r="Y200" s="2"/>
      <c r="Z200" s="5">
        <f t="shared" si="43"/>
        <v>-14.07150358174249</v>
      </c>
    </row>
    <row r="201" spans="1:26" s="69" customFormat="1" ht="15" hidden="1" customHeight="1" outlineLevel="2" x14ac:dyDescent="0.3">
      <c r="A201" s="21"/>
      <c r="B201" s="9" t="str">
        <f>CONCATENATE("          ","6279"," - ","GENERAL EXPENSE")</f>
        <v xml:space="preserve">          6279 - GENERAL EXPENSE</v>
      </c>
      <c r="C201" s="9"/>
      <c r="D201" s="6">
        <v>200</v>
      </c>
      <c r="E201" s="3"/>
      <c r="F201" s="7">
        <f t="shared" si="36"/>
        <v>2.8960502999917151E-4</v>
      </c>
      <c r="G201" s="3"/>
      <c r="H201" s="6">
        <v>-3391.74</v>
      </c>
      <c r="I201" s="3"/>
      <c r="J201" s="7">
        <f t="shared" si="37"/>
        <v>-1.0303412273586651E-2</v>
      </c>
      <c r="K201" s="3"/>
      <c r="L201" s="6">
        <f t="shared" si="38"/>
        <v>3591.74</v>
      </c>
      <c r="M201" s="3"/>
      <c r="N201" s="7">
        <f t="shared" si="39"/>
        <v>-1.0589667840105668</v>
      </c>
      <c r="O201" s="9"/>
      <c r="P201" s="6">
        <v>6970.51</v>
      </c>
      <c r="Q201" s="3"/>
      <c r="R201" s="7">
        <f t="shared" si="40"/>
        <v>6.517960341827589E-4</v>
      </c>
      <c r="S201" s="3"/>
      <c r="T201" s="6">
        <v>-533.26</v>
      </c>
      <c r="U201" s="3"/>
      <c r="V201" s="7">
        <f t="shared" si="41"/>
        <v>-6.574404930268635E-5</v>
      </c>
      <c r="W201" s="3"/>
      <c r="X201" s="6">
        <f t="shared" si="42"/>
        <v>7503.77</v>
      </c>
      <c r="Y201" s="3"/>
      <c r="Z201" s="7">
        <f t="shared" si="43"/>
        <v>-14.07150358174249</v>
      </c>
    </row>
    <row r="202" spans="1:26" s="68" customFormat="1" ht="15" customHeight="1" outlineLevel="1" collapsed="1" x14ac:dyDescent="0.3">
      <c r="A202" s="20"/>
      <c r="B202" s="11" t="str">
        <f>CONCATENATE("     ","Insurance                                         ")</f>
        <v xml:space="preserve">     Insurance                                         </v>
      </c>
      <c r="C202" s="11"/>
      <c r="D202" s="2">
        <f>SUM(OSRRefD22_12x_0)</f>
        <v>-1699.4</v>
      </c>
      <c r="E202" s="2"/>
      <c r="F202" s="5">
        <f t="shared" si="36"/>
        <v>-2.4607739399029604E-3</v>
      </c>
      <c r="G202" s="2"/>
      <c r="H202" s="2">
        <f>SUM(OSRRefH22_12x_0)</f>
        <v>8663.02</v>
      </c>
      <c r="I202" s="2"/>
      <c r="J202" s="5">
        <f t="shared" si="37"/>
        <v>2.6316482570694289E-2</v>
      </c>
      <c r="K202" s="2"/>
      <c r="L202" s="2">
        <f t="shared" si="38"/>
        <v>-10362.42</v>
      </c>
      <c r="M202" s="2"/>
      <c r="N202" s="5">
        <f t="shared" si="39"/>
        <v>-1.1961671564881531</v>
      </c>
      <c r="O202" s="11"/>
      <c r="P202" s="2">
        <f>SUM(OSRRefP22_12x_0)</f>
        <v>58740.87</v>
      </c>
      <c r="Q202" s="2"/>
      <c r="R202" s="5">
        <f t="shared" si="40"/>
        <v>5.4927209214885274E-3</v>
      </c>
      <c r="S202" s="2"/>
      <c r="T202" s="2">
        <f>SUM(OSRRefT22_12x_0)</f>
        <v>53155.16</v>
      </c>
      <c r="U202" s="2"/>
      <c r="V202" s="5">
        <f t="shared" si="41"/>
        <v>6.5533425716014348E-3</v>
      </c>
      <c r="W202" s="2"/>
      <c r="X202" s="2">
        <f t="shared" si="42"/>
        <v>5585.7099999999991</v>
      </c>
      <c r="Y202" s="2"/>
      <c r="Z202" s="5">
        <f t="shared" si="43"/>
        <v>0.10508311892956392</v>
      </c>
    </row>
    <row r="203" spans="1:26" s="69" customFormat="1" ht="15" hidden="1" customHeight="1" outlineLevel="2" x14ac:dyDescent="0.3">
      <c r="A203" s="21"/>
      <c r="B203" s="9" t="str">
        <f>CONCATENATE("          ","6314"," - ","LIABILITY INSURANCE")</f>
        <v xml:space="preserve">          6314 - LIABILITY INSURANCE</v>
      </c>
      <c r="C203" s="9"/>
      <c r="D203" s="6">
        <v>-1699.4</v>
      </c>
      <c r="E203" s="3"/>
      <c r="F203" s="7">
        <f t="shared" si="36"/>
        <v>-2.4607739399029604E-3</v>
      </c>
      <c r="G203" s="3"/>
      <c r="H203" s="6">
        <v>8663.02</v>
      </c>
      <c r="I203" s="3"/>
      <c r="J203" s="7">
        <f t="shared" si="37"/>
        <v>2.6316482570694289E-2</v>
      </c>
      <c r="K203" s="3"/>
      <c r="L203" s="6">
        <f t="shared" si="38"/>
        <v>-10362.42</v>
      </c>
      <c r="M203" s="3"/>
      <c r="N203" s="7">
        <f t="shared" si="39"/>
        <v>-1.1961671564881531</v>
      </c>
      <c r="O203" s="9"/>
      <c r="P203" s="6">
        <v>58740.87</v>
      </c>
      <c r="Q203" s="3"/>
      <c r="R203" s="7">
        <f t="shared" si="40"/>
        <v>5.4927209214885274E-3</v>
      </c>
      <c r="S203" s="3"/>
      <c r="T203" s="6">
        <v>53155.16</v>
      </c>
      <c r="U203" s="3"/>
      <c r="V203" s="7">
        <f t="shared" si="41"/>
        <v>6.5533425716014348E-3</v>
      </c>
      <c r="W203" s="3"/>
      <c r="X203" s="6">
        <f t="shared" si="42"/>
        <v>5585.7099999999991</v>
      </c>
      <c r="Y203" s="3"/>
      <c r="Z203" s="7">
        <f t="shared" si="43"/>
        <v>0.10508311892956392</v>
      </c>
    </row>
    <row r="204" spans="1:26" s="68" customFormat="1" ht="15" customHeight="1" outlineLevel="1" collapsed="1" x14ac:dyDescent="0.3">
      <c r="A204" s="20"/>
      <c r="B204" s="11" t="str">
        <f>CONCATENATE("     ","Inventory Adjustment                              ")</f>
        <v xml:space="preserve">     Inventory Adjustment                              </v>
      </c>
      <c r="C204" s="11"/>
      <c r="D204" s="2">
        <f>SUM(OSRRefD22_13x_0)</f>
        <v>-70840</v>
      </c>
      <c r="E204" s="2"/>
      <c r="F204" s="5">
        <f t="shared" si="36"/>
        <v>-0.10257810162570655</v>
      </c>
      <c r="G204" s="2"/>
      <c r="H204" s="2">
        <f>SUM(OSRRefH22_13x_0)</f>
        <v>-41850</v>
      </c>
      <c r="I204" s="2"/>
      <c r="J204" s="5">
        <f t="shared" si="37"/>
        <v>-0.12713173876818429</v>
      </c>
      <c r="K204" s="2"/>
      <c r="L204" s="2">
        <f t="shared" si="38"/>
        <v>-28990</v>
      </c>
      <c r="M204" s="2"/>
      <c r="N204" s="5">
        <f t="shared" si="39"/>
        <v>0.69271206690561526</v>
      </c>
      <c r="O204" s="11"/>
      <c r="P204" s="2">
        <f>SUM(OSRRefP22_13x_0)</f>
        <v>0</v>
      </c>
      <c r="Q204" s="2"/>
      <c r="R204" s="5">
        <f t="shared" si="40"/>
        <v>0</v>
      </c>
      <c r="S204" s="2"/>
      <c r="T204" s="2">
        <f>SUM(OSRRefT22_13x_0)</f>
        <v>0</v>
      </c>
      <c r="U204" s="2"/>
      <c r="V204" s="5">
        <f t="shared" si="41"/>
        <v>0</v>
      </c>
      <c r="W204" s="2"/>
      <c r="X204" s="2">
        <f t="shared" si="42"/>
        <v>0</v>
      </c>
      <c r="Y204" s="2"/>
      <c r="Z204" s="5">
        <f t="shared" si="43"/>
        <v>0</v>
      </c>
    </row>
    <row r="205" spans="1:26" s="69" customFormat="1" ht="15" hidden="1" customHeight="1" outlineLevel="2" x14ac:dyDescent="0.3">
      <c r="A205" s="21"/>
      <c r="B205" s="9" t="str">
        <f>CONCATENATE("          ","6408"," - ","INVENTORY ADJUSTMENT")</f>
        <v xml:space="preserve">          6408 - INVENTORY ADJUSTMENT</v>
      </c>
      <c r="C205" s="9"/>
      <c r="D205" s="6">
        <v>-70840</v>
      </c>
      <c r="E205" s="3"/>
      <c r="F205" s="7">
        <f t="shared" si="36"/>
        <v>-0.10257810162570655</v>
      </c>
      <c r="G205" s="3"/>
      <c r="H205" s="6">
        <v>-41850</v>
      </c>
      <c r="I205" s="3"/>
      <c r="J205" s="7">
        <f t="shared" si="37"/>
        <v>-0.12713173876818429</v>
      </c>
      <c r="K205" s="3"/>
      <c r="L205" s="6">
        <f t="shared" si="38"/>
        <v>-28990</v>
      </c>
      <c r="M205" s="3"/>
      <c r="N205" s="7">
        <f t="shared" si="39"/>
        <v>0.69271206690561526</v>
      </c>
      <c r="O205" s="9"/>
      <c r="P205" s="6">
        <v>0</v>
      </c>
      <c r="Q205" s="3"/>
      <c r="R205" s="7">
        <f t="shared" si="40"/>
        <v>0</v>
      </c>
      <c r="S205" s="3"/>
      <c r="T205" s="6">
        <v>0</v>
      </c>
      <c r="U205" s="3"/>
      <c r="V205" s="7">
        <f t="shared" si="41"/>
        <v>0</v>
      </c>
      <c r="W205" s="3"/>
      <c r="X205" s="6">
        <f t="shared" si="42"/>
        <v>0</v>
      </c>
      <c r="Y205" s="3"/>
      <c r="Z205" s="7">
        <f t="shared" si="43"/>
        <v>0</v>
      </c>
    </row>
    <row r="206" spans="1:26" s="69" customFormat="1" ht="15" hidden="1" customHeight="1" outlineLevel="2" x14ac:dyDescent="0.3">
      <c r="A206" s="21"/>
      <c r="B206" s="9" t="str">
        <f>CONCATENATE("          ","7741"," - ","INV. SHRINKAGE-LOGO GIFTS")</f>
        <v xml:space="preserve">          7741 - INV. SHRINKAGE-LOGO GIFTS</v>
      </c>
      <c r="C206" s="9"/>
      <c r="D206" s="6"/>
      <c r="E206" s="3"/>
      <c r="F206" s="7">
        <f t="shared" si="36"/>
        <v>0</v>
      </c>
      <c r="G206" s="3"/>
      <c r="H206" s="6"/>
      <c r="I206" s="3"/>
      <c r="J206" s="7">
        <f t="shared" si="37"/>
        <v>0</v>
      </c>
      <c r="K206" s="3"/>
      <c r="L206" s="6">
        <f t="shared" si="38"/>
        <v>0</v>
      </c>
      <c r="M206" s="3"/>
      <c r="N206" s="7">
        <f t="shared" si="39"/>
        <v>0</v>
      </c>
      <c r="O206" s="9"/>
      <c r="P206" s="6"/>
      <c r="Q206" s="3"/>
      <c r="R206" s="7">
        <f t="shared" si="40"/>
        <v>0</v>
      </c>
      <c r="S206" s="3"/>
      <c r="T206" s="6">
        <v>0</v>
      </c>
      <c r="U206" s="3"/>
      <c r="V206" s="7">
        <f t="shared" si="41"/>
        <v>0</v>
      </c>
      <c r="W206" s="3"/>
      <c r="X206" s="6">
        <f t="shared" si="42"/>
        <v>0</v>
      </c>
      <c r="Y206" s="3"/>
      <c r="Z206" s="7">
        <f t="shared" si="43"/>
        <v>0</v>
      </c>
    </row>
    <row r="207" spans="1:26" s="68" customFormat="1" ht="15" customHeight="1" outlineLevel="1" collapsed="1" x14ac:dyDescent="0.3">
      <c r="A207" s="20"/>
      <c r="B207" s="11" t="str">
        <f>CONCATENATE("     ","Professional Services                             ")</f>
        <v xml:space="preserve">     Professional Services                             </v>
      </c>
      <c r="C207" s="11"/>
      <c r="D207" s="2">
        <f>SUM(OSRRefD22_14x_0)</f>
        <v>1551.33</v>
      </c>
      <c r="E207" s="2"/>
      <c r="F207" s="5">
        <f t="shared" si="36"/>
        <v>2.2463648559430736E-3</v>
      </c>
      <c r="G207" s="2"/>
      <c r="H207" s="2">
        <f>SUM(OSRRefH22_14x_0)</f>
        <v>1966.87</v>
      </c>
      <c r="I207" s="2"/>
      <c r="J207" s="5">
        <f t="shared" si="37"/>
        <v>5.9749486984702182E-3</v>
      </c>
      <c r="K207" s="2"/>
      <c r="L207" s="2">
        <f t="shared" si="38"/>
        <v>-415.53999999999996</v>
      </c>
      <c r="M207" s="2"/>
      <c r="N207" s="5">
        <f t="shared" si="39"/>
        <v>-0.21126968228708556</v>
      </c>
      <c r="O207" s="11"/>
      <c r="P207" s="2">
        <f>SUM(OSRRefP22_14x_0)</f>
        <v>11177.86</v>
      </c>
      <c r="Q207" s="2"/>
      <c r="R207" s="5">
        <f t="shared" si="40"/>
        <v>1.0452154603680496E-3</v>
      </c>
      <c r="S207" s="2"/>
      <c r="T207" s="2">
        <f>SUM(OSRRefT22_14x_0)</f>
        <v>1966.87</v>
      </c>
      <c r="U207" s="2"/>
      <c r="V207" s="5">
        <f t="shared" si="41"/>
        <v>2.4248958904094566E-4</v>
      </c>
      <c r="W207" s="2"/>
      <c r="X207" s="2">
        <f t="shared" si="42"/>
        <v>9210.9900000000016</v>
      </c>
      <c r="Y207" s="2"/>
      <c r="Z207" s="5">
        <f t="shared" si="43"/>
        <v>4.6830700554688427</v>
      </c>
    </row>
    <row r="208" spans="1:26" s="69" customFormat="1" ht="15" hidden="1" customHeight="1" outlineLevel="2" x14ac:dyDescent="0.3">
      <c r="A208" s="21"/>
      <c r="B208" s="9" t="str">
        <f>CONCATENATE("          ","6336"," - ","PROFESSIONAL SERVICES")</f>
        <v xml:space="preserve">          6336 - PROFESSIONAL SERVICES</v>
      </c>
      <c r="C208" s="9"/>
      <c r="D208" s="6">
        <v>1551.33</v>
      </c>
      <c r="E208" s="3"/>
      <c r="F208" s="7">
        <f t="shared" si="36"/>
        <v>2.2463648559430736E-3</v>
      </c>
      <c r="G208" s="3"/>
      <c r="H208" s="6">
        <v>1966.87</v>
      </c>
      <c r="I208" s="3"/>
      <c r="J208" s="7">
        <f t="shared" si="37"/>
        <v>5.9749486984702182E-3</v>
      </c>
      <c r="K208" s="3"/>
      <c r="L208" s="6">
        <f t="shared" si="38"/>
        <v>-415.53999999999996</v>
      </c>
      <c r="M208" s="3"/>
      <c r="N208" s="7">
        <f t="shared" si="39"/>
        <v>-0.21126968228708556</v>
      </c>
      <c r="O208" s="9"/>
      <c r="P208" s="6">
        <v>11177.86</v>
      </c>
      <c r="Q208" s="3"/>
      <c r="R208" s="7">
        <f t="shared" si="40"/>
        <v>1.0452154603680496E-3</v>
      </c>
      <c r="S208" s="3"/>
      <c r="T208" s="6">
        <v>1966.87</v>
      </c>
      <c r="U208" s="3"/>
      <c r="V208" s="7">
        <f t="shared" si="41"/>
        <v>2.4248958904094566E-4</v>
      </c>
      <c r="W208" s="3"/>
      <c r="X208" s="6">
        <f t="shared" si="42"/>
        <v>9210.9900000000016</v>
      </c>
      <c r="Y208" s="3"/>
      <c r="Z208" s="7">
        <f t="shared" si="43"/>
        <v>4.6830700554688427</v>
      </c>
    </row>
    <row r="209" spans="1:26" s="68" customFormat="1" ht="15" customHeight="1" outlineLevel="1" collapsed="1" x14ac:dyDescent="0.3">
      <c r="A209" s="20"/>
      <c r="B209" s="11" t="str">
        <f>CONCATENATE("     ","Rent                                              ")</f>
        <v xml:space="preserve">     Rent                                              </v>
      </c>
      <c r="C209" s="11"/>
      <c r="D209" s="2">
        <f>SUM(OSRRefD22_15x_0)</f>
        <v>6900</v>
      </c>
      <c r="E209" s="2"/>
      <c r="F209" s="5">
        <f t="shared" si="36"/>
        <v>9.9913735349714157E-3</v>
      </c>
      <c r="G209" s="2"/>
      <c r="H209" s="2">
        <f>SUM(OSRRefH22_15x_0)</f>
        <v>6100</v>
      </c>
      <c r="I209" s="2"/>
      <c r="J209" s="5">
        <f t="shared" si="37"/>
        <v>1.8530552126306433E-2</v>
      </c>
      <c r="K209" s="2"/>
      <c r="L209" s="2">
        <f t="shared" si="38"/>
        <v>800</v>
      </c>
      <c r="M209" s="2"/>
      <c r="N209" s="5">
        <f t="shared" si="39"/>
        <v>0.13114754098360656</v>
      </c>
      <c r="O209" s="11"/>
      <c r="P209" s="2">
        <f>SUM(OSRRefP22_15x_0)</f>
        <v>74000</v>
      </c>
      <c r="Q209" s="2"/>
      <c r="R209" s="5">
        <f t="shared" si="40"/>
        <v>6.9195663630816336E-3</v>
      </c>
      <c r="S209" s="2"/>
      <c r="T209" s="2">
        <f>SUM(OSRRefT22_15x_0)</f>
        <v>73200</v>
      </c>
      <c r="U209" s="2"/>
      <c r="V209" s="5">
        <f t="shared" si="41"/>
        <v>9.0246116508956985E-3</v>
      </c>
      <c r="W209" s="2"/>
      <c r="X209" s="2">
        <f t="shared" si="42"/>
        <v>800</v>
      </c>
      <c r="Y209" s="2"/>
      <c r="Z209" s="5">
        <f t="shared" si="43"/>
        <v>1.092896174863388E-2</v>
      </c>
    </row>
    <row r="210" spans="1:26" s="69" customFormat="1" ht="15" hidden="1" customHeight="1" outlineLevel="2" x14ac:dyDescent="0.3">
      <c r="A210" s="21"/>
      <c r="B210" s="9" t="str">
        <f>CONCATENATE("          ","6273"," - ","RENT")</f>
        <v xml:space="preserve">          6273 - RENT</v>
      </c>
      <c r="C210" s="9"/>
      <c r="D210" s="6">
        <v>6900</v>
      </c>
      <c r="E210" s="3"/>
      <c r="F210" s="7">
        <f t="shared" si="36"/>
        <v>9.9913735349714157E-3</v>
      </c>
      <c r="G210" s="3"/>
      <c r="H210" s="6">
        <v>6100</v>
      </c>
      <c r="I210" s="3"/>
      <c r="J210" s="7">
        <f t="shared" si="37"/>
        <v>1.8530552126306433E-2</v>
      </c>
      <c r="K210" s="3"/>
      <c r="L210" s="6">
        <f t="shared" si="38"/>
        <v>800</v>
      </c>
      <c r="M210" s="3"/>
      <c r="N210" s="7">
        <f t="shared" si="39"/>
        <v>0.13114754098360656</v>
      </c>
      <c r="O210" s="9"/>
      <c r="P210" s="6">
        <v>74000</v>
      </c>
      <c r="Q210" s="3"/>
      <c r="R210" s="7">
        <f t="shared" si="40"/>
        <v>6.9195663630816336E-3</v>
      </c>
      <c r="S210" s="3"/>
      <c r="T210" s="6">
        <v>73200</v>
      </c>
      <c r="U210" s="3"/>
      <c r="V210" s="7">
        <f t="shared" si="41"/>
        <v>9.0246116508956985E-3</v>
      </c>
      <c r="W210" s="3"/>
      <c r="X210" s="6">
        <f t="shared" si="42"/>
        <v>800</v>
      </c>
      <c r="Y210" s="3"/>
      <c r="Z210" s="7">
        <f t="shared" si="43"/>
        <v>1.092896174863388E-2</v>
      </c>
    </row>
    <row r="211" spans="1:26" s="68" customFormat="1" ht="15" customHeight="1" outlineLevel="1" collapsed="1" x14ac:dyDescent="0.3">
      <c r="A211" s="20"/>
      <c r="B211" s="11" t="str">
        <f>CONCATENATE("     ","Repair and Maintenance                            ")</f>
        <v xml:space="preserve">     Repair and Maintenance                            </v>
      </c>
      <c r="C211" s="11"/>
      <c r="D211" s="2">
        <f>SUM(OSRRefD22_16x_0)</f>
        <v>29969.57</v>
      </c>
      <c r="E211" s="2"/>
      <c r="F211" s="5">
        <f t="shared" si="36"/>
        <v>4.3396691094561353E-2</v>
      </c>
      <c r="G211" s="2"/>
      <c r="H211" s="2">
        <f>SUM(OSRRefH22_16x_0)</f>
        <v>17581.3</v>
      </c>
      <c r="I211" s="2"/>
      <c r="J211" s="5">
        <f t="shared" si="37"/>
        <v>5.340839280298873E-2</v>
      </c>
      <c r="K211" s="2"/>
      <c r="L211" s="2">
        <f t="shared" si="38"/>
        <v>12388.27</v>
      </c>
      <c r="M211" s="2"/>
      <c r="N211" s="5">
        <f t="shared" si="39"/>
        <v>0.70462764414463097</v>
      </c>
      <c r="O211" s="11"/>
      <c r="P211" s="2">
        <f>SUM(OSRRefP22_16x_0)</f>
        <v>174089.96000000002</v>
      </c>
      <c r="Q211" s="2"/>
      <c r="R211" s="5">
        <f t="shared" si="40"/>
        <v>1.6278743667111177E-2</v>
      </c>
      <c r="S211" s="2"/>
      <c r="T211" s="2">
        <f>SUM(OSRRefT22_16x_0)</f>
        <v>161286.21000000002</v>
      </c>
      <c r="U211" s="2"/>
      <c r="V211" s="5">
        <f t="shared" si="41"/>
        <v>1.9884500135175009E-2</v>
      </c>
      <c r="W211" s="2"/>
      <c r="X211" s="2">
        <f t="shared" si="42"/>
        <v>12803.75</v>
      </c>
      <c r="Y211" s="2"/>
      <c r="Z211" s="5">
        <f t="shared" si="43"/>
        <v>7.9385274165720665E-2</v>
      </c>
    </row>
    <row r="212" spans="1:26" s="69" customFormat="1" ht="15" hidden="1" customHeight="1" outlineLevel="2" x14ac:dyDescent="0.3">
      <c r="A212" s="21"/>
      <c r="B212" s="9" t="str">
        <f>CONCATENATE("          ","6371"," - ","COMPUTER SOFTWARE MAINTENANCE")</f>
        <v xml:space="preserve">          6371 - COMPUTER SOFTWARE MAINTENANCE</v>
      </c>
      <c r="C212" s="9"/>
      <c r="D212" s="6"/>
      <c r="E212" s="3"/>
      <c r="F212" s="7">
        <f t="shared" si="36"/>
        <v>0</v>
      </c>
      <c r="G212" s="3"/>
      <c r="H212" s="6"/>
      <c r="I212" s="3"/>
      <c r="J212" s="7">
        <f t="shared" si="37"/>
        <v>0</v>
      </c>
      <c r="K212" s="3"/>
      <c r="L212" s="6">
        <f t="shared" si="38"/>
        <v>0</v>
      </c>
      <c r="M212" s="3"/>
      <c r="N212" s="7">
        <f t="shared" si="39"/>
        <v>0</v>
      </c>
      <c r="O212" s="9"/>
      <c r="P212" s="6">
        <v>64061</v>
      </c>
      <c r="Q212" s="3"/>
      <c r="R212" s="7">
        <f t="shared" si="40"/>
        <v>5.9901937943969254E-3</v>
      </c>
      <c r="S212" s="3"/>
      <c r="T212" s="6">
        <v>61317.72</v>
      </c>
      <c r="U212" s="3"/>
      <c r="V212" s="7">
        <f t="shared" si="41"/>
        <v>7.5596804688300582E-3</v>
      </c>
      <c r="W212" s="3"/>
      <c r="X212" s="6">
        <f t="shared" si="42"/>
        <v>2743.2799999999988</v>
      </c>
      <c r="Y212" s="3"/>
      <c r="Z212" s="7">
        <f t="shared" si="43"/>
        <v>4.4738780241665846E-2</v>
      </c>
    </row>
    <row r="213" spans="1:26" s="69" customFormat="1" ht="15" hidden="1" customHeight="1" outlineLevel="2" x14ac:dyDescent="0.3">
      <c r="A213" s="21"/>
      <c r="B213" s="9" t="str">
        <f>CONCATENATE("          ","6372"," - ","COMPUTER HARDWARE MAINTENANCE")</f>
        <v xml:space="preserve">          6372 - COMPUTER HARDWARE MAINTENANCE</v>
      </c>
      <c r="C213" s="9"/>
      <c r="D213" s="6"/>
      <c r="E213" s="3"/>
      <c r="F213" s="7">
        <f t="shared" si="36"/>
        <v>0</v>
      </c>
      <c r="G213" s="3"/>
      <c r="H213" s="6"/>
      <c r="I213" s="3"/>
      <c r="J213" s="7">
        <f t="shared" si="37"/>
        <v>0</v>
      </c>
      <c r="K213" s="3"/>
      <c r="L213" s="6">
        <f t="shared" si="38"/>
        <v>0</v>
      </c>
      <c r="M213" s="3"/>
      <c r="N213" s="7">
        <f t="shared" si="39"/>
        <v>0</v>
      </c>
      <c r="O213" s="9"/>
      <c r="P213" s="6"/>
      <c r="Q213" s="3"/>
      <c r="R213" s="7">
        <f t="shared" si="40"/>
        <v>0</v>
      </c>
      <c r="S213" s="3"/>
      <c r="T213" s="6">
        <v>-1.1499999999999999</v>
      </c>
      <c r="U213" s="3"/>
      <c r="V213" s="7">
        <f t="shared" si="41"/>
        <v>-1.4178010107281493E-7</v>
      </c>
      <c r="W213" s="3"/>
      <c r="X213" s="6">
        <f t="shared" si="42"/>
        <v>1.1499999999999999</v>
      </c>
      <c r="Y213" s="3"/>
      <c r="Z213" s="7">
        <f t="shared" si="43"/>
        <v>-1</v>
      </c>
    </row>
    <row r="214" spans="1:26" s="69" customFormat="1" ht="15" hidden="1" customHeight="1" outlineLevel="2" x14ac:dyDescent="0.3">
      <c r="A214" s="21"/>
      <c r="B214" s="9" t="str">
        <f>CONCATENATE("          ","6373"," - ","MAINTENANCE CONTRACTS")</f>
        <v xml:space="preserve">          6373 - MAINTENANCE CONTRACTS</v>
      </c>
      <c r="C214" s="9"/>
      <c r="D214" s="6">
        <v>4242.3999999999996</v>
      </c>
      <c r="E214" s="3"/>
      <c r="F214" s="7">
        <f t="shared" si="36"/>
        <v>6.1431018963424254E-3</v>
      </c>
      <c r="G214" s="3"/>
      <c r="H214" s="6">
        <v>2085.3200000000002</v>
      </c>
      <c r="I214" s="3"/>
      <c r="J214" s="7">
        <f t="shared" si="37"/>
        <v>6.3347755672179236E-3</v>
      </c>
      <c r="K214" s="3"/>
      <c r="L214" s="6">
        <f t="shared" si="38"/>
        <v>2157.0799999999995</v>
      </c>
      <c r="M214" s="3"/>
      <c r="N214" s="7">
        <f t="shared" si="39"/>
        <v>1.0344119847313598</v>
      </c>
      <c r="O214" s="9"/>
      <c r="P214" s="6">
        <v>28262.89</v>
      </c>
      <c r="Q214" s="3"/>
      <c r="R214" s="7">
        <f t="shared" si="40"/>
        <v>2.6427965265875169E-3</v>
      </c>
      <c r="S214" s="3"/>
      <c r="T214" s="6">
        <v>51391.34</v>
      </c>
      <c r="U214" s="3"/>
      <c r="V214" s="7">
        <f t="shared" si="41"/>
        <v>6.3358864169281714E-3</v>
      </c>
      <c r="W214" s="3"/>
      <c r="X214" s="6">
        <f t="shared" si="42"/>
        <v>-23128.449999999997</v>
      </c>
      <c r="Y214" s="3"/>
      <c r="Z214" s="7">
        <f t="shared" si="43"/>
        <v>-0.45004566917305522</v>
      </c>
    </row>
    <row r="215" spans="1:26" s="69" customFormat="1" ht="15" hidden="1" customHeight="1" outlineLevel="2" x14ac:dyDescent="0.3">
      <c r="A215" s="21"/>
      <c r="B215" s="9" t="str">
        <f>CONCATENATE("          ","6375"," - ","OUTSIDE REPAIRS &amp; MAINTENANCE")</f>
        <v xml:space="preserve">          6375 - OUTSIDE REPAIRS &amp; MAINTENANCE</v>
      </c>
      <c r="C215" s="9"/>
      <c r="D215" s="6">
        <v>25727.17</v>
      </c>
      <c r="E215" s="3"/>
      <c r="F215" s="7">
        <f t="shared" si="36"/>
        <v>3.7253589198218924E-2</v>
      </c>
      <c r="G215" s="3"/>
      <c r="H215" s="6">
        <v>15495.98</v>
      </c>
      <c r="I215" s="3"/>
      <c r="J215" s="7">
        <f t="shared" si="37"/>
        <v>4.7073617235770811E-2</v>
      </c>
      <c r="K215" s="3"/>
      <c r="L215" s="6">
        <f t="shared" si="38"/>
        <v>10231.189999999999</v>
      </c>
      <c r="M215" s="3"/>
      <c r="N215" s="7">
        <f t="shared" si="39"/>
        <v>0.66024801271039324</v>
      </c>
      <c r="O215" s="9"/>
      <c r="P215" s="6">
        <v>81766.070000000007</v>
      </c>
      <c r="Q215" s="3"/>
      <c r="R215" s="7">
        <f t="shared" si="40"/>
        <v>7.645753346126734E-3</v>
      </c>
      <c r="S215" s="3"/>
      <c r="T215" s="6">
        <v>48578.3</v>
      </c>
      <c r="U215" s="3"/>
      <c r="V215" s="7">
        <f t="shared" si="41"/>
        <v>5.9890750295178491E-3</v>
      </c>
      <c r="W215" s="3"/>
      <c r="X215" s="6">
        <f t="shared" si="42"/>
        <v>33187.770000000004</v>
      </c>
      <c r="Y215" s="3"/>
      <c r="Z215" s="7">
        <f t="shared" si="43"/>
        <v>0.68318096763369662</v>
      </c>
    </row>
    <row r="216" spans="1:26" s="68" customFormat="1" ht="15" customHeight="1" outlineLevel="1" collapsed="1" x14ac:dyDescent="0.3">
      <c r="A216" s="20"/>
      <c r="B216" s="11" t="str">
        <f>CONCATENATE("     ","Royalty &amp; Commissions                             ")</f>
        <v xml:space="preserve">     Royalty &amp; Commissions                             </v>
      </c>
      <c r="C216" s="11"/>
      <c r="D216" s="2">
        <f>SUM(OSRRefD22_17x_0)</f>
        <v>503.53</v>
      </c>
      <c r="E216" s="2"/>
      <c r="F216" s="5">
        <f t="shared" si="36"/>
        <v>7.2912410377741412E-4</v>
      </c>
      <c r="G216" s="2"/>
      <c r="H216" s="2">
        <f>SUM(OSRRefH22_17x_0)</f>
        <v>2549.25</v>
      </c>
      <c r="I216" s="2"/>
      <c r="J216" s="5">
        <f t="shared" si="37"/>
        <v>7.7441000013092906E-3</v>
      </c>
      <c r="K216" s="2"/>
      <c r="L216" s="2">
        <f t="shared" si="38"/>
        <v>-2045.72</v>
      </c>
      <c r="M216" s="2"/>
      <c r="N216" s="5">
        <f t="shared" si="39"/>
        <v>-0.80247916053741297</v>
      </c>
      <c r="O216" s="11"/>
      <c r="P216" s="2">
        <f>SUM(OSRRefP22_17x_0)</f>
        <v>85971</v>
      </c>
      <c r="Q216" s="2"/>
      <c r="R216" s="5">
        <f t="shared" si="40"/>
        <v>8.0389464837904209E-3</v>
      </c>
      <c r="S216" s="2"/>
      <c r="T216" s="2">
        <f>SUM(OSRRefT22_17x_0)</f>
        <v>51336.18</v>
      </c>
      <c r="U216" s="2"/>
      <c r="V216" s="5">
        <f t="shared" si="41"/>
        <v>6.3290859035584528E-3</v>
      </c>
      <c r="W216" s="2"/>
      <c r="X216" s="2">
        <f t="shared" si="42"/>
        <v>34634.82</v>
      </c>
      <c r="Y216" s="2"/>
      <c r="Z216" s="5">
        <f t="shared" si="43"/>
        <v>0.67466687236954526</v>
      </c>
    </row>
    <row r="217" spans="1:26" s="69" customFormat="1" ht="15" hidden="1" customHeight="1" outlineLevel="2" x14ac:dyDescent="0.3">
      <c r="A217" s="21"/>
      <c r="B217" s="9" t="str">
        <f>CONCATENATE("          ","6253"," - ","ROYALTY DUE ATHLETICS-LRG")</f>
        <v xml:space="preserve">          6253 - ROYALTY DUE ATHLETICS-LRG</v>
      </c>
      <c r="C217" s="9"/>
      <c r="D217" s="6"/>
      <c r="E217" s="3"/>
      <c r="F217" s="7">
        <f t="shared" si="36"/>
        <v>0</v>
      </c>
      <c r="G217" s="3"/>
      <c r="H217" s="6"/>
      <c r="I217" s="3"/>
      <c r="J217" s="7">
        <f t="shared" si="37"/>
        <v>0</v>
      </c>
      <c r="K217" s="3"/>
      <c r="L217" s="6">
        <f t="shared" si="38"/>
        <v>0</v>
      </c>
      <c r="M217" s="3"/>
      <c r="N217" s="7">
        <f t="shared" si="39"/>
        <v>0</v>
      </c>
      <c r="O217" s="9"/>
      <c r="P217" s="6">
        <v>51456.52</v>
      </c>
      <c r="Q217" s="3"/>
      <c r="R217" s="7">
        <f t="shared" si="40"/>
        <v>4.8115784453140178E-3</v>
      </c>
      <c r="S217" s="3"/>
      <c r="T217" s="6">
        <v>35159.06</v>
      </c>
      <c r="U217" s="3"/>
      <c r="V217" s="7">
        <f t="shared" si="41"/>
        <v>4.3346565916740562E-3</v>
      </c>
      <c r="W217" s="3"/>
      <c r="X217" s="6">
        <f t="shared" si="42"/>
        <v>16297.46</v>
      </c>
      <c r="Y217" s="3"/>
      <c r="Z217" s="7">
        <f t="shared" si="43"/>
        <v>0.46353514570639831</v>
      </c>
    </row>
    <row r="218" spans="1:26" s="69" customFormat="1" ht="15" hidden="1" customHeight="1" outlineLevel="2" x14ac:dyDescent="0.3">
      <c r="A218" s="21"/>
      <c r="B218" s="9" t="str">
        <f>CONCATENATE("          ","6254"," - ","ROYALTY &amp; COMMISSIONS")</f>
        <v xml:space="preserve">          6254 - ROYALTY &amp; COMMISSIONS</v>
      </c>
      <c r="C218" s="9"/>
      <c r="D218" s="6">
        <v>108</v>
      </c>
      <c r="E218" s="3"/>
      <c r="F218" s="7">
        <f t="shared" si="36"/>
        <v>1.563867161995526E-4</v>
      </c>
      <c r="G218" s="3"/>
      <c r="H218" s="6"/>
      <c r="I218" s="3"/>
      <c r="J218" s="7">
        <f t="shared" si="37"/>
        <v>0</v>
      </c>
      <c r="K218" s="3"/>
      <c r="L218" s="6">
        <f t="shared" si="38"/>
        <v>108</v>
      </c>
      <c r="M218" s="3"/>
      <c r="N218" s="7">
        <f t="shared" si="39"/>
        <v>0</v>
      </c>
      <c r="O218" s="9"/>
      <c r="P218" s="6">
        <v>20807.490000000002</v>
      </c>
      <c r="Q218" s="3"/>
      <c r="R218" s="7">
        <f t="shared" si="40"/>
        <v>1.9456595662723981E-3</v>
      </c>
      <c r="S218" s="3"/>
      <c r="T218" s="6"/>
      <c r="U218" s="3"/>
      <c r="V218" s="7">
        <f t="shared" si="41"/>
        <v>0</v>
      </c>
      <c r="W218" s="3"/>
      <c r="X218" s="6">
        <f t="shared" si="42"/>
        <v>20807.490000000002</v>
      </c>
      <c r="Y218" s="3"/>
      <c r="Z218" s="7">
        <f t="shared" si="43"/>
        <v>0</v>
      </c>
    </row>
    <row r="219" spans="1:26" s="69" customFormat="1" ht="15" hidden="1" customHeight="1" outlineLevel="2" x14ac:dyDescent="0.3">
      <c r="A219" s="21"/>
      <c r="B219" s="9" t="str">
        <f>CONCATENATE("          ","6259"," - ","ROYALTY &amp; COMMISSIONS")</f>
        <v xml:space="preserve">          6259 - ROYALTY &amp; COMMISSIONS</v>
      </c>
      <c r="C219" s="9"/>
      <c r="D219" s="6">
        <v>395.53</v>
      </c>
      <c r="E219" s="3"/>
      <c r="F219" s="7">
        <f t="shared" si="36"/>
        <v>5.7273738757786144E-4</v>
      </c>
      <c r="G219" s="3"/>
      <c r="H219" s="6">
        <v>2549.25</v>
      </c>
      <c r="I219" s="3"/>
      <c r="J219" s="7">
        <f t="shared" si="37"/>
        <v>7.7441000013092906E-3</v>
      </c>
      <c r="K219" s="3"/>
      <c r="L219" s="6">
        <f t="shared" si="38"/>
        <v>-2153.7200000000003</v>
      </c>
      <c r="M219" s="3"/>
      <c r="N219" s="7">
        <f t="shared" si="39"/>
        <v>-0.84484456212611558</v>
      </c>
      <c r="O219" s="9"/>
      <c r="P219" s="6">
        <v>13706.99</v>
      </c>
      <c r="Q219" s="3"/>
      <c r="R219" s="7">
        <f t="shared" si="40"/>
        <v>1.2817084722040043E-3</v>
      </c>
      <c r="S219" s="3"/>
      <c r="T219" s="6">
        <v>16177.12</v>
      </c>
      <c r="U219" s="3"/>
      <c r="V219" s="7">
        <f t="shared" si="41"/>
        <v>1.9944293118843966E-3</v>
      </c>
      <c r="W219" s="3"/>
      <c r="X219" s="6">
        <f t="shared" si="42"/>
        <v>-2470.130000000001</v>
      </c>
      <c r="Y219" s="3"/>
      <c r="Z219" s="7">
        <f t="shared" si="43"/>
        <v>-0.15269281553206016</v>
      </c>
    </row>
    <row r="220" spans="1:26" s="68" customFormat="1" ht="15" customHeight="1" outlineLevel="1" collapsed="1" x14ac:dyDescent="0.3">
      <c r="A220" s="20"/>
      <c r="B220" s="11" t="str">
        <f>CONCATENATE("     ","Services                                          ")</f>
        <v xml:space="preserve">     Services                                          </v>
      </c>
      <c r="C220" s="11"/>
      <c r="D220" s="2">
        <f>SUM(OSRRefD22_18x_0)</f>
        <v>8646.16</v>
      </c>
      <c r="E220" s="2"/>
      <c r="F220" s="5">
        <f t="shared" si="36"/>
        <v>1.2519857130888183E-2</v>
      </c>
      <c r="G220" s="2"/>
      <c r="H220" s="2">
        <f>SUM(OSRRefH22_18x_0)</f>
        <v>4588.32</v>
      </c>
      <c r="I220" s="2"/>
      <c r="J220" s="5">
        <f t="shared" si="37"/>
        <v>1.3938377529864644E-2</v>
      </c>
      <c r="K220" s="2"/>
      <c r="L220" s="2">
        <f t="shared" si="38"/>
        <v>4057.84</v>
      </c>
      <c r="M220" s="2"/>
      <c r="N220" s="5">
        <f t="shared" si="39"/>
        <v>0.88438469853889889</v>
      </c>
      <c r="O220" s="11"/>
      <c r="P220" s="2">
        <f>SUM(OSRRefP22_18x_0)</f>
        <v>70241.070000000007</v>
      </c>
      <c r="Q220" s="2"/>
      <c r="R220" s="5">
        <f t="shared" si="40"/>
        <v>6.5680776389035467E-3</v>
      </c>
      <c r="S220" s="2"/>
      <c r="T220" s="2">
        <f>SUM(OSRRefT22_18x_0)</f>
        <v>49029.62</v>
      </c>
      <c r="U220" s="2"/>
      <c r="V220" s="5">
        <f t="shared" si="41"/>
        <v>6.0447169384014862E-3</v>
      </c>
      <c r="W220" s="2"/>
      <c r="X220" s="2">
        <f t="shared" si="42"/>
        <v>21211.450000000004</v>
      </c>
      <c r="Y220" s="2"/>
      <c r="Z220" s="5">
        <f t="shared" si="43"/>
        <v>0.43262521716464464</v>
      </c>
    </row>
    <row r="221" spans="1:26" s="69" customFormat="1" ht="15" hidden="1" customHeight="1" outlineLevel="2" x14ac:dyDescent="0.3">
      <c r="A221" s="21"/>
      <c r="B221" s="9" t="str">
        <f>CONCATENATE("          ","6282"," - ","JANITORIAL/EXTERMINATOR EXPENS")</f>
        <v xml:space="preserve">          6282 - JANITORIAL/EXTERMINATOR EXPENS</v>
      </c>
      <c r="C221" s="9"/>
      <c r="D221" s="6">
        <v>350.3</v>
      </c>
      <c r="E221" s="3"/>
      <c r="F221" s="7">
        <f t="shared" si="36"/>
        <v>5.0724321004354885E-4</v>
      </c>
      <c r="G221" s="3"/>
      <c r="H221" s="6">
        <v>582</v>
      </c>
      <c r="I221" s="3"/>
      <c r="J221" s="7">
        <f t="shared" si="37"/>
        <v>1.7679969405754662E-3</v>
      </c>
      <c r="K221" s="3"/>
      <c r="L221" s="6">
        <f t="shared" si="38"/>
        <v>-231.7</v>
      </c>
      <c r="M221" s="3"/>
      <c r="N221" s="7">
        <f t="shared" si="39"/>
        <v>-0.39810996563573881</v>
      </c>
      <c r="O221" s="9"/>
      <c r="P221" s="6">
        <v>3549.63</v>
      </c>
      <c r="Q221" s="3"/>
      <c r="R221" s="7">
        <f t="shared" si="40"/>
        <v>3.3191757228899266E-4</v>
      </c>
      <c r="S221" s="3"/>
      <c r="T221" s="6">
        <v>8279.1200000000008</v>
      </c>
      <c r="U221" s="3"/>
      <c r="V221" s="7">
        <f t="shared" si="41"/>
        <v>1.020708235125186E-3</v>
      </c>
      <c r="W221" s="3"/>
      <c r="X221" s="6">
        <f t="shared" si="42"/>
        <v>-4729.4900000000007</v>
      </c>
      <c r="Y221" s="3"/>
      <c r="Z221" s="7">
        <f t="shared" si="43"/>
        <v>-0.57125515755297662</v>
      </c>
    </row>
    <row r="222" spans="1:26" s="69" customFormat="1" ht="15" hidden="1" customHeight="1" outlineLevel="2" x14ac:dyDescent="0.3">
      <c r="A222" s="21"/>
      <c r="B222" s="9" t="str">
        <f>CONCATENATE("          ","6283"," - ","PLANT SERVICE")</f>
        <v xml:space="preserve">          6283 - PLANT SERVICE</v>
      </c>
      <c r="C222" s="9"/>
      <c r="D222" s="6"/>
      <c r="E222" s="3"/>
      <c r="F222" s="7">
        <f t="shared" ref="F222:F246" si="44">IF(D$12=0,0,D222/D$12)</f>
        <v>0</v>
      </c>
      <c r="G222" s="3"/>
      <c r="H222" s="6"/>
      <c r="I222" s="3"/>
      <c r="J222" s="7">
        <f t="shared" ref="J222:J246" si="45">IF(H$12=0,0,H222/H$12)</f>
        <v>0</v>
      </c>
      <c r="K222" s="3"/>
      <c r="L222" s="6">
        <f t="shared" ref="L222:L246" si="46">+D222-H222</f>
        <v>0</v>
      </c>
      <c r="M222" s="3"/>
      <c r="N222" s="7">
        <f t="shared" ref="N222:N246" si="47">IF(H222=0,0,L222/H222)</f>
        <v>0</v>
      </c>
      <c r="O222" s="9"/>
      <c r="P222" s="6"/>
      <c r="Q222" s="3"/>
      <c r="R222" s="7">
        <f t="shared" ref="R222:R246" si="48">IF(P$12=0,0,P222/P$12)</f>
        <v>0</v>
      </c>
      <c r="S222" s="3"/>
      <c r="T222" s="6">
        <v>171.31</v>
      </c>
      <c r="U222" s="3"/>
      <c r="V222" s="7">
        <f t="shared" ref="V222:V246" si="49">IF(T$12=0,0,T222/T$12)</f>
        <v>2.112030357807298E-5</v>
      </c>
      <c r="W222" s="3"/>
      <c r="X222" s="6">
        <f t="shared" ref="X222:X246" si="50">+P222-T222</f>
        <v>-171.31</v>
      </c>
      <c r="Y222" s="3"/>
      <c r="Z222" s="7">
        <f t="shared" ref="Z222:Z246" si="51">IF(T222=0,0,X222/T222)</f>
        <v>-1</v>
      </c>
    </row>
    <row r="223" spans="1:26" s="69" customFormat="1" ht="15" hidden="1" customHeight="1" outlineLevel="2" x14ac:dyDescent="0.3">
      <c r="A223" s="21"/>
      <c r="B223" s="9" t="str">
        <f>CONCATENATE("          ","6284"," - ","TRASH REMOVAL EXPENSE")</f>
        <v xml:space="preserve">          6284 - TRASH REMOVAL EXPENSE</v>
      </c>
      <c r="C223" s="9"/>
      <c r="D223" s="6">
        <v>149.69999999999999</v>
      </c>
      <c r="E223" s="3"/>
      <c r="F223" s="7">
        <f t="shared" si="44"/>
        <v>2.1676936495437985E-4</v>
      </c>
      <c r="G223" s="3"/>
      <c r="H223" s="6">
        <v>142.57</v>
      </c>
      <c r="I223" s="3"/>
      <c r="J223" s="7">
        <f t="shared" si="45"/>
        <v>4.3309849453237835E-4</v>
      </c>
      <c r="K223" s="3"/>
      <c r="L223" s="6">
        <f t="shared" si="46"/>
        <v>7.1299999999999955</v>
      </c>
      <c r="M223" s="3"/>
      <c r="N223" s="7">
        <f t="shared" si="47"/>
        <v>5.0010521147506461E-2</v>
      </c>
      <c r="O223" s="9"/>
      <c r="P223" s="6">
        <v>1639.57</v>
      </c>
      <c r="Q223" s="3"/>
      <c r="R223" s="7">
        <f t="shared" si="48"/>
        <v>1.5331234353942909E-4</v>
      </c>
      <c r="S223" s="3"/>
      <c r="T223" s="6">
        <v>1725.86</v>
      </c>
      <c r="U223" s="3"/>
      <c r="V223" s="7">
        <f t="shared" si="49"/>
        <v>2.1277617846741597E-4</v>
      </c>
      <c r="W223" s="3"/>
      <c r="X223" s="6">
        <f t="shared" si="50"/>
        <v>-86.289999999999964</v>
      </c>
      <c r="Y223" s="3"/>
      <c r="Z223" s="7">
        <f t="shared" si="51"/>
        <v>-4.9998261736177885E-2</v>
      </c>
    </row>
    <row r="224" spans="1:26" s="69" customFormat="1" ht="15" hidden="1" customHeight="1" outlineLevel="2" x14ac:dyDescent="0.3">
      <c r="A224" s="21"/>
      <c r="B224" s="9" t="str">
        <f>CONCATENATE("          ","6285"," - ","JANITORIAL SERVICES")</f>
        <v xml:space="preserve">          6285 - JANITORIAL SERVICES</v>
      </c>
      <c r="C224" s="9"/>
      <c r="D224" s="6">
        <v>8146.16</v>
      </c>
      <c r="E224" s="3"/>
      <c r="F224" s="7">
        <f t="shared" si="44"/>
        <v>1.1795844555890254E-2</v>
      </c>
      <c r="G224" s="3"/>
      <c r="H224" s="6">
        <v>3863.75</v>
      </c>
      <c r="I224" s="3"/>
      <c r="J224" s="7">
        <f t="shared" si="45"/>
        <v>1.17372820947568E-2</v>
      </c>
      <c r="K224" s="3"/>
      <c r="L224" s="6">
        <f t="shared" si="46"/>
        <v>4282.41</v>
      </c>
      <c r="M224" s="3"/>
      <c r="N224" s="7">
        <f t="shared" si="47"/>
        <v>1.1083558718861211</v>
      </c>
      <c r="O224" s="9"/>
      <c r="P224" s="6">
        <v>65051.87</v>
      </c>
      <c r="Q224" s="3"/>
      <c r="R224" s="7">
        <f t="shared" si="48"/>
        <v>6.0828477230751247E-3</v>
      </c>
      <c r="S224" s="3"/>
      <c r="T224" s="6">
        <v>38853.33</v>
      </c>
      <c r="U224" s="3"/>
      <c r="V224" s="7">
        <f t="shared" si="49"/>
        <v>4.7901122212308115E-3</v>
      </c>
      <c r="W224" s="3"/>
      <c r="X224" s="6">
        <f t="shared" si="50"/>
        <v>26198.54</v>
      </c>
      <c r="Y224" s="3"/>
      <c r="Z224" s="7">
        <f t="shared" si="51"/>
        <v>0.6742932973827469</v>
      </c>
    </row>
    <row r="225" spans="1:26" s="68" customFormat="1" ht="15" customHeight="1" outlineLevel="1" collapsed="1" x14ac:dyDescent="0.3">
      <c r="A225" s="20"/>
      <c r="B225" s="11" t="str">
        <f>CONCATENATE("     ","Subscriptions &amp; Dues                              ")</f>
        <v xml:space="preserve">     Subscriptions &amp; Dues                              </v>
      </c>
      <c r="C225" s="11"/>
      <c r="D225" s="2">
        <f>SUM(OSRRefD22_19x_0)</f>
        <v>272.35000000000002</v>
      </c>
      <c r="E225" s="2"/>
      <c r="F225" s="5">
        <f t="shared" si="44"/>
        <v>3.9436964960137182E-4</v>
      </c>
      <c r="G225" s="2"/>
      <c r="H225" s="2">
        <f>SUM(OSRRefH22_19x_0)</f>
        <v>694</v>
      </c>
      <c r="I225" s="2"/>
      <c r="J225" s="5">
        <f t="shared" si="45"/>
        <v>2.1082300287961746E-3</v>
      </c>
      <c r="K225" s="2"/>
      <c r="L225" s="2">
        <f t="shared" si="46"/>
        <v>-421.65</v>
      </c>
      <c r="M225" s="2"/>
      <c r="N225" s="5">
        <f t="shared" si="47"/>
        <v>-0.60756484149855905</v>
      </c>
      <c r="O225" s="11"/>
      <c r="P225" s="2">
        <f>SUM(OSRRefP22_19x_0)</f>
        <v>7455.8799999999992</v>
      </c>
      <c r="Q225" s="2"/>
      <c r="R225" s="5">
        <f t="shared" si="48"/>
        <v>6.9718184398882539E-4</v>
      </c>
      <c r="S225" s="2"/>
      <c r="T225" s="2">
        <f>SUM(OSRRefT22_19x_0)</f>
        <v>8125.3499999999995</v>
      </c>
      <c r="U225" s="2"/>
      <c r="V225" s="5">
        <f t="shared" si="49"/>
        <v>1.0017503863060842E-3</v>
      </c>
      <c r="W225" s="2"/>
      <c r="X225" s="2">
        <f t="shared" si="50"/>
        <v>-669.47000000000025</v>
      </c>
      <c r="Y225" s="2"/>
      <c r="Z225" s="5">
        <f t="shared" si="51"/>
        <v>-8.2392758465789209E-2</v>
      </c>
    </row>
    <row r="226" spans="1:26" s="69" customFormat="1" ht="15" hidden="1" customHeight="1" outlineLevel="2" x14ac:dyDescent="0.3">
      <c r="A226" s="21"/>
      <c r="B226" s="9" t="str">
        <f>CONCATENATE("          ","6258"," - ","MEMBERSHIP DUES")</f>
        <v xml:space="preserve">          6258 - MEMBERSHIP DUES</v>
      </c>
      <c r="C226" s="9"/>
      <c r="D226" s="6">
        <v>272.35000000000002</v>
      </c>
      <c r="E226" s="3"/>
      <c r="F226" s="7">
        <f t="shared" si="44"/>
        <v>3.9436964960137182E-4</v>
      </c>
      <c r="G226" s="3"/>
      <c r="H226" s="6">
        <v>609</v>
      </c>
      <c r="I226" s="3"/>
      <c r="J226" s="7">
        <f t="shared" si="45"/>
        <v>1.8500174172001011E-3</v>
      </c>
      <c r="K226" s="3"/>
      <c r="L226" s="6">
        <f t="shared" si="46"/>
        <v>-336.65</v>
      </c>
      <c r="M226" s="3"/>
      <c r="N226" s="7">
        <f t="shared" si="47"/>
        <v>-0.55279146141215108</v>
      </c>
      <c r="O226" s="9"/>
      <c r="P226" s="6">
        <v>4104.49</v>
      </c>
      <c r="Q226" s="3"/>
      <c r="R226" s="7">
        <f t="shared" si="48"/>
        <v>3.8380122894060716E-4</v>
      </c>
      <c r="S226" s="3"/>
      <c r="T226" s="6">
        <v>3655.45</v>
      </c>
      <c r="U226" s="3"/>
      <c r="V226" s="7">
        <f t="shared" si="49"/>
        <v>4.5066962649271421E-4</v>
      </c>
      <c r="W226" s="3"/>
      <c r="X226" s="6">
        <f t="shared" si="50"/>
        <v>449.03999999999996</v>
      </c>
      <c r="Y226" s="3"/>
      <c r="Z226" s="7">
        <f t="shared" si="51"/>
        <v>0.12284123705699708</v>
      </c>
    </row>
    <row r="227" spans="1:26" s="69" customFormat="1" ht="15" hidden="1" customHeight="1" outlineLevel="2" x14ac:dyDescent="0.3">
      <c r="A227" s="21"/>
      <c r="B227" s="9" t="str">
        <f>CONCATENATE("          ","6275"," - ","SUBSCRIPTIONS")</f>
        <v xml:space="preserve">          6275 - SUBSCRIPTIONS</v>
      </c>
      <c r="C227" s="9"/>
      <c r="D227" s="6"/>
      <c r="E227" s="3"/>
      <c r="F227" s="7">
        <f t="shared" si="44"/>
        <v>0</v>
      </c>
      <c r="G227" s="3"/>
      <c r="H227" s="6">
        <v>85</v>
      </c>
      <c r="I227" s="3"/>
      <c r="J227" s="7">
        <f t="shared" si="45"/>
        <v>2.5821261159607322E-4</v>
      </c>
      <c r="K227" s="3"/>
      <c r="L227" s="6">
        <f t="shared" si="46"/>
        <v>-85</v>
      </c>
      <c r="M227" s="3"/>
      <c r="N227" s="7">
        <f t="shared" si="47"/>
        <v>-1</v>
      </c>
      <c r="O227" s="9"/>
      <c r="P227" s="6">
        <v>3351.39</v>
      </c>
      <c r="Q227" s="3"/>
      <c r="R227" s="7">
        <f t="shared" si="48"/>
        <v>3.1338061504821829E-4</v>
      </c>
      <c r="S227" s="3"/>
      <c r="T227" s="6">
        <v>4469.8999999999996</v>
      </c>
      <c r="U227" s="3"/>
      <c r="V227" s="7">
        <f t="shared" si="49"/>
        <v>5.5108075981337001E-4</v>
      </c>
      <c r="W227" s="3"/>
      <c r="X227" s="6">
        <f t="shared" si="50"/>
        <v>-1118.5099999999998</v>
      </c>
      <c r="Y227" s="3"/>
      <c r="Z227" s="7">
        <f t="shared" si="51"/>
        <v>-0.25023154880422377</v>
      </c>
    </row>
    <row r="228" spans="1:26" s="68" customFormat="1" ht="15" customHeight="1" outlineLevel="1" collapsed="1" x14ac:dyDescent="0.3">
      <c r="A228" s="20"/>
      <c r="B228" s="11" t="str">
        <f>CONCATENATE("     ","Supplies                                          ")</f>
        <v xml:space="preserve">     Supplies                                          </v>
      </c>
      <c r="C228" s="11"/>
      <c r="D228" s="2">
        <f>SUM(OSRRefD22_20x_0)</f>
        <v>38290.67</v>
      </c>
      <c r="E228" s="2"/>
      <c r="F228" s="5">
        <f t="shared" si="44"/>
        <v>5.5445853170191878E-2</v>
      </c>
      <c r="G228" s="2"/>
      <c r="H228" s="2">
        <f>SUM(OSRRefH22_20x_0)</f>
        <v>14076.04</v>
      </c>
      <c r="I228" s="2"/>
      <c r="J228" s="5">
        <f t="shared" si="45"/>
        <v>4.2760129992126951E-2</v>
      </c>
      <c r="K228" s="2"/>
      <c r="L228" s="2">
        <f t="shared" si="46"/>
        <v>24214.629999999997</v>
      </c>
      <c r="M228" s="2"/>
      <c r="N228" s="5">
        <f t="shared" si="47"/>
        <v>1.7202728892501014</v>
      </c>
      <c r="O228" s="11"/>
      <c r="P228" s="2">
        <f>SUM(OSRRefP22_20x_0)</f>
        <v>159479.71</v>
      </c>
      <c r="Q228" s="2"/>
      <c r="R228" s="5">
        <f t="shared" si="48"/>
        <v>1.4912573471756939E-2</v>
      </c>
      <c r="S228" s="2"/>
      <c r="T228" s="2">
        <f>SUM(OSRRefT22_20x_0)</f>
        <v>140007.10999999999</v>
      </c>
      <c r="U228" s="2"/>
      <c r="V228" s="5">
        <f t="shared" si="49"/>
        <v>1.726106278844584E-2</v>
      </c>
      <c r="W228" s="2"/>
      <c r="X228" s="2">
        <f t="shared" si="50"/>
        <v>19472.600000000006</v>
      </c>
      <c r="Y228" s="2"/>
      <c r="Z228" s="5">
        <f t="shared" si="51"/>
        <v>0.1390829365737212</v>
      </c>
    </row>
    <row r="229" spans="1:26" s="69" customFormat="1" ht="15" hidden="1" customHeight="1" outlineLevel="2" x14ac:dyDescent="0.3">
      <c r="A229" s="21"/>
      <c r="B229" s="9" t="str">
        <f>CONCATENATE("          ","6234"," - ","EXPENDABLE SUPPLIES &amp; EQUIPMEN")</f>
        <v xml:space="preserve">          6234 - EXPENDABLE SUPPLIES &amp; EQUIPMEN</v>
      </c>
      <c r="C229" s="9"/>
      <c r="D229" s="6"/>
      <c r="E229" s="3"/>
      <c r="F229" s="7">
        <f t="shared" si="44"/>
        <v>0</v>
      </c>
      <c r="G229" s="3"/>
      <c r="H229" s="6"/>
      <c r="I229" s="3"/>
      <c r="J229" s="7">
        <f t="shared" si="45"/>
        <v>0</v>
      </c>
      <c r="K229" s="3"/>
      <c r="L229" s="6">
        <f t="shared" si="46"/>
        <v>0</v>
      </c>
      <c r="M229" s="3"/>
      <c r="N229" s="7">
        <f t="shared" si="47"/>
        <v>0</v>
      </c>
      <c r="O229" s="9"/>
      <c r="P229" s="6">
        <v>10282.879999999999</v>
      </c>
      <c r="Q229" s="3"/>
      <c r="R229" s="7">
        <f t="shared" si="48"/>
        <v>9.6152798058925487E-4</v>
      </c>
      <c r="S229" s="3"/>
      <c r="T229" s="6">
        <v>1733.65</v>
      </c>
      <c r="U229" s="3"/>
      <c r="V229" s="7">
        <f t="shared" si="49"/>
        <v>2.137365845433788E-4</v>
      </c>
      <c r="W229" s="3"/>
      <c r="X229" s="6">
        <f t="shared" si="50"/>
        <v>8549.23</v>
      </c>
      <c r="Y229" s="3"/>
      <c r="Z229" s="7">
        <f t="shared" si="51"/>
        <v>4.9313471577307988</v>
      </c>
    </row>
    <row r="230" spans="1:26" s="69" customFormat="1" ht="15" hidden="1" customHeight="1" outlineLevel="2" x14ac:dyDescent="0.3">
      <c r="A230" s="21"/>
      <c r="B230" s="9" t="str">
        <f>CONCATENATE("          ","6235"," - ","COVID-19 EXPENSES")</f>
        <v xml:space="preserve">          6235 - COVID-19 EXPENSES</v>
      </c>
      <c r="C230" s="9"/>
      <c r="D230" s="6"/>
      <c r="E230" s="3"/>
      <c r="F230" s="7">
        <f t="shared" si="44"/>
        <v>0</v>
      </c>
      <c r="G230" s="3"/>
      <c r="H230" s="6">
        <v>957.91</v>
      </c>
      <c r="I230" s="3"/>
      <c r="J230" s="7">
        <f t="shared" si="45"/>
        <v>2.9099346208705237E-3</v>
      </c>
      <c r="K230" s="3"/>
      <c r="L230" s="6">
        <f t="shared" si="46"/>
        <v>-957.91</v>
      </c>
      <c r="M230" s="3"/>
      <c r="N230" s="7">
        <f t="shared" si="47"/>
        <v>-1</v>
      </c>
      <c r="O230" s="9"/>
      <c r="P230" s="6">
        <v>3586.32</v>
      </c>
      <c r="Q230" s="3"/>
      <c r="R230" s="7">
        <f t="shared" si="48"/>
        <v>3.3534836809793138E-4</v>
      </c>
      <c r="S230" s="3"/>
      <c r="T230" s="6">
        <v>45624.09</v>
      </c>
      <c r="U230" s="3"/>
      <c r="V230" s="7">
        <f t="shared" si="49"/>
        <v>5.6248592100480044E-3</v>
      </c>
      <c r="W230" s="3"/>
      <c r="X230" s="6">
        <f t="shared" si="50"/>
        <v>-42037.77</v>
      </c>
      <c r="Y230" s="3"/>
      <c r="Z230" s="7">
        <f t="shared" si="51"/>
        <v>-0.92139415821773107</v>
      </c>
    </row>
    <row r="231" spans="1:26" s="69" customFormat="1" ht="15" hidden="1" customHeight="1" outlineLevel="2" x14ac:dyDescent="0.3">
      <c r="A231" s="21"/>
      <c r="B231" s="9" t="str">
        <f>CONCATENATE("          ","6237"," - ","JANITORIAL SUPPLIES")</f>
        <v xml:space="preserve">          6237 - JANITORIAL SUPPLIES</v>
      </c>
      <c r="C231" s="9"/>
      <c r="D231" s="6">
        <v>1431.01</v>
      </c>
      <c r="E231" s="3"/>
      <c r="F231" s="7">
        <f t="shared" si="44"/>
        <v>2.072138469895572E-3</v>
      </c>
      <c r="G231" s="3"/>
      <c r="H231" s="6">
        <v>321.05</v>
      </c>
      <c r="I231" s="3"/>
      <c r="J231" s="7">
        <f t="shared" si="45"/>
        <v>9.7528422297552138E-4</v>
      </c>
      <c r="K231" s="3"/>
      <c r="L231" s="6">
        <f t="shared" si="46"/>
        <v>1109.96</v>
      </c>
      <c r="M231" s="3"/>
      <c r="N231" s="7">
        <f t="shared" si="47"/>
        <v>3.4572807973835853</v>
      </c>
      <c r="O231" s="9"/>
      <c r="P231" s="6">
        <v>8079.26</v>
      </c>
      <c r="Q231" s="3"/>
      <c r="R231" s="7">
        <f t="shared" si="48"/>
        <v>7.5547264506203946E-4</v>
      </c>
      <c r="S231" s="3"/>
      <c r="T231" s="6">
        <v>4201.33</v>
      </c>
      <c r="U231" s="3"/>
      <c r="V231" s="7">
        <f t="shared" si="49"/>
        <v>5.1796955829586924E-4</v>
      </c>
      <c r="W231" s="3"/>
      <c r="X231" s="6">
        <f t="shared" si="50"/>
        <v>3877.9300000000003</v>
      </c>
      <c r="Y231" s="3"/>
      <c r="Z231" s="7">
        <f t="shared" si="51"/>
        <v>0.92302437561438888</v>
      </c>
    </row>
    <row r="232" spans="1:26" s="69" customFormat="1" ht="15" hidden="1" customHeight="1" outlineLevel="2" x14ac:dyDescent="0.3">
      <c r="A232" s="21"/>
      <c r="B232" s="9" t="str">
        <f>CONCATENATE("          ","6241"," - ","OFFICE EXPENSE")</f>
        <v xml:space="preserve">          6241 - OFFICE EXPENSE</v>
      </c>
      <c r="C232" s="9"/>
      <c r="D232" s="6">
        <v>4537.0200000000004</v>
      </c>
      <c r="E232" s="3"/>
      <c r="F232" s="7">
        <f t="shared" si="44"/>
        <v>6.5697190660342058E-3</v>
      </c>
      <c r="G232" s="3"/>
      <c r="H232" s="6">
        <v>1105.0899999999999</v>
      </c>
      <c r="I232" s="3"/>
      <c r="J232" s="7">
        <f t="shared" si="45"/>
        <v>3.3570373523377005E-3</v>
      </c>
      <c r="K232" s="3"/>
      <c r="L232" s="6">
        <f t="shared" si="46"/>
        <v>3431.9300000000003</v>
      </c>
      <c r="M232" s="3"/>
      <c r="N232" s="7">
        <f t="shared" si="47"/>
        <v>3.105566062492648</v>
      </c>
      <c r="O232" s="9"/>
      <c r="P232" s="6">
        <v>24392.47</v>
      </c>
      <c r="Q232" s="3"/>
      <c r="R232" s="7">
        <f t="shared" si="48"/>
        <v>2.2808826341145657E-3</v>
      </c>
      <c r="S232" s="3"/>
      <c r="T232" s="6">
        <v>13741.22</v>
      </c>
      <c r="U232" s="3"/>
      <c r="V232" s="7">
        <f t="shared" si="49"/>
        <v>1.6941144004032922E-3</v>
      </c>
      <c r="W232" s="3"/>
      <c r="X232" s="6">
        <f t="shared" si="50"/>
        <v>10651.250000000002</v>
      </c>
      <c r="Y232" s="3"/>
      <c r="Z232" s="7">
        <f t="shared" si="51"/>
        <v>0.77513132021756459</v>
      </c>
    </row>
    <row r="233" spans="1:26" s="69" customFormat="1" ht="15" hidden="1" customHeight="1" outlineLevel="2" x14ac:dyDescent="0.3">
      <c r="A233" s="21"/>
      <c r="B233" s="9" t="str">
        <f>CONCATENATE("          ","6243"," - ","PAPER SUPPLIES")</f>
        <v xml:space="preserve">          6243 - PAPER SUPPLIES</v>
      </c>
      <c r="C233" s="9"/>
      <c r="D233" s="6">
        <v>742</v>
      </c>
      <c r="E233" s="3"/>
      <c r="F233" s="7">
        <f t="shared" si="44"/>
        <v>1.0744346612969263E-3</v>
      </c>
      <c r="G233" s="3"/>
      <c r="H233" s="6">
        <v>548.02</v>
      </c>
      <c r="I233" s="3"/>
      <c r="J233" s="7">
        <f t="shared" si="45"/>
        <v>1.6647726518456477E-3</v>
      </c>
      <c r="K233" s="3"/>
      <c r="L233" s="6">
        <f t="shared" si="46"/>
        <v>193.98000000000002</v>
      </c>
      <c r="M233" s="3"/>
      <c r="N233" s="7">
        <f t="shared" si="47"/>
        <v>0.35396518375241787</v>
      </c>
      <c r="O233" s="9"/>
      <c r="P233" s="6">
        <v>10832.94</v>
      </c>
      <c r="Q233" s="3"/>
      <c r="R233" s="7">
        <f t="shared" si="48"/>
        <v>1.0129628005038048E-3</v>
      </c>
      <c r="S233" s="3"/>
      <c r="T233" s="6">
        <v>7230.6</v>
      </c>
      <c r="U233" s="3"/>
      <c r="V233" s="7">
        <f t="shared" si="49"/>
        <v>8.9143930331921377E-4</v>
      </c>
      <c r="W233" s="3"/>
      <c r="X233" s="6">
        <f t="shared" si="50"/>
        <v>3602.34</v>
      </c>
      <c r="Y233" s="3"/>
      <c r="Z233" s="7">
        <f t="shared" si="51"/>
        <v>0.49820761762509336</v>
      </c>
    </row>
    <row r="234" spans="1:26" s="69" customFormat="1" ht="15" hidden="1" customHeight="1" outlineLevel="2" x14ac:dyDescent="0.3">
      <c r="A234" s="21"/>
      <c r="B234" s="9" t="str">
        <f>CONCATENATE("          ","6245"," - ","PRINTING")</f>
        <v xml:space="preserve">          6245 - PRINTING</v>
      </c>
      <c r="C234" s="9"/>
      <c r="D234" s="6">
        <v>4642.3999999999996</v>
      </c>
      <c r="E234" s="3"/>
      <c r="F234" s="7">
        <f t="shared" si="44"/>
        <v>6.7223119563407678E-3</v>
      </c>
      <c r="G234" s="3"/>
      <c r="H234" s="6">
        <v>2921.89</v>
      </c>
      <c r="I234" s="3"/>
      <c r="J234" s="7">
        <f t="shared" si="45"/>
        <v>8.8761040905464758E-3</v>
      </c>
      <c r="K234" s="3"/>
      <c r="L234" s="6">
        <f t="shared" si="46"/>
        <v>1720.5099999999998</v>
      </c>
      <c r="M234" s="3"/>
      <c r="N234" s="7">
        <f t="shared" si="47"/>
        <v>0.58883462416449617</v>
      </c>
      <c r="O234" s="9"/>
      <c r="P234" s="6">
        <v>16345.8</v>
      </c>
      <c r="Q234" s="3"/>
      <c r="R234" s="7">
        <f t="shared" si="48"/>
        <v>1.5284574034818885E-3</v>
      </c>
      <c r="S234" s="3"/>
      <c r="T234" s="6">
        <v>12006.27</v>
      </c>
      <c r="U234" s="3"/>
      <c r="V234" s="7">
        <f t="shared" si="49"/>
        <v>1.480217542702179E-3</v>
      </c>
      <c r="W234" s="3"/>
      <c r="X234" s="6">
        <f t="shared" si="50"/>
        <v>4339.5299999999988</v>
      </c>
      <c r="Y234" s="3"/>
      <c r="Z234" s="7">
        <f t="shared" si="51"/>
        <v>0.36143864830625988</v>
      </c>
    </row>
    <row r="235" spans="1:26" s="69" customFormat="1" ht="15" hidden="1" customHeight="1" outlineLevel="2" x14ac:dyDescent="0.3">
      <c r="A235" s="21"/>
      <c r="B235" s="9" t="str">
        <f>CONCATENATE("          ","6247"," - ","STORE SUPPLIES")</f>
        <v xml:space="preserve">          6247 - STORE SUPPLIES</v>
      </c>
      <c r="C235" s="9"/>
      <c r="D235" s="6">
        <v>26938.240000000002</v>
      </c>
      <c r="E235" s="3"/>
      <c r="F235" s="7">
        <f t="shared" si="44"/>
        <v>3.9007249016624411E-2</v>
      </c>
      <c r="G235" s="3"/>
      <c r="H235" s="6">
        <v>8222.08</v>
      </c>
      <c r="I235" s="3"/>
      <c r="J235" s="7">
        <f t="shared" si="45"/>
        <v>2.4976997053551081E-2</v>
      </c>
      <c r="K235" s="3"/>
      <c r="L235" s="6">
        <f t="shared" si="46"/>
        <v>18716.160000000003</v>
      </c>
      <c r="M235" s="3"/>
      <c r="N235" s="7">
        <f t="shared" si="47"/>
        <v>2.2763291040709897</v>
      </c>
      <c r="O235" s="9"/>
      <c r="P235" s="6">
        <v>85960.04</v>
      </c>
      <c r="Q235" s="3"/>
      <c r="R235" s="7">
        <f t="shared" si="48"/>
        <v>8.0379216399074551E-3</v>
      </c>
      <c r="S235" s="3"/>
      <c r="T235" s="6">
        <v>55469.95</v>
      </c>
      <c r="U235" s="3"/>
      <c r="V235" s="7">
        <f t="shared" si="49"/>
        <v>6.8387261891339054E-3</v>
      </c>
      <c r="W235" s="3"/>
      <c r="X235" s="6">
        <f t="shared" si="50"/>
        <v>30490.089999999997</v>
      </c>
      <c r="Y235" s="3"/>
      <c r="Z235" s="7">
        <f t="shared" si="51"/>
        <v>0.54966860435244669</v>
      </c>
    </row>
    <row r="236" spans="1:26" s="68" customFormat="1" ht="15" customHeight="1" outlineLevel="1" collapsed="1" x14ac:dyDescent="0.3">
      <c r="A236" s="20"/>
      <c r="B236" s="11" t="str">
        <f>CONCATENATE("     ","Telephone/Data Lines                              ")</f>
        <v xml:space="preserve">     Telephone/Data Lines                              </v>
      </c>
      <c r="C236" s="11"/>
      <c r="D236" s="2">
        <f>SUM(OSRRefD22_21x_0)</f>
        <v>1335.18</v>
      </c>
      <c r="E236" s="2"/>
      <c r="F236" s="5">
        <f t="shared" si="44"/>
        <v>1.9333742197714691E-3</v>
      </c>
      <c r="G236" s="2"/>
      <c r="H236" s="2">
        <f>SUM(OSRRefH22_21x_0)</f>
        <v>2918.02</v>
      </c>
      <c r="I236" s="2"/>
      <c r="J236" s="5">
        <f t="shared" si="45"/>
        <v>8.8643478222302785E-3</v>
      </c>
      <c r="K236" s="2"/>
      <c r="L236" s="2">
        <f t="shared" si="46"/>
        <v>-1582.84</v>
      </c>
      <c r="M236" s="2"/>
      <c r="N236" s="5">
        <f t="shared" si="47"/>
        <v>-0.54243630955236766</v>
      </c>
      <c r="O236" s="11"/>
      <c r="P236" s="2">
        <f>SUM(OSRRefP22_21x_0)</f>
        <v>23498.89</v>
      </c>
      <c r="Q236" s="2"/>
      <c r="R236" s="5">
        <f t="shared" si="48"/>
        <v>2.1973260650507481E-3</v>
      </c>
      <c r="S236" s="2"/>
      <c r="T236" s="2">
        <f>SUM(OSRRefT22_21x_0)</f>
        <v>29861.55</v>
      </c>
      <c r="U236" s="2"/>
      <c r="V236" s="5">
        <f t="shared" si="49"/>
        <v>3.6815422410355798E-3</v>
      </c>
      <c r="W236" s="2"/>
      <c r="X236" s="2">
        <f t="shared" si="50"/>
        <v>-6362.66</v>
      </c>
      <c r="Y236" s="2"/>
      <c r="Z236" s="5">
        <f t="shared" si="51"/>
        <v>-0.21307199391860102</v>
      </c>
    </row>
    <row r="237" spans="1:26" s="69" customFormat="1" ht="15" hidden="1" customHeight="1" outlineLevel="2" x14ac:dyDescent="0.3">
      <c r="A237" s="21"/>
      <c r="B237" s="9" t="str">
        <f>CONCATENATE("          ","6303"," - ","DATA PHONE LINES")</f>
        <v xml:space="preserve">          6303 - DATA PHONE LINES</v>
      </c>
      <c r="C237" s="9"/>
      <c r="D237" s="6"/>
      <c r="E237" s="3"/>
      <c r="F237" s="7">
        <f t="shared" si="44"/>
        <v>0</v>
      </c>
      <c r="G237" s="3"/>
      <c r="H237" s="6"/>
      <c r="I237" s="3"/>
      <c r="J237" s="7">
        <f t="shared" si="45"/>
        <v>0</v>
      </c>
      <c r="K237" s="3"/>
      <c r="L237" s="6">
        <f t="shared" si="46"/>
        <v>0</v>
      </c>
      <c r="M237" s="3"/>
      <c r="N237" s="7">
        <f t="shared" si="47"/>
        <v>0</v>
      </c>
      <c r="O237" s="9"/>
      <c r="P237" s="6">
        <v>295</v>
      </c>
      <c r="Q237" s="3"/>
      <c r="R237" s="7">
        <f t="shared" si="48"/>
        <v>2.7584757798771374E-5</v>
      </c>
      <c r="S237" s="3"/>
      <c r="T237" s="6">
        <v>3540</v>
      </c>
      <c r="U237" s="3"/>
      <c r="V237" s="7">
        <f t="shared" si="49"/>
        <v>4.3643613721544772E-4</v>
      </c>
      <c r="W237" s="3"/>
      <c r="X237" s="6">
        <f t="shared" si="50"/>
        <v>-3245</v>
      </c>
      <c r="Y237" s="3"/>
      <c r="Z237" s="7">
        <f t="shared" si="51"/>
        <v>-0.91666666666666663</v>
      </c>
    </row>
    <row r="238" spans="1:26" s="69" customFormat="1" ht="15" hidden="1" customHeight="1" outlineLevel="2" x14ac:dyDescent="0.3">
      <c r="A238" s="21"/>
      <c r="B238" s="9" t="str">
        <f>CONCATENATE("          ","6309"," - ","TELEPHONE")</f>
        <v xml:space="preserve">          6309 - TELEPHONE</v>
      </c>
      <c r="C238" s="9"/>
      <c r="D238" s="6">
        <v>1335.18</v>
      </c>
      <c r="E238" s="3"/>
      <c r="F238" s="7">
        <f t="shared" si="44"/>
        <v>1.9333742197714691E-3</v>
      </c>
      <c r="G238" s="3"/>
      <c r="H238" s="6">
        <v>2918.02</v>
      </c>
      <c r="I238" s="3"/>
      <c r="J238" s="7">
        <f t="shared" si="45"/>
        <v>8.8643478222302785E-3</v>
      </c>
      <c r="K238" s="3"/>
      <c r="L238" s="6">
        <f t="shared" si="46"/>
        <v>-1582.84</v>
      </c>
      <c r="M238" s="3"/>
      <c r="N238" s="7">
        <f t="shared" si="47"/>
        <v>-0.54243630955236766</v>
      </c>
      <c r="O238" s="9"/>
      <c r="P238" s="6">
        <v>23203.89</v>
      </c>
      <c r="Q238" s="3"/>
      <c r="R238" s="7">
        <f t="shared" si="48"/>
        <v>2.1697413072519767E-3</v>
      </c>
      <c r="S238" s="3"/>
      <c r="T238" s="6">
        <v>26321.55</v>
      </c>
      <c r="U238" s="3"/>
      <c r="V238" s="7">
        <f t="shared" si="49"/>
        <v>3.2451061038201324E-3</v>
      </c>
      <c r="W238" s="3"/>
      <c r="X238" s="6">
        <f t="shared" si="50"/>
        <v>-3117.66</v>
      </c>
      <c r="Y238" s="3"/>
      <c r="Z238" s="7">
        <f t="shared" si="51"/>
        <v>-0.11844515235614923</v>
      </c>
    </row>
    <row r="239" spans="1:26" s="68" customFormat="1" ht="15" customHeight="1" outlineLevel="1" collapsed="1" x14ac:dyDescent="0.3">
      <c r="A239" s="20"/>
      <c r="B239" s="11" t="str">
        <f>CONCATENATE("     ","Training                                          ")</f>
        <v xml:space="preserve">     Training                                          </v>
      </c>
      <c r="C239" s="11"/>
      <c r="D239" s="2">
        <f>SUM(OSRRefD22_22x_0)</f>
        <v>0</v>
      </c>
      <c r="E239" s="2"/>
      <c r="F239" s="5">
        <f t="shared" si="44"/>
        <v>0</v>
      </c>
      <c r="G239" s="2"/>
      <c r="H239" s="2">
        <f>SUM(OSRRefH22_22x_0)</f>
        <v>0</v>
      </c>
      <c r="I239" s="2"/>
      <c r="J239" s="5">
        <f t="shared" si="45"/>
        <v>0</v>
      </c>
      <c r="K239" s="2"/>
      <c r="L239" s="2">
        <f t="shared" si="46"/>
        <v>0</v>
      </c>
      <c r="M239" s="2"/>
      <c r="N239" s="5">
        <f t="shared" si="47"/>
        <v>0</v>
      </c>
      <c r="O239" s="11"/>
      <c r="P239" s="2">
        <f>SUM(OSRRefP22_22x_0)</f>
        <v>6919</v>
      </c>
      <c r="Q239" s="2"/>
      <c r="R239" s="5">
        <f t="shared" si="48"/>
        <v>6.4697945494813266E-4</v>
      </c>
      <c r="S239" s="2"/>
      <c r="T239" s="2">
        <f>SUM(OSRRefT22_22x_0)</f>
        <v>995.63</v>
      </c>
      <c r="U239" s="2"/>
      <c r="V239" s="5">
        <f t="shared" si="49"/>
        <v>1.2274828002706675E-4</v>
      </c>
      <c r="W239" s="2"/>
      <c r="X239" s="2">
        <f t="shared" si="50"/>
        <v>5923.37</v>
      </c>
      <c r="Y239" s="2"/>
      <c r="Z239" s="5">
        <f t="shared" si="51"/>
        <v>5.9493687413999172</v>
      </c>
    </row>
    <row r="240" spans="1:26" s="69" customFormat="1" ht="15" hidden="1" customHeight="1" outlineLevel="2" x14ac:dyDescent="0.3">
      <c r="A240" s="21"/>
      <c r="B240" s="9" t="str">
        <f>CONCATENATE("          ","6376"," - ","TRAINING")</f>
        <v xml:space="preserve">          6376 - TRAINING</v>
      </c>
      <c r="C240" s="9"/>
      <c r="D240" s="6"/>
      <c r="E240" s="3"/>
      <c r="F240" s="7">
        <f t="shared" si="44"/>
        <v>0</v>
      </c>
      <c r="G240" s="3"/>
      <c r="H240" s="6"/>
      <c r="I240" s="3"/>
      <c r="J240" s="7">
        <f t="shared" si="45"/>
        <v>0</v>
      </c>
      <c r="K240" s="3"/>
      <c r="L240" s="6">
        <f t="shared" si="46"/>
        <v>0</v>
      </c>
      <c r="M240" s="3"/>
      <c r="N240" s="7">
        <f t="shared" si="47"/>
        <v>0</v>
      </c>
      <c r="O240" s="9"/>
      <c r="P240" s="6">
        <v>6919</v>
      </c>
      <c r="Q240" s="3"/>
      <c r="R240" s="7">
        <f t="shared" si="48"/>
        <v>6.4697945494813266E-4</v>
      </c>
      <c r="S240" s="3"/>
      <c r="T240" s="6">
        <v>995.63</v>
      </c>
      <c r="U240" s="3"/>
      <c r="V240" s="7">
        <f t="shared" si="49"/>
        <v>1.2274828002706675E-4</v>
      </c>
      <c r="W240" s="3"/>
      <c r="X240" s="6">
        <f t="shared" si="50"/>
        <v>5923.37</v>
      </c>
      <c r="Y240" s="3"/>
      <c r="Z240" s="7">
        <f t="shared" si="51"/>
        <v>5.9493687413999172</v>
      </c>
    </row>
    <row r="241" spans="1:26" s="68" customFormat="1" ht="15" customHeight="1" outlineLevel="1" collapsed="1" x14ac:dyDescent="0.3">
      <c r="A241" s="20"/>
      <c r="B241" s="11" t="str">
        <f>CONCATENATE("     ","Travel                                            ")</f>
        <v xml:space="preserve">     Travel                                            </v>
      </c>
      <c r="C241" s="11"/>
      <c r="D241" s="2">
        <f>SUM(OSRRefD22_23x_0)</f>
        <v>1117.6500000000001</v>
      </c>
      <c r="E241" s="2"/>
      <c r="F241" s="5">
        <f t="shared" si="44"/>
        <v>1.6183853088928702E-3</v>
      </c>
      <c r="G241" s="2"/>
      <c r="H241" s="2">
        <f>SUM(OSRRefH22_23x_0)</f>
        <v>67.62</v>
      </c>
      <c r="I241" s="2"/>
      <c r="J241" s="5">
        <f t="shared" si="45"/>
        <v>2.0541572701325263E-4</v>
      </c>
      <c r="K241" s="2"/>
      <c r="L241" s="2">
        <f t="shared" si="46"/>
        <v>1050.0300000000002</v>
      </c>
      <c r="M241" s="2"/>
      <c r="N241" s="5">
        <f t="shared" si="47"/>
        <v>15.528393966282167</v>
      </c>
      <c r="O241" s="11"/>
      <c r="P241" s="2">
        <f>SUM(OSRRefP22_23x_0)</f>
        <v>2722.9</v>
      </c>
      <c r="Q241" s="2"/>
      <c r="R241" s="5">
        <f t="shared" si="48"/>
        <v>2.5461198986533756E-4</v>
      </c>
      <c r="S241" s="2"/>
      <c r="T241" s="2">
        <f>SUM(OSRRefT22_23x_0)</f>
        <v>1040.0200000000002</v>
      </c>
      <c r="U241" s="2"/>
      <c r="V241" s="5">
        <f t="shared" si="49"/>
        <v>1.2822099192847741E-4</v>
      </c>
      <c r="W241" s="2"/>
      <c r="X241" s="2">
        <f t="shared" si="50"/>
        <v>1682.8799999999999</v>
      </c>
      <c r="Y241" s="2"/>
      <c r="Z241" s="5">
        <f t="shared" si="51"/>
        <v>1.6181227284090687</v>
      </c>
    </row>
    <row r="242" spans="1:26" s="69" customFormat="1" ht="15" hidden="1" customHeight="1" outlineLevel="2" x14ac:dyDescent="0.3">
      <c r="A242" s="21"/>
      <c r="B242" s="9" t="str">
        <f>CONCATENATE("          ","6292"," - ","TRAVEL/CONFERENCE")</f>
        <v xml:space="preserve">          6292 - TRAVEL/CONFERENCE</v>
      </c>
      <c r="C242" s="9"/>
      <c r="D242" s="6"/>
      <c r="E242" s="3"/>
      <c r="F242" s="7">
        <f t="shared" si="44"/>
        <v>0</v>
      </c>
      <c r="G242" s="3"/>
      <c r="H242" s="6"/>
      <c r="I242" s="3"/>
      <c r="J242" s="7">
        <f t="shared" si="45"/>
        <v>0</v>
      </c>
      <c r="K242" s="3"/>
      <c r="L242" s="6">
        <f t="shared" si="46"/>
        <v>0</v>
      </c>
      <c r="M242" s="3"/>
      <c r="N242" s="7">
        <f t="shared" si="47"/>
        <v>0</v>
      </c>
      <c r="O242" s="9"/>
      <c r="P242" s="6">
        <v>495</v>
      </c>
      <c r="Q242" s="3"/>
      <c r="R242" s="7">
        <f t="shared" si="48"/>
        <v>4.6286288509802817E-5</v>
      </c>
      <c r="S242" s="3"/>
      <c r="T242" s="6">
        <v>299.16000000000003</v>
      </c>
      <c r="U242" s="3"/>
      <c r="V242" s="7">
        <f t="shared" si="49"/>
        <v>3.6882552206037668E-5</v>
      </c>
      <c r="W242" s="3"/>
      <c r="X242" s="6">
        <f t="shared" si="50"/>
        <v>195.83999999999997</v>
      </c>
      <c r="Y242" s="3"/>
      <c r="Z242" s="7">
        <f t="shared" si="51"/>
        <v>0.65463297232250284</v>
      </c>
    </row>
    <row r="243" spans="1:26" s="69" customFormat="1" ht="15" hidden="1" customHeight="1" outlineLevel="2" x14ac:dyDescent="0.3">
      <c r="A243" s="21"/>
      <c r="B243" s="9" t="str">
        <f>CONCATENATE("          ","6294"," - ","TRAVEL OPERATIONAL")</f>
        <v xml:space="preserve">          6294 - TRAVEL OPERATIONAL</v>
      </c>
      <c r="C243" s="9"/>
      <c r="D243" s="6">
        <v>1017.65</v>
      </c>
      <c r="E243" s="3"/>
      <c r="F243" s="7">
        <f t="shared" si="44"/>
        <v>1.4735827938932844E-3</v>
      </c>
      <c r="G243" s="3"/>
      <c r="H243" s="6">
        <v>67.62</v>
      </c>
      <c r="I243" s="3"/>
      <c r="J243" s="7">
        <f t="shared" si="45"/>
        <v>2.0541572701325263E-4</v>
      </c>
      <c r="K243" s="3"/>
      <c r="L243" s="6">
        <f t="shared" si="46"/>
        <v>950.03</v>
      </c>
      <c r="M243" s="3"/>
      <c r="N243" s="7">
        <f t="shared" si="47"/>
        <v>14.049541555752734</v>
      </c>
      <c r="O243" s="9"/>
      <c r="P243" s="6">
        <v>1628.52</v>
      </c>
      <c r="Q243" s="3"/>
      <c r="R243" s="7">
        <f t="shared" si="48"/>
        <v>1.5227908396764462E-4</v>
      </c>
      <c r="S243" s="3"/>
      <c r="T243" s="6">
        <v>680.97</v>
      </c>
      <c r="U243" s="3"/>
      <c r="V243" s="7">
        <f t="shared" si="49"/>
        <v>8.3954778632656346E-5</v>
      </c>
      <c r="W243" s="3"/>
      <c r="X243" s="6">
        <f t="shared" si="50"/>
        <v>947.55</v>
      </c>
      <c r="Y243" s="3"/>
      <c r="Z243" s="7">
        <f t="shared" si="51"/>
        <v>1.3914709899114497</v>
      </c>
    </row>
    <row r="244" spans="1:26" s="69" customFormat="1" ht="15" hidden="1" customHeight="1" outlineLevel="2" x14ac:dyDescent="0.3">
      <c r="A244" s="21"/>
      <c r="B244" s="9" t="str">
        <f>CONCATENATE("          ","6298"," - ","VEHICLE MILEAGE")</f>
        <v xml:space="preserve">          6298 - VEHICLE MILEAGE</v>
      </c>
      <c r="C244" s="9"/>
      <c r="D244" s="6">
        <v>100</v>
      </c>
      <c r="E244" s="3"/>
      <c r="F244" s="7">
        <f t="shared" si="44"/>
        <v>1.4480251499958576E-4</v>
      </c>
      <c r="G244" s="3"/>
      <c r="H244" s="6"/>
      <c r="I244" s="3"/>
      <c r="J244" s="7">
        <f t="shared" si="45"/>
        <v>0</v>
      </c>
      <c r="K244" s="3"/>
      <c r="L244" s="6">
        <f t="shared" si="46"/>
        <v>100</v>
      </c>
      <c r="M244" s="3"/>
      <c r="N244" s="7">
        <f t="shared" si="47"/>
        <v>0</v>
      </c>
      <c r="O244" s="9"/>
      <c r="P244" s="6">
        <v>599.38</v>
      </c>
      <c r="Q244" s="3"/>
      <c r="R244" s="7">
        <f t="shared" si="48"/>
        <v>5.6046617387890125E-5</v>
      </c>
      <c r="S244" s="3"/>
      <c r="T244" s="6">
        <v>59.89</v>
      </c>
      <c r="U244" s="3"/>
      <c r="V244" s="7">
        <f t="shared" si="49"/>
        <v>7.38366108978338E-6</v>
      </c>
      <c r="W244" s="3"/>
      <c r="X244" s="6">
        <f t="shared" si="50"/>
        <v>539.49</v>
      </c>
      <c r="Y244" s="3"/>
      <c r="Z244" s="7">
        <f t="shared" si="51"/>
        <v>9.0080146936049417</v>
      </c>
    </row>
    <row r="245" spans="1:26" s="68" customFormat="1" ht="15" customHeight="1" outlineLevel="1" collapsed="1" x14ac:dyDescent="0.3">
      <c r="A245" s="20"/>
      <c r="B245" s="11" t="str">
        <f>CONCATENATE("     ","Utilities                                         ")</f>
        <v xml:space="preserve">     Utilities                                         </v>
      </c>
      <c r="C245" s="11"/>
      <c r="D245" s="2">
        <f>SUM(OSRRefD22_24x_0)</f>
        <v>7256.49</v>
      </c>
      <c r="E245" s="2"/>
      <c r="F245" s="5">
        <f t="shared" si="44"/>
        <v>1.0507580020693439E-2</v>
      </c>
      <c r="G245" s="2"/>
      <c r="H245" s="2">
        <f>SUM(OSRRefH22_24x_0)</f>
        <v>5512.94</v>
      </c>
      <c r="I245" s="2"/>
      <c r="J245" s="5">
        <f t="shared" si="45"/>
        <v>1.6747183940852423E-2</v>
      </c>
      <c r="K245" s="2"/>
      <c r="L245" s="2">
        <f t="shared" si="46"/>
        <v>1743.5500000000002</v>
      </c>
      <c r="M245" s="2"/>
      <c r="N245" s="5">
        <f t="shared" si="47"/>
        <v>0.31626500560499488</v>
      </c>
      <c r="O245" s="11"/>
      <c r="P245" s="2">
        <f>SUM(OSRRefP22_24x_0)</f>
        <v>92259.38</v>
      </c>
      <c r="Q245" s="2"/>
      <c r="R245" s="5">
        <f t="shared" si="48"/>
        <v>8.6269581422536001E-3</v>
      </c>
      <c r="S245" s="2"/>
      <c r="T245" s="2">
        <f>SUM(OSRRefT22_24x_0)</f>
        <v>70355.39</v>
      </c>
      <c r="U245" s="2"/>
      <c r="V245" s="5">
        <f t="shared" si="49"/>
        <v>8.6739080914933157E-3</v>
      </c>
      <c r="W245" s="2"/>
      <c r="X245" s="2">
        <f t="shared" si="50"/>
        <v>21903.990000000005</v>
      </c>
      <c r="Y245" s="2"/>
      <c r="Z245" s="5">
        <f t="shared" si="51"/>
        <v>0.31133350266411719</v>
      </c>
    </row>
    <row r="246" spans="1:26" s="69" customFormat="1" ht="15" hidden="1" customHeight="1" outlineLevel="2" x14ac:dyDescent="0.3">
      <c r="A246" s="21"/>
      <c r="B246" s="9" t="str">
        <f>CONCATENATE("          ","6274"," - ","UTILITIES")</f>
        <v xml:space="preserve">          6274 - UTILITIES</v>
      </c>
      <c r="C246" s="9"/>
      <c r="D246" s="6">
        <v>7256.49</v>
      </c>
      <c r="E246" s="3"/>
      <c r="F246" s="7">
        <f t="shared" si="44"/>
        <v>1.0507580020693439E-2</v>
      </c>
      <c r="G246" s="3"/>
      <c r="H246" s="6">
        <v>5512.94</v>
      </c>
      <c r="I246" s="3"/>
      <c r="J246" s="7">
        <f t="shared" si="45"/>
        <v>1.6747183940852423E-2</v>
      </c>
      <c r="K246" s="3"/>
      <c r="L246" s="6">
        <f t="shared" si="46"/>
        <v>1743.5500000000002</v>
      </c>
      <c r="M246" s="3"/>
      <c r="N246" s="7">
        <f t="shared" si="47"/>
        <v>0.31626500560499488</v>
      </c>
      <c r="O246" s="9"/>
      <c r="P246" s="6">
        <v>92259.38</v>
      </c>
      <c r="Q246" s="3"/>
      <c r="R246" s="7">
        <f t="shared" si="48"/>
        <v>8.6269581422536001E-3</v>
      </c>
      <c r="S246" s="3"/>
      <c r="T246" s="6">
        <v>70355.39</v>
      </c>
      <c r="U246" s="3"/>
      <c r="V246" s="7">
        <f t="shared" si="49"/>
        <v>8.6739080914933157E-3</v>
      </c>
      <c r="W246" s="3"/>
      <c r="X246" s="6">
        <f t="shared" si="50"/>
        <v>21903.990000000005</v>
      </c>
      <c r="Y246" s="3"/>
      <c r="Z246" s="7">
        <f t="shared" si="51"/>
        <v>0.31133350266411719</v>
      </c>
    </row>
    <row r="247" spans="1:26" s="64" customFormat="1" ht="15" customHeight="1" x14ac:dyDescent="0.3">
      <c r="A247" s="37"/>
      <c r="B247" s="37"/>
      <c r="C247" s="37"/>
      <c r="D247" s="2"/>
      <c r="E247" s="2"/>
      <c r="F247" s="5"/>
      <c r="G247" s="2"/>
      <c r="H247" s="2"/>
      <c r="I247" s="2"/>
      <c r="J247" s="5"/>
      <c r="K247" s="2"/>
      <c r="L247" s="2"/>
      <c r="M247" s="2"/>
      <c r="N247" s="5"/>
      <c r="O247" s="37"/>
      <c r="P247" s="2"/>
      <c r="Q247" s="2"/>
      <c r="R247" s="5"/>
      <c r="S247" s="2"/>
      <c r="T247" s="2"/>
      <c r="U247" s="2"/>
      <c r="V247" s="5"/>
      <c r="W247" s="2"/>
      <c r="X247" s="2"/>
      <c r="Y247" s="2"/>
      <c r="Z247" s="5"/>
    </row>
    <row r="248" spans="1:26" s="62" customFormat="1" ht="15" customHeight="1" collapsed="1" x14ac:dyDescent="0.3">
      <c r="A248" s="13"/>
      <c r="B248" s="27" t="s">
        <v>290</v>
      </c>
      <c r="C248" s="13"/>
      <c r="D248" s="8">
        <f>SUM(OSRRefD25x_0)</f>
        <v>28176.75</v>
      </c>
      <c r="E248" s="8"/>
      <c r="F248" s="14">
        <f t="shared" ref="F248:F255" si="52">IF(D$12=0,0,D248/D$12)</f>
        <v>4.0800642645145775E-2</v>
      </c>
      <c r="G248" s="8"/>
      <c r="H248" s="8">
        <f>SUM(OSRRefH25x_0)</f>
        <v>401494.1</v>
      </c>
      <c r="I248" s="8"/>
      <c r="J248" s="14">
        <f t="shared" ref="J248:J255" si="53">IF(H$12=0,0,H248/H$12)</f>
        <v>1.219656942369588</v>
      </c>
      <c r="K248" s="8"/>
      <c r="L248" s="8">
        <f t="shared" ref="L248:L255" si="54">+D248-H248</f>
        <v>-373317.35</v>
      </c>
      <c r="M248" s="8"/>
      <c r="N248" s="14">
        <f t="shared" ref="N248:N255" si="55">IF(H248=0,0,L248/H248)</f>
        <v>-0.92982026385941907</v>
      </c>
      <c r="O248" s="13"/>
      <c r="P248" s="8">
        <f>SUM(OSRRefP25x_0)</f>
        <v>1438242.13</v>
      </c>
      <c r="Q248" s="8"/>
      <c r="R248" s="14">
        <f t="shared" ref="R248:R255" si="56">IF(P$12=0,0,P248/P$12)</f>
        <v>0.13448664682047137</v>
      </c>
      <c r="S248" s="8"/>
      <c r="T248" s="8">
        <f>SUM(OSRRefT25x_0)</f>
        <v>1458618.71</v>
      </c>
      <c r="U248" s="8"/>
      <c r="V248" s="14">
        <f t="shared" ref="V248:V255" si="57">IF(T$12=0,0,T248/T$12)</f>
        <v>0.17982878967869473</v>
      </c>
      <c r="W248" s="8"/>
      <c r="X248" s="8">
        <f t="shared" ref="X248:X255" si="58">+P248-T248</f>
        <v>-20376.580000000075</v>
      </c>
      <c r="Y248" s="8"/>
      <c r="Z248" s="14">
        <f t="shared" ref="Z248:Z255" si="59">IF(T248=0,0,X248/T248)</f>
        <v>-1.3969778297989935E-2</v>
      </c>
    </row>
    <row r="249" spans="1:26" s="69" customFormat="1" ht="15" hidden="1" customHeight="1" outlineLevel="1" x14ac:dyDescent="0.3">
      <c r="A249" s="47"/>
      <c r="B249" s="9" t="str">
        <f>CONCATENATE("          ","4098"," - ","TAXABLE SALES-GRAD RENTALS")</f>
        <v xml:space="preserve">          4098 - TAXABLE SALES-GRAD RENTALS</v>
      </c>
      <c r="C249" s="9"/>
      <c r="D249" s="3">
        <f>0</f>
        <v>0</v>
      </c>
      <c r="E249" s="3"/>
      <c r="F249" s="26">
        <f t="shared" si="52"/>
        <v>0</v>
      </c>
      <c r="G249" s="3"/>
      <c r="H249" s="3">
        <f>--1017.7</f>
        <v>1017.7</v>
      </c>
      <c r="I249" s="3"/>
      <c r="J249" s="26">
        <f t="shared" si="53"/>
        <v>3.0915644096626321E-3</v>
      </c>
      <c r="K249" s="3"/>
      <c r="L249" s="3">
        <f t="shared" si="54"/>
        <v>-1017.7</v>
      </c>
      <c r="M249" s="3"/>
      <c r="N249" s="26">
        <f t="shared" si="55"/>
        <v>-1</v>
      </c>
      <c r="O249" s="9"/>
      <c r="P249" s="3">
        <f>0</f>
        <v>0</v>
      </c>
      <c r="Q249" s="3"/>
      <c r="R249" s="26">
        <f t="shared" si="56"/>
        <v>0</v>
      </c>
      <c r="S249" s="3"/>
      <c r="T249" s="3">
        <f>--1067.65</f>
        <v>1067.6500000000001</v>
      </c>
      <c r="U249" s="3"/>
      <c r="V249" s="26">
        <f t="shared" si="57"/>
        <v>1.316274129655573E-4</v>
      </c>
      <c r="W249" s="3"/>
      <c r="X249" s="3">
        <f t="shared" si="58"/>
        <v>-1067.6500000000001</v>
      </c>
      <c r="Y249" s="3"/>
      <c r="Z249" s="26">
        <f t="shared" si="59"/>
        <v>-1</v>
      </c>
    </row>
    <row r="250" spans="1:26" s="69" customFormat="1" ht="15" hidden="1" customHeight="1" outlineLevel="1" x14ac:dyDescent="0.3">
      <c r="A250" s="47"/>
      <c r="B250" s="9" t="str">
        <f>CONCATENATE("          ","4187"," - ","NON-TAXABLE SALES-COMPUTER REP")</f>
        <v xml:space="preserve">          4187 - NON-TAXABLE SALES-COMPUTER REP</v>
      </c>
      <c r="C250" s="9"/>
      <c r="D250" s="3">
        <f>0</f>
        <v>0</v>
      </c>
      <c r="E250" s="3"/>
      <c r="F250" s="26">
        <f t="shared" si="52"/>
        <v>0</v>
      </c>
      <c r="G250" s="3"/>
      <c r="H250" s="3">
        <f>--189.31</f>
        <v>189.31</v>
      </c>
      <c r="I250" s="3"/>
      <c r="J250" s="26">
        <f t="shared" si="53"/>
        <v>5.7508505295591323E-4</v>
      </c>
      <c r="K250" s="3"/>
      <c r="L250" s="3">
        <f t="shared" si="54"/>
        <v>-189.31</v>
      </c>
      <c r="M250" s="3"/>
      <c r="N250" s="26">
        <f t="shared" si="55"/>
        <v>-1</v>
      </c>
      <c r="O250" s="9"/>
      <c r="P250" s="3">
        <f>0</f>
        <v>0</v>
      </c>
      <c r="Q250" s="3"/>
      <c r="R250" s="26">
        <f t="shared" si="56"/>
        <v>0</v>
      </c>
      <c r="S250" s="3"/>
      <c r="T250" s="3">
        <f>--3769.75</f>
        <v>3769.75</v>
      </c>
      <c r="U250" s="3"/>
      <c r="V250" s="26">
        <f t="shared" si="57"/>
        <v>4.6476133566890793E-4</v>
      </c>
      <c r="W250" s="3"/>
      <c r="X250" s="3">
        <f t="shared" si="58"/>
        <v>-3769.75</v>
      </c>
      <c r="Y250" s="3"/>
      <c r="Z250" s="26">
        <f t="shared" si="59"/>
        <v>-1</v>
      </c>
    </row>
    <row r="251" spans="1:26" s="69" customFormat="1" ht="15" hidden="1" customHeight="1" outlineLevel="1" x14ac:dyDescent="0.3">
      <c r="A251" s="47"/>
      <c r="B251" s="9" t="str">
        <f>CONCATENATE("          ","9087"," - ","")</f>
        <v xml:space="preserve">          9087 - </v>
      </c>
      <c r="C251" s="9"/>
      <c r="D251" s="3">
        <f>-711.04</f>
        <v>-711.04</v>
      </c>
      <c r="E251" s="3"/>
      <c r="F251" s="26">
        <f t="shared" si="52"/>
        <v>-1.0296038026530545E-3</v>
      </c>
      <c r="G251" s="3"/>
      <c r="H251" s="3">
        <f>0</f>
        <v>0</v>
      </c>
      <c r="I251" s="3"/>
      <c r="J251" s="26">
        <f t="shared" si="53"/>
        <v>0</v>
      </c>
      <c r="K251" s="3"/>
      <c r="L251" s="3">
        <f t="shared" si="54"/>
        <v>-711.04</v>
      </c>
      <c r="M251" s="3"/>
      <c r="N251" s="26">
        <f t="shared" si="55"/>
        <v>0</v>
      </c>
      <c r="O251" s="9"/>
      <c r="P251" s="3">
        <f>-5.4</f>
        <v>-5.4</v>
      </c>
      <c r="Q251" s="3"/>
      <c r="R251" s="26">
        <f t="shared" si="56"/>
        <v>-5.0494132919784892E-7</v>
      </c>
      <c r="S251" s="3"/>
      <c r="T251" s="3">
        <f>0</f>
        <v>0</v>
      </c>
      <c r="U251" s="3"/>
      <c r="V251" s="26">
        <f t="shared" si="57"/>
        <v>0</v>
      </c>
      <c r="W251" s="3"/>
      <c r="X251" s="3">
        <f t="shared" si="58"/>
        <v>-5.4</v>
      </c>
      <c r="Y251" s="3"/>
      <c r="Z251" s="26">
        <f t="shared" si="59"/>
        <v>0</v>
      </c>
    </row>
    <row r="252" spans="1:26" s="69" customFormat="1" ht="15" hidden="1" customHeight="1" outlineLevel="1" x14ac:dyDescent="0.3">
      <c r="A252" s="47"/>
      <c r="B252" s="9" t="str">
        <f>CONCATENATE("          ","9150"," - ","MISC. INCOME")</f>
        <v xml:space="preserve">          9150 - MISC. INCOME</v>
      </c>
      <c r="C252" s="9"/>
      <c r="D252" s="3">
        <f>--6569.71</f>
        <v>6569.71</v>
      </c>
      <c r="E252" s="3"/>
      <c r="F252" s="26">
        <f t="shared" si="52"/>
        <v>9.513105308179285E-3</v>
      </c>
      <c r="G252" s="3"/>
      <c r="H252" s="3">
        <f>--19771.06</f>
        <v>19771.060000000001</v>
      </c>
      <c r="I252" s="3"/>
      <c r="J252" s="26">
        <f t="shared" si="53"/>
        <v>6.0060435724972473E-2</v>
      </c>
      <c r="K252" s="3"/>
      <c r="L252" s="3">
        <f t="shared" si="54"/>
        <v>-13201.350000000002</v>
      </c>
      <c r="M252" s="3"/>
      <c r="N252" s="26">
        <f t="shared" si="55"/>
        <v>-0.66771078536001616</v>
      </c>
      <c r="O252" s="9"/>
      <c r="P252" s="3">
        <f>--444824.9</f>
        <v>444824.9</v>
      </c>
      <c r="Q252" s="3"/>
      <c r="R252" s="26">
        <f t="shared" si="56"/>
        <v>4.1594532641907447E-2</v>
      </c>
      <c r="S252" s="3"/>
      <c r="T252" s="3">
        <f>--423643.69</f>
        <v>423643.69</v>
      </c>
      <c r="U252" s="3"/>
      <c r="V252" s="26">
        <f t="shared" si="57"/>
        <v>5.222977842353068E-2</v>
      </c>
      <c r="W252" s="3"/>
      <c r="X252" s="3">
        <f t="shared" si="58"/>
        <v>21181.210000000021</v>
      </c>
      <c r="Y252" s="3"/>
      <c r="Z252" s="26">
        <f t="shared" si="59"/>
        <v>4.9997699717892696E-2</v>
      </c>
    </row>
    <row r="253" spans="1:26" s="69" customFormat="1" ht="15" hidden="1" customHeight="1" outlineLevel="1" x14ac:dyDescent="0.3">
      <c r="A253" s="47"/>
      <c r="B253" s="9" t="str">
        <f>CONCATENATE("          ","9151"," - ","MISC. INCOME")</f>
        <v xml:space="preserve">          9151 - MISC. INCOME</v>
      </c>
      <c r="C253" s="9"/>
      <c r="D253" s="3">
        <f>--4094.51</f>
        <v>4094.51</v>
      </c>
      <c r="E253" s="3"/>
      <c r="F253" s="26">
        <f t="shared" si="52"/>
        <v>5.9289534569095387E-3</v>
      </c>
      <c r="G253" s="3"/>
      <c r="H253" s="3">
        <f>0</f>
        <v>0</v>
      </c>
      <c r="I253" s="3"/>
      <c r="J253" s="26">
        <f t="shared" si="53"/>
        <v>0</v>
      </c>
      <c r="K253" s="3"/>
      <c r="L253" s="3">
        <f t="shared" si="54"/>
        <v>4094.51</v>
      </c>
      <c r="M253" s="3"/>
      <c r="N253" s="26">
        <f t="shared" si="55"/>
        <v>0</v>
      </c>
      <c r="O253" s="9"/>
      <c r="P253" s="3">
        <f>--328482.25</f>
        <v>328482.25</v>
      </c>
      <c r="Q253" s="3"/>
      <c r="R253" s="26">
        <f t="shared" si="56"/>
        <v>3.071560443201854E-2</v>
      </c>
      <c r="S253" s="3"/>
      <c r="T253" s="3">
        <f>--295628.46</f>
        <v>295628.46000000002</v>
      </c>
      <c r="U253" s="3"/>
      <c r="V253" s="26">
        <f t="shared" si="57"/>
        <v>3.644715907721794E-2</v>
      </c>
      <c r="W253" s="3"/>
      <c r="X253" s="3">
        <f t="shared" si="58"/>
        <v>32853.789999999979</v>
      </c>
      <c r="Y253" s="3"/>
      <c r="Z253" s="26">
        <f t="shared" si="59"/>
        <v>0.1111320270044365</v>
      </c>
    </row>
    <row r="254" spans="1:26" s="69" customFormat="1" ht="15" hidden="1" customHeight="1" outlineLevel="1" x14ac:dyDescent="0.3">
      <c r="A254" s="47"/>
      <c r="B254" s="9" t="str">
        <f>CONCATENATE("          ","9152"," - ","MISC. INCOME")</f>
        <v xml:space="preserve">          9152 - MISC. INCOME</v>
      </c>
      <c r="C254" s="9"/>
      <c r="D254" s="3">
        <f>--221.07</f>
        <v>221.07</v>
      </c>
      <c r="E254" s="3"/>
      <c r="F254" s="26">
        <f t="shared" si="52"/>
        <v>3.2011491990958419E-4</v>
      </c>
      <c r="G254" s="3"/>
      <c r="H254" s="3">
        <f>--1755.54</f>
        <v>1755.54</v>
      </c>
      <c r="I254" s="3"/>
      <c r="J254" s="26">
        <f t="shared" si="53"/>
        <v>5.3329713901337696E-3</v>
      </c>
      <c r="K254" s="3"/>
      <c r="L254" s="3">
        <f t="shared" si="54"/>
        <v>-1534.47</v>
      </c>
      <c r="M254" s="3"/>
      <c r="N254" s="26">
        <f t="shared" si="55"/>
        <v>-0.87407293482347315</v>
      </c>
      <c r="O254" s="9"/>
      <c r="P254" s="3">
        <f>--5468.18</f>
        <v>5468.18</v>
      </c>
      <c r="Q254" s="3"/>
      <c r="R254" s="26">
        <f t="shared" si="56"/>
        <v>5.113166810172395E-4</v>
      </c>
      <c r="S254" s="3"/>
      <c r="T254" s="3">
        <f>--7408.11</f>
        <v>7408.11</v>
      </c>
      <c r="U254" s="3"/>
      <c r="V254" s="26">
        <f t="shared" si="57"/>
        <v>9.1332398657263572E-4</v>
      </c>
      <c r="W254" s="3"/>
      <c r="X254" s="3">
        <f t="shared" si="58"/>
        <v>-1939.9299999999994</v>
      </c>
      <c r="Y254" s="3"/>
      <c r="Z254" s="26">
        <f t="shared" si="59"/>
        <v>-0.26186571203721321</v>
      </c>
    </row>
    <row r="255" spans="1:26" s="69" customFormat="1" ht="15" hidden="1" customHeight="1" outlineLevel="1" x14ac:dyDescent="0.3">
      <c r="A255" s="47"/>
      <c r="B255" s="9" t="str">
        <f>CONCATENATE("          ","9163"," - ","MISC. INCOME")</f>
        <v xml:space="preserve">          9163 - MISC. INCOME</v>
      </c>
      <c r="C255" s="9"/>
      <c r="D255" s="3">
        <f>--18002.5</f>
        <v>18002.5</v>
      </c>
      <c r="E255" s="3"/>
      <c r="F255" s="26">
        <f t="shared" si="52"/>
        <v>2.6068072762800425E-2</v>
      </c>
      <c r="G255" s="3"/>
      <c r="H255" s="3">
        <f>--378760.49</f>
        <v>378760.49</v>
      </c>
      <c r="I255" s="3"/>
      <c r="J255" s="26">
        <f t="shared" si="53"/>
        <v>1.1505968857918634</v>
      </c>
      <c r="K255" s="3"/>
      <c r="L255" s="3">
        <f t="shared" si="54"/>
        <v>-360757.99</v>
      </c>
      <c r="M255" s="3"/>
      <c r="N255" s="26">
        <f t="shared" si="55"/>
        <v>-0.95246996327415245</v>
      </c>
      <c r="O255" s="9"/>
      <c r="P255" s="3">
        <f>--659472.2</f>
        <v>659472.19999999995</v>
      </c>
      <c r="Q255" s="3"/>
      <c r="R255" s="26">
        <f t="shared" si="56"/>
        <v>6.1665698006857339E-2</v>
      </c>
      <c r="S255" s="3"/>
      <c r="T255" s="3">
        <f>--727101.05</f>
        <v>727101.05</v>
      </c>
      <c r="U255" s="3"/>
      <c r="V255" s="26">
        <f t="shared" si="57"/>
        <v>8.9642139442739022E-2</v>
      </c>
      <c r="W255" s="3"/>
      <c r="X255" s="3">
        <f t="shared" si="58"/>
        <v>-67628.850000000093</v>
      </c>
      <c r="Y255" s="3"/>
      <c r="Z255" s="26">
        <f t="shared" si="59"/>
        <v>-9.3011624725339193E-2</v>
      </c>
    </row>
    <row r="256" spans="1:26" ht="15" customHeight="1" x14ac:dyDescent="0.3">
      <c r="A256" s="12"/>
      <c r="B256" s="13"/>
      <c r="C256" s="13"/>
      <c r="D256" s="4"/>
      <c r="E256" s="4"/>
      <c r="F256" s="10"/>
      <c r="G256" s="4"/>
      <c r="H256" s="4"/>
      <c r="I256" s="4"/>
      <c r="J256" s="10"/>
      <c r="K256" s="4"/>
      <c r="L256" s="4"/>
      <c r="M256" s="4"/>
      <c r="N256" s="10"/>
      <c r="O256" s="13"/>
      <c r="P256" s="4"/>
      <c r="Q256" s="4"/>
      <c r="R256" s="10"/>
      <c r="S256" s="4"/>
      <c r="T256" s="4"/>
      <c r="U256" s="4"/>
      <c r="V256" s="10"/>
      <c r="W256" s="4"/>
      <c r="X256" s="4"/>
      <c r="Y256" s="4"/>
      <c r="Z256" s="10"/>
    </row>
    <row r="257" spans="1:26" s="62" customFormat="1" ht="15" customHeight="1" x14ac:dyDescent="0.3">
      <c r="A257" s="13"/>
      <c r="B257" s="28" t="s">
        <v>291</v>
      </c>
      <c r="C257" s="28"/>
      <c r="D257" s="22">
        <f>+D156-D158+D248</f>
        <v>-240921.7300000001</v>
      </c>
      <c r="E257" s="15"/>
      <c r="F257" s="24">
        <f>IF(D$12=0,0,D257/D$12)</f>
        <v>-0.34886072422051162</v>
      </c>
      <c r="G257" s="15"/>
      <c r="H257" s="22">
        <f>+H156-H158+H248</f>
        <v>193618.50000000003</v>
      </c>
      <c r="I257" s="15"/>
      <c r="J257" s="24">
        <f>IF(H$12=0,0,H257/H$12)</f>
        <v>0.58817339456840367</v>
      </c>
      <c r="K257" s="17"/>
      <c r="L257" s="22">
        <f>+D257-H257</f>
        <v>-434540.2300000001</v>
      </c>
      <c r="M257" s="17"/>
      <c r="N257" s="24">
        <f>IF(H257=0,0,L257/H257)</f>
        <v>-2.2443115198186123</v>
      </c>
      <c r="O257" s="27"/>
      <c r="P257" s="22">
        <f>+P156-P158+P248</f>
        <v>1280677.7899999996</v>
      </c>
      <c r="Q257" s="15"/>
      <c r="R257" s="24">
        <f>IF(P$12=0,0,P257/P$12)</f>
        <v>0.11975317510310433</v>
      </c>
      <c r="S257" s="15"/>
      <c r="T257" s="22">
        <f>+T156-T158+T248</f>
        <v>528928.44999999367</v>
      </c>
      <c r="U257" s="15"/>
      <c r="V257" s="24">
        <f>IF(T$12=0,0,T257/T$12)</f>
        <v>6.5210025305466476E-2</v>
      </c>
      <c r="W257" s="17"/>
      <c r="X257" s="22">
        <f>+P257-T257</f>
        <v>751749.3400000059</v>
      </c>
      <c r="Y257" s="17"/>
      <c r="Z257" s="24">
        <f>IF(T257=0,0,X257/T257)</f>
        <v>1.4212684910407352</v>
      </c>
    </row>
    <row r="258" spans="1:26" ht="15" customHeight="1" x14ac:dyDescent="0.3">
      <c r="A258" s="12"/>
      <c r="B258" s="13"/>
      <c r="C258" s="12"/>
      <c r="D258" s="4"/>
      <c r="E258" s="4"/>
      <c r="F258" s="10"/>
      <c r="G258" s="4"/>
      <c r="H258" s="4"/>
      <c r="I258" s="4"/>
      <c r="J258" s="10"/>
      <c r="K258" s="4"/>
      <c r="L258" s="4"/>
      <c r="M258" s="4"/>
      <c r="N258" s="10"/>
      <c r="P258" s="4"/>
      <c r="Q258" s="4"/>
      <c r="R258" s="10"/>
      <c r="S258" s="4"/>
      <c r="T258" s="4"/>
      <c r="U258" s="4"/>
      <c r="V258" s="10"/>
      <c r="W258" s="4"/>
      <c r="X258" s="4"/>
      <c r="Y258" s="4"/>
      <c r="Z258" s="10"/>
    </row>
    <row r="259" spans="1:26" s="62" customFormat="1" ht="15" customHeight="1" x14ac:dyDescent="0.3">
      <c r="A259" s="48"/>
      <c r="B259" s="13" t="s">
        <v>292</v>
      </c>
      <c r="C259" s="13"/>
      <c r="D259" s="8">
        <v>-2357604.91</v>
      </c>
      <c r="E259" s="8"/>
      <c r="F259" s="14">
        <f>IF(D$12=0,0,D259/D$12)</f>
        <v>-3.4138712034337204</v>
      </c>
      <c r="G259" s="8"/>
      <c r="H259" s="8">
        <v>582191.16</v>
      </c>
      <c r="I259" s="8"/>
      <c r="J259" s="14">
        <f>IF(H$12=0,0,H259/H$12)</f>
        <v>1.7685776455499687</v>
      </c>
      <c r="K259" s="8"/>
      <c r="L259" s="8">
        <f>+D259-H259</f>
        <v>-2939796.0700000003</v>
      </c>
      <c r="M259" s="8"/>
      <c r="N259" s="14">
        <f>IF(H259=0,0,L259/H259)</f>
        <v>-5.0495374577655907</v>
      </c>
      <c r="O259" s="13"/>
      <c r="P259" s="8">
        <v>-1232933.5900000001</v>
      </c>
      <c r="Q259" s="8"/>
      <c r="R259" s="14">
        <f>IF(P$12=0,0,P259/P$12)</f>
        <v>-0.11528872699023625</v>
      </c>
      <c r="S259" s="8"/>
      <c r="T259" s="8">
        <v>2245123.5699999998</v>
      </c>
      <c r="U259" s="8"/>
      <c r="V259" s="14">
        <f>IF(T$12=0,0,T259/T$12)</f>
        <v>0.27679464928309488</v>
      </c>
      <c r="W259" s="8"/>
      <c r="X259" s="8">
        <f>+P259-T259</f>
        <v>-3478057.16</v>
      </c>
      <c r="Y259" s="8"/>
      <c r="Z259" s="14">
        <f>IF(T259=0,0,X259/T259)</f>
        <v>-1.5491606816100552</v>
      </c>
    </row>
    <row r="260" spans="1:26" ht="15" customHeight="1" x14ac:dyDescent="0.3">
      <c r="A260" s="12"/>
      <c r="B260" s="13"/>
      <c r="C260" s="13"/>
      <c r="D260" s="4"/>
      <c r="E260" s="4"/>
      <c r="F260" s="10"/>
      <c r="G260" s="4"/>
      <c r="H260" s="4"/>
      <c r="I260" s="4"/>
      <c r="J260" s="10"/>
      <c r="K260" s="4"/>
      <c r="L260" s="4"/>
      <c r="M260" s="4"/>
      <c r="N260" s="10"/>
      <c r="O260" s="13"/>
      <c r="P260" s="4"/>
      <c r="Q260" s="4"/>
      <c r="R260" s="10"/>
      <c r="S260" s="4"/>
      <c r="T260" s="4"/>
      <c r="U260" s="4"/>
      <c r="V260" s="10"/>
      <c r="W260" s="4"/>
      <c r="X260" s="4"/>
      <c r="Y260" s="4"/>
      <c r="Z260" s="10"/>
    </row>
    <row r="261" spans="1:26" s="62" customFormat="1" ht="15" customHeight="1" x14ac:dyDescent="0.3">
      <c r="A261" s="13"/>
      <c r="B261" s="28" t="s">
        <v>293</v>
      </c>
      <c r="C261" s="28"/>
      <c r="D261" s="29">
        <f>+D257-D259</f>
        <v>2116683.1800000002</v>
      </c>
      <c r="E261" s="15"/>
      <c r="F261" s="31">
        <f>IF(D$12=0,0,D261/D$12)</f>
        <v>3.0650104792132087</v>
      </c>
      <c r="G261" s="15"/>
      <c r="H261" s="29">
        <f>+H257-H259</f>
        <v>-388572.66000000003</v>
      </c>
      <c r="I261" s="15"/>
      <c r="J261" s="31">
        <f>IF(H$12=0,0,H261/H$12)</f>
        <v>-1.1804042509815651</v>
      </c>
      <c r="K261" s="17"/>
      <c r="L261" s="29">
        <f>D261-H261</f>
        <v>2505255.8400000003</v>
      </c>
      <c r="M261" s="17"/>
      <c r="N261" s="31">
        <f>IF(H261=0,0,L261/H261)</f>
        <v>-6.4473291558906904</v>
      </c>
      <c r="O261" s="27"/>
      <c r="P261" s="29">
        <f>+P257-P259</f>
        <v>2513611.38</v>
      </c>
      <c r="Q261" s="15"/>
      <c r="R261" s="31">
        <f>IF(P$12=0,0,P261/P$12)</f>
        <v>0.23504190209334061</v>
      </c>
      <c r="S261" s="15"/>
      <c r="T261" s="29">
        <f>+T257-T259</f>
        <v>-1716195.1200000062</v>
      </c>
      <c r="U261" s="15"/>
      <c r="V261" s="31">
        <f>IF(T$12=0,0,T261/T$12)</f>
        <v>-0.21158462397762839</v>
      </c>
      <c r="W261" s="17"/>
      <c r="X261" s="29">
        <f>P261-T261</f>
        <v>4229806.5000000056</v>
      </c>
      <c r="Y261" s="17"/>
      <c r="Z261" s="31">
        <f>IF(T261=0,0,X261/T261)</f>
        <v>-2.4646419574948975</v>
      </c>
    </row>
    <row r="262" spans="1:26" ht="15" customHeight="1" x14ac:dyDescent="0.3">
      <c r="A262" s="12"/>
      <c r="B262" s="12"/>
      <c r="C262" s="12"/>
      <c r="D262" s="4"/>
      <c r="E262" s="4"/>
      <c r="F262" s="10"/>
      <c r="G262" s="4"/>
      <c r="H262" s="4"/>
      <c r="I262" s="4"/>
      <c r="J262" s="10"/>
      <c r="K262" s="4"/>
      <c r="L262" s="4"/>
      <c r="M262" s="4"/>
      <c r="N262" s="10"/>
      <c r="P262" s="4"/>
      <c r="Q262" s="4"/>
      <c r="R262" s="10"/>
      <c r="S262" s="4"/>
      <c r="T262" s="4"/>
      <c r="U262" s="4"/>
      <c r="V262" s="10"/>
      <c r="W262" s="4"/>
      <c r="X262" s="4"/>
      <c r="Y262" s="4"/>
      <c r="Z262" s="10"/>
    </row>
    <row r="263" spans="1:26" ht="15" customHeight="1" x14ac:dyDescent="0.3">
      <c r="A263" s="12"/>
      <c r="B263" s="12"/>
      <c r="C263" s="12"/>
      <c r="D263" s="4"/>
      <c r="E263" s="4"/>
      <c r="F263" s="10"/>
      <c r="G263" s="4"/>
      <c r="H263" s="4"/>
      <c r="I263" s="4"/>
      <c r="J263" s="10"/>
      <c r="K263" s="4"/>
      <c r="L263" s="4"/>
      <c r="M263" s="4"/>
      <c r="N263" s="10"/>
      <c r="P263" s="4"/>
      <c r="Q263" s="4"/>
      <c r="R263" s="10"/>
      <c r="S263" s="4"/>
      <c r="T263" s="4"/>
      <c r="U263" s="4"/>
      <c r="V263" s="10"/>
      <c r="W263" s="4"/>
      <c r="X263" s="4"/>
      <c r="Y263" s="4"/>
      <c r="Z263" s="10"/>
    </row>
    <row r="264" spans="1:26" s="62" customFormat="1" ht="15" customHeight="1" x14ac:dyDescent="0.3">
      <c r="A264" s="13"/>
      <c r="B264" s="28" t="s">
        <v>296</v>
      </c>
      <c r="C264" s="28"/>
      <c r="D264" s="30">
        <f>SUM(D261:D263)</f>
        <v>2116683.1800000002</v>
      </c>
      <c r="E264" s="15"/>
      <c r="F264" s="35">
        <f>IF(D$12=0,0,D264/D$12)</f>
        <v>3.0650104792132087</v>
      </c>
      <c r="G264" s="15"/>
      <c r="H264" s="30">
        <f>SUM(H261:H263)</f>
        <v>-388572.66000000003</v>
      </c>
      <c r="I264" s="15"/>
      <c r="J264" s="35">
        <f>IF(H$12=0,0,H264/H$12)</f>
        <v>-1.1804042509815651</v>
      </c>
      <c r="K264" s="17"/>
      <c r="L264" s="30">
        <f>+D264-H264</f>
        <v>2505255.8400000003</v>
      </c>
      <c r="M264" s="17"/>
      <c r="N264" s="35">
        <f>IF(H264=0,0,L264/H264)</f>
        <v>-6.4473291558906904</v>
      </c>
      <c r="O264" s="27"/>
      <c r="P264" s="30">
        <f>SUM(P261:P263)</f>
        <v>2513611.38</v>
      </c>
      <c r="Q264" s="15"/>
      <c r="R264" s="35">
        <f>IF(P$12=0,0,P264/P$12)</f>
        <v>0.23504190209334061</v>
      </c>
      <c r="S264" s="15"/>
      <c r="T264" s="30">
        <f>SUM(T261:T263)</f>
        <v>-1716195.1200000062</v>
      </c>
      <c r="U264" s="15"/>
      <c r="V264" s="35">
        <f>IF(T$12=0,0,T264/T$12)</f>
        <v>-0.21158462397762839</v>
      </c>
      <c r="W264" s="17"/>
      <c r="X264" s="30">
        <f>+P264-T264</f>
        <v>4229806.5000000056</v>
      </c>
      <c r="Y264" s="17"/>
      <c r="Z264" s="35">
        <f>IF(T264=0,0,X264/T264)</f>
        <v>-2.4646419574948975</v>
      </c>
    </row>
    <row r="265" spans="1:26" ht="15" customHeight="1" x14ac:dyDescent="0.3">
      <c r="A265" s="12"/>
      <c r="C265" s="12"/>
      <c r="D265" s="19"/>
      <c r="E265" s="19"/>
      <c r="G265" s="19"/>
      <c r="H265" s="19"/>
      <c r="I265" s="19"/>
      <c r="J265" s="41"/>
      <c r="K265" s="19"/>
      <c r="L265" s="19"/>
      <c r="M265" s="19"/>
      <c r="P265" s="19"/>
      <c r="Q265" s="19"/>
      <c r="R265" s="41"/>
      <c r="S265" s="19"/>
      <c r="T265" s="19"/>
      <c r="U265" s="19"/>
      <c r="V265" s="41"/>
      <c r="W265" s="19"/>
      <c r="X265" s="19"/>
    </row>
    <row r="266" spans="1:26" ht="15" customHeight="1" x14ac:dyDescent="0.3">
      <c r="A266" s="12"/>
      <c r="B266" s="54">
        <v>44767.815874502317</v>
      </c>
      <c r="D266" s="19"/>
      <c r="E266" s="19"/>
      <c r="G266" s="19"/>
      <c r="H266" s="19"/>
      <c r="I266" s="19"/>
      <c r="J266" s="41"/>
      <c r="K266" s="19"/>
      <c r="L266" s="19"/>
      <c r="M266" s="19"/>
      <c r="P266" s="19"/>
      <c r="Q266" s="19"/>
      <c r="R266" s="41"/>
      <c r="S266" s="19"/>
      <c r="T266" s="19"/>
      <c r="U266" s="19"/>
      <c r="V266" s="41"/>
      <c r="W266" s="19"/>
      <c r="X266" s="19"/>
    </row>
    <row r="267" spans="1:26" ht="15" customHeight="1" x14ac:dyDescent="0.3">
      <c r="A267" s="12"/>
      <c r="B267" s="53" t="s">
        <v>297</v>
      </c>
      <c r="D267" s="19"/>
      <c r="E267" s="19"/>
      <c r="G267" s="19"/>
      <c r="H267" s="19"/>
      <c r="I267" s="19"/>
      <c r="J267" s="41"/>
      <c r="K267" s="19"/>
      <c r="L267" s="19"/>
      <c r="M267" s="19"/>
      <c r="P267" s="19"/>
      <c r="Q267" s="19"/>
      <c r="R267" s="41"/>
      <c r="S267" s="19"/>
      <c r="T267" s="19"/>
      <c r="U267" s="19"/>
      <c r="V267" s="41"/>
      <c r="W267" s="19"/>
      <c r="X267" s="19"/>
    </row>
    <row r="268" spans="1:26" ht="15" customHeight="1" x14ac:dyDescent="0.3">
      <c r="A268" s="12"/>
      <c r="B268" s="51"/>
      <c r="D268" s="19"/>
      <c r="E268" s="19"/>
      <c r="G268" s="19"/>
      <c r="H268" s="19"/>
      <c r="I268" s="19"/>
      <c r="J268" s="41"/>
      <c r="K268" s="19"/>
      <c r="L268" s="19"/>
      <c r="M268" s="19"/>
      <c r="P268" s="19"/>
      <c r="Q268" s="19"/>
      <c r="R268" s="41"/>
      <c r="S268" s="19"/>
      <c r="T268" s="19"/>
      <c r="U268" s="19"/>
      <c r="V268" s="41"/>
      <c r="W268" s="19"/>
      <c r="X268" s="19"/>
    </row>
    <row r="269" spans="1:26" ht="15" customHeight="1" x14ac:dyDescent="0.3">
      <c r="D269" s="19"/>
      <c r="E269" s="19"/>
      <c r="G269" s="19"/>
      <c r="H269" s="19"/>
      <c r="I269" s="19"/>
      <c r="J269" s="41"/>
      <c r="K269" s="19"/>
      <c r="L269" s="19"/>
      <c r="M269" s="19"/>
      <c r="P269" s="19"/>
      <c r="Q269" s="19"/>
      <c r="R269" s="41"/>
      <c r="S269" s="19"/>
      <c r="T269" s="19"/>
      <c r="U269" s="19"/>
      <c r="V269" s="41"/>
      <c r="W269" s="19"/>
      <c r="X26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57C98-4928-3125-297D-A93FAA1F5FB5}">
  <sheetPr>
    <tabColor rgb="FF92D05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","301"," - ","Bookstore Operations")</f>
        <v>Department 301 - Bookstore Operations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collapsed="1" x14ac:dyDescent="0.3">
      <c r="A14" s="13"/>
      <c r="B14" s="27" t="s">
        <v>287</v>
      </c>
      <c r="C14" s="13"/>
      <c r="D14" s="8">
        <f>SUM(OSRRefD16x_0)</f>
        <v>0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SUM(OSRRefP16x_0)</f>
        <v>0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","5000"," - ","PURCHASES @ COST")</f>
        <v xml:space="preserve">          5000 - PURCHASES @ COST</v>
      </c>
      <c r="C15" s="9"/>
      <c r="D15" s="3"/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0</v>
      </c>
      <c r="M15" s="3"/>
      <c r="N15" s="26">
        <f>IF(H15=0,0,L15/H15)</f>
        <v>0</v>
      </c>
      <c r="O15" s="9"/>
      <c r="P15" s="3">
        <v>0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0</v>
      </c>
      <c r="Y15" s="3"/>
      <c r="Z15" s="26">
        <f>IF(T15=0,0,X15/T15)</f>
        <v>0</v>
      </c>
    </row>
    <row r="16" spans="1:26" s="69" customFormat="1" ht="15" hidden="1" customHeight="1" outlineLevel="1" x14ac:dyDescent="0.3">
      <c r="A16" s="47"/>
      <c r="B16" s="9" t="str">
        <f>CONCATENATE("          ","5501"," - ","FREIGHT-IN-NEW TEXT")</f>
        <v xml:space="preserve">          5501 - FREIGHT-IN-NEW TEXT</v>
      </c>
      <c r="C16" s="9"/>
      <c r="D16" s="3"/>
      <c r="E16" s="3"/>
      <c r="F16" s="26">
        <f>IF(D$12=0,0,D16/D$12)</f>
        <v>0</v>
      </c>
      <c r="G16" s="3"/>
      <c r="H16" s="3"/>
      <c r="I16" s="3"/>
      <c r="J16" s="26">
        <f>IF(H$12=0,0,H16/H$12)</f>
        <v>0</v>
      </c>
      <c r="K16" s="3"/>
      <c r="L16" s="3">
        <f>+D16-H16</f>
        <v>0</v>
      </c>
      <c r="M16" s="3"/>
      <c r="N16" s="26">
        <f>IF(H16=0,0,L16/H16)</f>
        <v>0</v>
      </c>
      <c r="O16" s="9"/>
      <c r="P16" s="3"/>
      <c r="Q16" s="3"/>
      <c r="R16" s="26">
        <f>IF(P$12=0,0,P16/P$12)</f>
        <v>0</v>
      </c>
      <c r="S16" s="3"/>
      <c r="T16" s="3">
        <v>0</v>
      </c>
      <c r="U16" s="3"/>
      <c r="V16" s="26">
        <f>IF(T$12=0,0,T16/T$12)</f>
        <v>0</v>
      </c>
      <c r="W16" s="3"/>
      <c r="X16" s="3">
        <f>+P16-T16</f>
        <v>0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x14ac:dyDescent="0.3">
      <c r="A18" s="13"/>
      <c r="B18" s="28" t="s">
        <v>288</v>
      </c>
      <c r="C18" s="28"/>
      <c r="D18" s="22">
        <f>D12-D14</f>
        <v>0</v>
      </c>
      <c r="E18" s="15"/>
      <c r="F18" s="24">
        <f>IF(D$12=0,0,D18/D$12)</f>
        <v>0</v>
      </c>
      <c r="G18" s="15"/>
      <c r="H18" s="22">
        <f>H12-H14</f>
        <v>0</v>
      </c>
      <c r="I18" s="15"/>
      <c r="J18" s="24">
        <f>IF(H$12=0,0,H18/H$12)</f>
        <v>0</v>
      </c>
      <c r="K18" s="17"/>
      <c r="L18" s="22">
        <f>+D18-H18</f>
        <v>0</v>
      </c>
      <c r="M18" s="17"/>
      <c r="N18" s="24">
        <f>IF(H18=0,0,L18/H18)</f>
        <v>0</v>
      </c>
      <c r="O18" s="27"/>
      <c r="P18" s="22">
        <f>P12-P14</f>
        <v>0</v>
      </c>
      <c r="Q18" s="15"/>
      <c r="R18" s="24">
        <f>IF(P$12=0,0,P18/P$12)</f>
        <v>0</v>
      </c>
      <c r="S18" s="15"/>
      <c r="T18" s="22">
        <f>T12-T14</f>
        <v>0</v>
      </c>
      <c r="U18" s="15"/>
      <c r="V18" s="24">
        <f>IF(T$12=0,0,T18/T$12)</f>
        <v>0</v>
      </c>
      <c r="W18" s="17"/>
      <c r="X18" s="22">
        <f>+P18-T18</f>
        <v>0</v>
      </c>
      <c r="Y18" s="17"/>
      <c r="Z18" s="24">
        <f>IF(T18=0,0,X18/T18)</f>
        <v>0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289</v>
      </c>
      <c r="C20" s="13"/>
      <c r="D20" s="23" cm="1">
        <f t="array" ref="D20">SUM(OSRRefD22x_0)</f>
        <v>131379.96</v>
      </c>
      <c r="E20" s="23"/>
      <c r="F20" s="34">
        <f t="shared" ref="F20:F51" si="0">IF(D$12=0,0,D20/D$12)</f>
        <v>0</v>
      </c>
      <c r="G20" s="23"/>
      <c r="H20" s="23" cm="1">
        <f t="array" ref="H20">SUM(OSRRefH22x_0)</f>
        <v>128997.91</v>
      </c>
      <c r="I20" s="23"/>
      <c r="J20" s="34">
        <f t="shared" ref="J20:J51" si="1">IF(H$12=0,0,H20/H$12)</f>
        <v>0</v>
      </c>
      <c r="K20" s="8"/>
      <c r="L20" s="23">
        <f t="shared" ref="L20:L51" si="2">+D20-H20</f>
        <v>2382.0499999999884</v>
      </c>
      <c r="M20" s="8"/>
      <c r="N20" s="34">
        <f t="shared" ref="N20:N51" si="3">IF(H20=0,0,L20/H20)</f>
        <v>1.8465803050607472E-2</v>
      </c>
      <c r="O20" s="13"/>
      <c r="P20" s="23" cm="1">
        <f t="array" ref="P20">SUM(OSRRefP22x_0)</f>
        <v>1695484.3599999996</v>
      </c>
      <c r="Q20" s="23"/>
      <c r="R20" s="34">
        <f t="shared" ref="R20:R51" si="4">IF(P$12=0,0,P20/P$12)</f>
        <v>0</v>
      </c>
      <c r="S20" s="23"/>
      <c r="T20" s="23" cm="1">
        <f t="array" ref="T20">SUM(OSRRefT22x_0)</f>
        <v>1437868.1599999997</v>
      </c>
      <c r="U20" s="23"/>
      <c r="V20" s="34">
        <f t="shared" ref="V20:V51" si="5">IF(T$12=0,0,T20/T$12)</f>
        <v>0</v>
      </c>
      <c r="W20" s="8"/>
      <c r="X20" s="23">
        <f t="shared" ref="X20:X51" si="6">+P20-T20</f>
        <v>257616.19999999995</v>
      </c>
      <c r="Y20" s="8"/>
      <c r="Z20" s="34">
        <f t="shared" ref="Z20:Z51" si="7">IF(T20=0,0,X20/T20)</f>
        <v>0.17916538328521026</v>
      </c>
    </row>
    <row r="21" spans="1:26" s="68" customFormat="1" ht="15" customHeight="1" outlineLevel="1" collapsed="1" x14ac:dyDescent="0.3">
      <c r="A21" s="20"/>
      <c r="B21" s="11" t="str">
        <f>CONCATENATE("     ","*Benefits                                         ")</f>
        <v xml:space="preserve">     *Benefits                                         </v>
      </c>
      <c r="C21" s="11"/>
      <c r="D21" s="2">
        <f>SUM(OSRRefD22_0x_0)</f>
        <v>9187.4</v>
      </c>
      <c r="E21" s="2"/>
      <c r="F21" s="5">
        <f t="shared" si="0"/>
        <v>0</v>
      </c>
      <c r="G21" s="2"/>
      <c r="H21" s="2">
        <f>SUM(OSRRefH22_0x_0)</f>
        <v>16865.480000000003</v>
      </c>
      <c r="I21" s="2"/>
      <c r="J21" s="5">
        <f t="shared" si="1"/>
        <v>0</v>
      </c>
      <c r="K21" s="2"/>
      <c r="L21" s="2">
        <f t="shared" si="2"/>
        <v>-7678.0800000000036</v>
      </c>
      <c r="M21" s="2"/>
      <c r="N21" s="5">
        <f t="shared" si="3"/>
        <v>-0.4552541641269624</v>
      </c>
      <c r="O21" s="11"/>
      <c r="P21" s="2">
        <f>SUM(OSRRefP22_0x_0)</f>
        <v>168437</v>
      </c>
      <c r="Q21" s="2"/>
      <c r="R21" s="5">
        <f t="shared" si="4"/>
        <v>0</v>
      </c>
      <c r="S21" s="2"/>
      <c r="T21" s="2">
        <f>SUM(OSRRefT22_0x_0)</f>
        <v>128077.10999999999</v>
      </c>
      <c r="U21" s="2"/>
      <c r="V21" s="5">
        <f t="shared" si="5"/>
        <v>0</v>
      </c>
      <c r="W21" s="2"/>
      <c r="X21" s="2">
        <f t="shared" si="6"/>
        <v>40359.890000000014</v>
      </c>
      <c r="Y21" s="2"/>
      <c r="Z21" s="5">
        <f t="shared" si="7"/>
        <v>0.31512180435676618</v>
      </c>
    </row>
    <row r="22" spans="1:26" s="69" customFormat="1" ht="15" hidden="1" customHeight="1" outlineLevel="2" x14ac:dyDescent="0.3">
      <c r="A22" s="21"/>
      <c r="B22" s="9" t="str">
        <f>CONCATENATE("          ","6111"," - ","F.I.C.A.")</f>
        <v xml:space="preserve">          6111 - F.I.C.A.</v>
      </c>
      <c r="C22" s="9"/>
      <c r="D22" s="6">
        <v>3468.62</v>
      </c>
      <c r="E22" s="3"/>
      <c r="F22" s="7">
        <f t="shared" si="0"/>
        <v>0</v>
      </c>
      <c r="G22" s="3"/>
      <c r="H22" s="6">
        <v>2598.31</v>
      </c>
      <c r="I22" s="3"/>
      <c r="J22" s="7">
        <f t="shared" si="1"/>
        <v>0</v>
      </c>
      <c r="K22" s="3"/>
      <c r="L22" s="6">
        <f t="shared" si="2"/>
        <v>870.31</v>
      </c>
      <c r="M22" s="3"/>
      <c r="N22" s="7">
        <f t="shared" si="3"/>
        <v>0.33495233440197664</v>
      </c>
      <c r="O22" s="9"/>
      <c r="P22" s="6">
        <v>32182.43</v>
      </c>
      <c r="Q22" s="3"/>
      <c r="R22" s="7">
        <f t="shared" si="4"/>
        <v>0</v>
      </c>
      <c r="S22" s="3"/>
      <c r="T22" s="6">
        <v>28065.61</v>
      </c>
      <c r="U22" s="3"/>
      <c r="V22" s="7">
        <f t="shared" si="5"/>
        <v>0</v>
      </c>
      <c r="W22" s="3"/>
      <c r="X22" s="6">
        <f t="shared" si="6"/>
        <v>4116.82</v>
      </c>
      <c r="Y22" s="3"/>
      <c r="Z22" s="7">
        <f t="shared" si="7"/>
        <v>0.14668556999117424</v>
      </c>
    </row>
    <row r="23" spans="1:26" s="69" customFormat="1" ht="15" hidden="1" customHeight="1" outlineLevel="2" x14ac:dyDescent="0.3">
      <c r="A23" s="21"/>
      <c r="B23" s="9" t="str">
        <f>CONCATENATE("          ","6112"," - ","COMPENSATION INSURANCE")</f>
        <v xml:space="preserve">          6112 - COMPENSATION INSURANCE</v>
      </c>
      <c r="C23" s="9"/>
      <c r="D23" s="6">
        <v>-5298.61</v>
      </c>
      <c r="E23" s="3"/>
      <c r="F23" s="7">
        <f t="shared" si="0"/>
        <v>0</v>
      </c>
      <c r="G23" s="3"/>
      <c r="H23" s="6">
        <v>611.91</v>
      </c>
      <c r="I23" s="3"/>
      <c r="J23" s="7">
        <f t="shared" si="1"/>
        <v>0</v>
      </c>
      <c r="K23" s="3"/>
      <c r="L23" s="6">
        <f t="shared" si="2"/>
        <v>-5910.5199999999995</v>
      </c>
      <c r="M23" s="3"/>
      <c r="N23" s="7">
        <f t="shared" si="3"/>
        <v>-9.6591328790181556</v>
      </c>
      <c r="O23" s="9"/>
      <c r="P23" s="6">
        <v>3371.82</v>
      </c>
      <c r="Q23" s="3"/>
      <c r="R23" s="7">
        <f t="shared" si="4"/>
        <v>0</v>
      </c>
      <c r="S23" s="3"/>
      <c r="T23" s="6">
        <v>8418.57</v>
      </c>
      <c r="U23" s="3"/>
      <c r="V23" s="7">
        <f t="shared" si="5"/>
        <v>0</v>
      </c>
      <c r="W23" s="3"/>
      <c r="X23" s="6">
        <f t="shared" si="6"/>
        <v>-5046.75</v>
      </c>
      <c r="Y23" s="3"/>
      <c r="Z23" s="7">
        <f t="shared" si="7"/>
        <v>-0.5994782961951971</v>
      </c>
    </row>
    <row r="24" spans="1:26" s="69" customFormat="1" ht="15" hidden="1" customHeight="1" outlineLevel="2" x14ac:dyDescent="0.3">
      <c r="A24" s="21"/>
      <c r="B24" s="9" t="str">
        <f>CONCATENATE("          ","6113"," - ","GROUP INSURANCE")</f>
        <v xml:space="preserve">          6113 - GROUP INSURANCE</v>
      </c>
      <c r="C24" s="9"/>
      <c r="D24" s="6">
        <v>5483.07</v>
      </c>
      <c r="E24" s="3"/>
      <c r="F24" s="7">
        <f t="shared" si="0"/>
        <v>0</v>
      </c>
      <c r="G24" s="3"/>
      <c r="H24" s="6">
        <v>5096.28</v>
      </c>
      <c r="I24" s="3"/>
      <c r="J24" s="7">
        <f t="shared" si="1"/>
        <v>0</v>
      </c>
      <c r="K24" s="3"/>
      <c r="L24" s="6">
        <f t="shared" si="2"/>
        <v>386.78999999999996</v>
      </c>
      <c r="M24" s="3"/>
      <c r="N24" s="7">
        <f t="shared" si="3"/>
        <v>7.5896536297063735E-2</v>
      </c>
      <c r="O24" s="9"/>
      <c r="P24" s="6">
        <v>62287</v>
      </c>
      <c r="Q24" s="3"/>
      <c r="R24" s="7">
        <f t="shared" si="4"/>
        <v>0</v>
      </c>
      <c r="S24" s="3"/>
      <c r="T24" s="6">
        <v>40429.410000000003</v>
      </c>
      <c r="U24" s="3"/>
      <c r="V24" s="7">
        <f t="shared" si="5"/>
        <v>0</v>
      </c>
      <c r="W24" s="3"/>
      <c r="X24" s="6">
        <f t="shared" si="6"/>
        <v>21857.589999999997</v>
      </c>
      <c r="Y24" s="3"/>
      <c r="Z24" s="7">
        <f t="shared" si="7"/>
        <v>0.54063588857715195</v>
      </c>
    </row>
    <row r="25" spans="1:26" s="69" customFormat="1" ht="15" hidden="1" customHeight="1" outlineLevel="2" x14ac:dyDescent="0.3">
      <c r="A25" s="21"/>
      <c r="B25" s="9" t="str">
        <f>CONCATENATE("          ","6114"," - ","STATE UNEMPLOYMENT INSURANCE")</f>
        <v xml:space="preserve">          6114 - STATE UNEMPLOYMENT INSURANCE</v>
      </c>
      <c r="C25" s="9"/>
      <c r="D25" s="6"/>
      <c r="E25" s="3"/>
      <c r="F25" s="7">
        <f t="shared" si="0"/>
        <v>0</v>
      </c>
      <c r="G25" s="3"/>
      <c r="H25" s="6">
        <v>93.29</v>
      </c>
      <c r="I25" s="3"/>
      <c r="J25" s="7">
        <f t="shared" si="1"/>
        <v>0</v>
      </c>
      <c r="K25" s="3"/>
      <c r="L25" s="6">
        <f t="shared" si="2"/>
        <v>-93.29</v>
      </c>
      <c r="M25" s="3"/>
      <c r="N25" s="7">
        <f t="shared" si="3"/>
        <v>-1</v>
      </c>
      <c r="O25" s="9"/>
      <c r="P25" s="6">
        <v>1547.54</v>
      </c>
      <c r="Q25" s="3"/>
      <c r="R25" s="7">
        <f t="shared" si="4"/>
        <v>0</v>
      </c>
      <c r="S25" s="3"/>
      <c r="T25" s="6">
        <v>1306.75</v>
      </c>
      <c r="U25" s="3"/>
      <c r="V25" s="7">
        <f t="shared" si="5"/>
        <v>0</v>
      </c>
      <c r="W25" s="3"/>
      <c r="X25" s="6">
        <f t="shared" si="6"/>
        <v>240.78999999999996</v>
      </c>
      <c r="Y25" s="3"/>
      <c r="Z25" s="7">
        <f t="shared" si="7"/>
        <v>0.18426630954658502</v>
      </c>
    </row>
    <row r="26" spans="1:26" s="69" customFormat="1" ht="15" hidden="1" customHeight="1" outlineLevel="2" x14ac:dyDescent="0.3">
      <c r="A26" s="21"/>
      <c r="B26" s="9" t="str">
        <f>CONCATENATE("          ","6115"," - ","P.E.R.S.")</f>
        <v xml:space="preserve">          6115 - P.E.R.S.</v>
      </c>
      <c r="C26" s="9"/>
      <c r="D26" s="6">
        <v>1504.56</v>
      </c>
      <c r="E26" s="3"/>
      <c r="F26" s="7">
        <f t="shared" si="0"/>
        <v>0</v>
      </c>
      <c r="G26" s="3"/>
      <c r="H26" s="6">
        <v>4061.04</v>
      </c>
      <c r="I26" s="3"/>
      <c r="J26" s="7">
        <f t="shared" si="1"/>
        <v>0</v>
      </c>
      <c r="K26" s="3"/>
      <c r="L26" s="6">
        <f t="shared" si="2"/>
        <v>-2556.48</v>
      </c>
      <c r="M26" s="3"/>
      <c r="N26" s="7">
        <f t="shared" si="3"/>
        <v>-0.62951362212635187</v>
      </c>
      <c r="O26" s="9"/>
      <c r="P26" s="6">
        <v>19899.669999999998</v>
      </c>
      <c r="Q26" s="3"/>
      <c r="R26" s="7">
        <f t="shared" si="4"/>
        <v>0</v>
      </c>
      <c r="S26" s="3"/>
      <c r="T26" s="6">
        <v>17664.84</v>
      </c>
      <c r="U26" s="3"/>
      <c r="V26" s="7">
        <f t="shared" si="5"/>
        <v>0</v>
      </c>
      <c r="W26" s="3"/>
      <c r="X26" s="6">
        <f t="shared" si="6"/>
        <v>2234.8299999999981</v>
      </c>
      <c r="Y26" s="3"/>
      <c r="Z26" s="7">
        <f t="shared" si="7"/>
        <v>0.12651289227640886</v>
      </c>
    </row>
    <row r="27" spans="1:26" s="69" customFormat="1" ht="15" hidden="1" customHeight="1" outlineLevel="2" x14ac:dyDescent="0.3">
      <c r="A27" s="21"/>
      <c r="B27" s="9" t="str">
        <f>CONCATENATE("          ","6116"," - ","EDUCATIONAL BENEFITS")</f>
        <v xml:space="preserve">          6116 - EDUCATIONAL BENEFITS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401.9</v>
      </c>
      <c r="U27" s="3"/>
      <c r="V27" s="7">
        <f t="shared" si="5"/>
        <v>0</v>
      </c>
      <c r="W27" s="3"/>
      <c r="X27" s="6">
        <f t="shared" si="6"/>
        <v>-401.9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1"/>
      <c r="B28" s="9" t="str">
        <f>CONCATENATE("          ","6117"," - ","RETIREMENT STAFF HOURLY")</f>
        <v xml:space="preserve">          6117 - RETIREMENT STAFF HOURLY</v>
      </c>
      <c r="C28" s="9"/>
      <c r="D28" s="6">
        <v>487.5</v>
      </c>
      <c r="E28" s="3"/>
      <c r="F28" s="7">
        <f t="shared" si="0"/>
        <v>0</v>
      </c>
      <c r="G28" s="3"/>
      <c r="H28" s="6">
        <v>284.52999999999997</v>
      </c>
      <c r="I28" s="3"/>
      <c r="J28" s="7">
        <f t="shared" si="1"/>
        <v>0</v>
      </c>
      <c r="K28" s="3"/>
      <c r="L28" s="6">
        <f t="shared" si="2"/>
        <v>202.97000000000003</v>
      </c>
      <c r="M28" s="3"/>
      <c r="N28" s="7">
        <f t="shared" si="3"/>
        <v>0.71335184339085522</v>
      </c>
      <c r="O28" s="9"/>
      <c r="P28" s="6">
        <v>4647.32</v>
      </c>
      <c r="Q28" s="3"/>
      <c r="R28" s="7">
        <f t="shared" si="4"/>
        <v>0</v>
      </c>
      <c r="S28" s="3"/>
      <c r="T28" s="6">
        <v>1521.45</v>
      </c>
      <c r="U28" s="3"/>
      <c r="V28" s="7">
        <f t="shared" si="5"/>
        <v>0</v>
      </c>
      <c r="W28" s="3"/>
      <c r="X28" s="6">
        <f t="shared" si="6"/>
        <v>3125.87</v>
      </c>
      <c r="Y28" s="3"/>
      <c r="Z28" s="7">
        <f t="shared" si="7"/>
        <v>2.0545335042229449</v>
      </c>
    </row>
    <row r="29" spans="1:26" s="69" customFormat="1" ht="15" hidden="1" customHeight="1" outlineLevel="2" x14ac:dyDescent="0.3">
      <c r="A29" s="21"/>
      <c r="B29" s="9" t="str">
        <f>CONCATENATE("          ","6118"," - ","VACATION")</f>
        <v xml:space="preserve">          6118 - VACATION</v>
      </c>
      <c r="C29" s="9"/>
      <c r="D29" s="6">
        <v>1605.49</v>
      </c>
      <c r="E29" s="3"/>
      <c r="F29" s="7">
        <f t="shared" si="0"/>
        <v>0</v>
      </c>
      <c r="G29" s="3"/>
      <c r="H29" s="6">
        <v>1692.34</v>
      </c>
      <c r="I29" s="3"/>
      <c r="J29" s="7">
        <f t="shared" si="1"/>
        <v>0</v>
      </c>
      <c r="K29" s="3"/>
      <c r="L29" s="6">
        <f t="shared" si="2"/>
        <v>-86.849999999999909</v>
      </c>
      <c r="M29" s="3"/>
      <c r="N29" s="7">
        <f t="shared" si="3"/>
        <v>-5.13194748100263E-2</v>
      </c>
      <c r="O29" s="9"/>
      <c r="P29" s="6">
        <v>19382.27</v>
      </c>
      <c r="Q29" s="3"/>
      <c r="R29" s="7">
        <f t="shared" si="4"/>
        <v>0</v>
      </c>
      <c r="S29" s="3"/>
      <c r="T29" s="6">
        <v>15090.74</v>
      </c>
      <c r="U29" s="3"/>
      <c r="V29" s="7">
        <f t="shared" si="5"/>
        <v>0</v>
      </c>
      <c r="W29" s="3"/>
      <c r="X29" s="6">
        <f t="shared" si="6"/>
        <v>4291.5300000000007</v>
      </c>
      <c r="Y29" s="3"/>
      <c r="Z29" s="7">
        <f t="shared" si="7"/>
        <v>0.28438168042123851</v>
      </c>
    </row>
    <row r="30" spans="1:26" s="69" customFormat="1" ht="15" hidden="1" customHeight="1" outlineLevel="2" x14ac:dyDescent="0.3">
      <c r="A30" s="21"/>
      <c r="B30" s="9" t="str">
        <f>CONCATENATE("          ","6119"," - ","SICK LEAVE")</f>
        <v xml:space="preserve">          6119 - SICK LEAVE</v>
      </c>
      <c r="C30" s="9"/>
      <c r="D30" s="6">
        <v>1093.08</v>
      </c>
      <c r="E30" s="3"/>
      <c r="F30" s="7">
        <f t="shared" si="0"/>
        <v>0</v>
      </c>
      <c r="G30" s="3"/>
      <c r="H30" s="6">
        <v>2138.75</v>
      </c>
      <c r="I30" s="3"/>
      <c r="J30" s="7">
        <f t="shared" si="1"/>
        <v>0</v>
      </c>
      <c r="K30" s="3"/>
      <c r="L30" s="6">
        <f t="shared" si="2"/>
        <v>-1045.67</v>
      </c>
      <c r="M30" s="3"/>
      <c r="N30" s="7">
        <f t="shared" si="3"/>
        <v>-0.48891642314436007</v>
      </c>
      <c r="O30" s="9"/>
      <c r="P30" s="6">
        <v>16460.29</v>
      </c>
      <c r="Q30" s="3"/>
      <c r="R30" s="7">
        <f t="shared" si="4"/>
        <v>0</v>
      </c>
      <c r="S30" s="3"/>
      <c r="T30" s="6">
        <v>12449.08</v>
      </c>
      <c r="U30" s="3"/>
      <c r="V30" s="7">
        <f t="shared" si="5"/>
        <v>0</v>
      </c>
      <c r="W30" s="3"/>
      <c r="X30" s="6">
        <f t="shared" si="6"/>
        <v>4011.2100000000009</v>
      </c>
      <c r="Y30" s="3"/>
      <c r="Z30" s="7">
        <f t="shared" si="7"/>
        <v>0.32220935201637396</v>
      </c>
    </row>
    <row r="31" spans="1:26" s="69" customFormat="1" ht="15" hidden="1" customHeight="1" outlineLevel="2" x14ac:dyDescent="0.3">
      <c r="A31" s="21"/>
      <c r="B31" s="9" t="str">
        <f>CONCATENATE("          ","6156"," - ","EMPLOYEE MEALS")</f>
        <v xml:space="preserve">          6156 - EMPLOYEE MEALS</v>
      </c>
      <c r="C31" s="9"/>
      <c r="D31" s="6">
        <v>843.69</v>
      </c>
      <c r="E31" s="3"/>
      <c r="F31" s="7">
        <f t="shared" si="0"/>
        <v>0</v>
      </c>
      <c r="G31" s="3"/>
      <c r="H31" s="6">
        <v>289.02999999999997</v>
      </c>
      <c r="I31" s="3"/>
      <c r="J31" s="7">
        <f t="shared" si="1"/>
        <v>0</v>
      </c>
      <c r="K31" s="3"/>
      <c r="L31" s="6">
        <f t="shared" si="2"/>
        <v>554.66000000000008</v>
      </c>
      <c r="M31" s="3"/>
      <c r="N31" s="7">
        <f t="shared" si="3"/>
        <v>1.9190395460678826</v>
      </c>
      <c r="O31" s="9"/>
      <c r="P31" s="6">
        <v>8658.66</v>
      </c>
      <c r="Q31" s="3"/>
      <c r="R31" s="7">
        <f t="shared" si="4"/>
        <v>0</v>
      </c>
      <c r="S31" s="3"/>
      <c r="T31" s="6">
        <v>2728.76</v>
      </c>
      <c r="U31" s="3"/>
      <c r="V31" s="7">
        <f t="shared" si="5"/>
        <v>0</v>
      </c>
      <c r="W31" s="3"/>
      <c r="X31" s="6">
        <f t="shared" si="6"/>
        <v>5929.9</v>
      </c>
      <c r="Y31" s="3"/>
      <c r="Z31" s="7">
        <f t="shared" si="7"/>
        <v>2.1731115964760548</v>
      </c>
    </row>
    <row r="32" spans="1:26" s="68" customFormat="1" ht="15" customHeight="1" outlineLevel="1" collapsed="1" x14ac:dyDescent="0.3">
      <c r="A32" s="20"/>
      <c r="B32" s="11" t="str">
        <f>CONCATENATE("     ","*Payroll                                          ")</f>
        <v xml:space="preserve">     *Payroll                                          </v>
      </c>
      <c r="C32" s="11"/>
      <c r="D32" s="2">
        <f>SUM(OSRRefD22_1x_0)</f>
        <v>37167.699999999997</v>
      </c>
      <c r="E32" s="2"/>
      <c r="F32" s="5">
        <f t="shared" si="0"/>
        <v>0</v>
      </c>
      <c r="G32" s="2"/>
      <c r="H32" s="2">
        <f>SUM(OSRRefH22_1x_0)</f>
        <v>34034.379999999997</v>
      </c>
      <c r="I32" s="2"/>
      <c r="J32" s="5">
        <f t="shared" si="1"/>
        <v>0</v>
      </c>
      <c r="K32" s="2"/>
      <c r="L32" s="2">
        <f t="shared" si="2"/>
        <v>3133.3199999999997</v>
      </c>
      <c r="M32" s="2"/>
      <c r="N32" s="5">
        <f t="shared" si="3"/>
        <v>9.2063378266329515E-2</v>
      </c>
      <c r="O32" s="11"/>
      <c r="P32" s="2">
        <f>SUM(OSRRefP22_1x_0)</f>
        <v>622727.75000000012</v>
      </c>
      <c r="Q32" s="2"/>
      <c r="R32" s="5">
        <f t="shared" si="4"/>
        <v>0</v>
      </c>
      <c r="S32" s="2"/>
      <c r="T32" s="2">
        <f>SUM(OSRRefT22_1x_0)</f>
        <v>485624.97000000003</v>
      </c>
      <c r="U32" s="2"/>
      <c r="V32" s="5">
        <f t="shared" si="5"/>
        <v>0</v>
      </c>
      <c r="W32" s="2"/>
      <c r="X32" s="2">
        <f t="shared" si="6"/>
        <v>137102.78000000009</v>
      </c>
      <c r="Y32" s="2"/>
      <c r="Z32" s="5">
        <f t="shared" si="7"/>
        <v>0.28232234433908965</v>
      </c>
    </row>
    <row r="33" spans="1:26" s="69" customFormat="1" ht="15" hidden="1" customHeight="1" outlineLevel="2" x14ac:dyDescent="0.3">
      <c r="A33" s="21"/>
      <c r="B33" s="9" t="str">
        <f>CONCATENATE("          ","6001"," - ","ADMINISTRATIVE SALARIES")</f>
        <v xml:space="preserve">          6001 - ADMINISTRATIVE SALARIES</v>
      </c>
      <c r="C33" s="9"/>
      <c r="D33" s="6">
        <v>5124.17</v>
      </c>
      <c r="E33" s="3"/>
      <c r="F33" s="7">
        <f t="shared" si="0"/>
        <v>0</v>
      </c>
      <c r="G33" s="3"/>
      <c r="H33" s="6">
        <v>3583.28</v>
      </c>
      <c r="I33" s="3"/>
      <c r="J33" s="7">
        <f t="shared" si="1"/>
        <v>0</v>
      </c>
      <c r="K33" s="3"/>
      <c r="L33" s="6">
        <f t="shared" si="2"/>
        <v>1540.8899999999999</v>
      </c>
      <c r="M33" s="3"/>
      <c r="N33" s="7">
        <f t="shared" si="3"/>
        <v>0.43002221428411952</v>
      </c>
      <c r="O33" s="9"/>
      <c r="P33" s="6">
        <v>56517.3</v>
      </c>
      <c r="Q33" s="3"/>
      <c r="R33" s="7">
        <f t="shared" si="4"/>
        <v>0</v>
      </c>
      <c r="S33" s="3"/>
      <c r="T33" s="6">
        <v>51293.13</v>
      </c>
      <c r="U33" s="3"/>
      <c r="V33" s="7">
        <f t="shared" si="5"/>
        <v>0</v>
      </c>
      <c r="W33" s="3"/>
      <c r="X33" s="6">
        <f t="shared" si="6"/>
        <v>5224.1700000000055</v>
      </c>
      <c r="Y33" s="3"/>
      <c r="Z33" s="7">
        <f t="shared" si="7"/>
        <v>0.10184931198388568</v>
      </c>
    </row>
    <row r="34" spans="1:26" s="69" customFormat="1" ht="15" hidden="1" customHeight="1" outlineLevel="2" x14ac:dyDescent="0.3">
      <c r="A34" s="21"/>
      <c r="B34" s="9" t="str">
        <f>CONCATENATE("          ","6002"," - ","STAFF SALARIES")</f>
        <v xml:space="preserve">          6002 - STAFF SALARIES</v>
      </c>
      <c r="C34" s="9"/>
      <c r="D34" s="6">
        <v>6756.8</v>
      </c>
      <c r="E34" s="3"/>
      <c r="F34" s="7">
        <f t="shared" si="0"/>
        <v>0</v>
      </c>
      <c r="G34" s="3"/>
      <c r="H34" s="6">
        <v>9215.4</v>
      </c>
      <c r="I34" s="3"/>
      <c r="J34" s="7">
        <f t="shared" si="1"/>
        <v>0</v>
      </c>
      <c r="K34" s="3"/>
      <c r="L34" s="6">
        <f t="shared" si="2"/>
        <v>-2458.5999999999995</v>
      </c>
      <c r="M34" s="3"/>
      <c r="N34" s="7">
        <f t="shared" si="3"/>
        <v>-0.2667925429172906</v>
      </c>
      <c r="O34" s="9"/>
      <c r="P34" s="6">
        <v>130093.35</v>
      </c>
      <c r="Q34" s="3"/>
      <c r="R34" s="7">
        <f t="shared" si="4"/>
        <v>0</v>
      </c>
      <c r="S34" s="3"/>
      <c r="T34" s="6">
        <v>113216.97</v>
      </c>
      <c r="U34" s="3"/>
      <c r="V34" s="7">
        <f t="shared" si="5"/>
        <v>0</v>
      </c>
      <c r="W34" s="3"/>
      <c r="X34" s="6">
        <f t="shared" si="6"/>
        <v>16876.380000000005</v>
      </c>
      <c r="Y34" s="3"/>
      <c r="Z34" s="7">
        <f t="shared" si="7"/>
        <v>0.14906228280089109</v>
      </c>
    </row>
    <row r="35" spans="1:26" s="69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6768.92</v>
      </c>
      <c r="E35" s="3"/>
      <c r="F35" s="7">
        <f t="shared" si="0"/>
        <v>0</v>
      </c>
      <c r="G35" s="3"/>
      <c r="H35" s="6">
        <v>3451.2</v>
      </c>
      <c r="I35" s="3"/>
      <c r="J35" s="7">
        <f t="shared" si="1"/>
        <v>0</v>
      </c>
      <c r="K35" s="3"/>
      <c r="L35" s="6">
        <f t="shared" si="2"/>
        <v>3317.7200000000003</v>
      </c>
      <c r="M35" s="3"/>
      <c r="N35" s="7">
        <f t="shared" si="3"/>
        <v>0.96132359758924446</v>
      </c>
      <c r="O35" s="9"/>
      <c r="P35" s="6">
        <v>92444.02</v>
      </c>
      <c r="Q35" s="3"/>
      <c r="R35" s="7">
        <f t="shared" si="4"/>
        <v>0</v>
      </c>
      <c r="S35" s="3"/>
      <c r="T35" s="6">
        <v>35337.769999999997</v>
      </c>
      <c r="U35" s="3"/>
      <c r="V35" s="7">
        <f t="shared" si="5"/>
        <v>0</v>
      </c>
      <c r="W35" s="3"/>
      <c r="X35" s="6">
        <f t="shared" si="6"/>
        <v>57106.250000000007</v>
      </c>
      <c r="Y35" s="3"/>
      <c r="Z35" s="7">
        <f t="shared" si="7"/>
        <v>1.6160117064545956</v>
      </c>
    </row>
    <row r="36" spans="1:26" s="69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1991.37</v>
      </c>
      <c r="E36" s="3"/>
      <c r="F36" s="7">
        <f t="shared" si="0"/>
        <v>0</v>
      </c>
      <c r="G36" s="3"/>
      <c r="H36" s="6">
        <v>2227.59</v>
      </c>
      <c r="I36" s="3"/>
      <c r="J36" s="7">
        <f t="shared" si="1"/>
        <v>0</v>
      </c>
      <c r="K36" s="3"/>
      <c r="L36" s="6">
        <f t="shared" si="2"/>
        <v>-236.22000000000025</v>
      </c>
      <c r="M36" s="3"/>
      <c r="N36" s="7">
        <f t="shared" si="3"/>
        <v>-0.10604285348740129</v>
      </c>
      <c r="O36" s="9"/>
      <c r="P36" s="6">
        <v>32047.15</v>
      </c>
      <c r="Q36" s="3"/>
      <c r="R36" s="7">
        <f t="shared" si="4"/>
        <v>0</v>
      </c>
      <c r="S36" s="3"/>
      <c r="T36" s="6">
        <v>76810.009999999995</v>
      </c>
      <c r="U36" s="3"/>
      <c r="V36" s="7">
        <f t="shared" si="5"/>
        <v>0</v>
      </c>
      <c r="W36" s="3"/>
      <c r="X36" s="6">
        <f t="shared" si="6"/>
        <v>-44762.859999999993</v>
      </c>
      <c r="Y36" s="3"/>
      <c r="Z36" s="7">
        <f t="shared" si="7"/>
        <v>-0.58277378169850513</v>
      </c>
    </row>
    <row r="37" spans="1:26" s="69" customFormat="1" ht="15" hidden="1" customHeight="1" outlineLevel="2" x14ac:dyDescent="0.3">
      <c r="A37" s="21"/>
      <c r="B37" s="9" t="str">
        <f>CONCATENATE("          ","6006"," - ","TEMPORARY PART TIME")</f>
        <v xml:space="preserve">          6006 - TEMPORARY PART TIME</v>
      </c>
      <c r="C37" s="9"/>
      <c r="D37" s="6">
        <v>2996.89</v>
      </c>
      <c r="E37" s="3"/>
      <c r="F37" s="7">
        <f t="shared" si="0"/>
        <v>0</v>
      </c>
      <c r="G37" s="3"/>
      <c r="H37" s="6">
        <v>3926.42</v>
      </c>
      <c r="I37" s="3"/>
      <c r="J37" s="7">
        <f t="shared" si="1"/>
        <v>0</v>
      </c>
      <c r="K37" s="3"/>
      <c r="L37" s="6">
        <f t="shared" si="2"/>
        <v>-929.5300000000002</v>
      </c>
      <c r="M37" s="3"/>
      <c r="N37" s="7">
        <f t="shared" si="3"/>
        <v>-0.23673728230805674</v>
      </c>
      <c r="O37" s="9"/>
      <c r="P37" s="6">
        <v>22351.83</v>
      </c>
      <c r="Q37" s="3"/>
      <c r="R37" s="7">
        <f t="shared" si="4"/>
        <v>0</v>
      </c>
      <c r="S37" s="3"/>
      <c r="T37" s="6">
        <v>16436.509999999998</v>
      </c>
      <c r="U37" s="3"/>
      <c r="V37" s="7">
        <f t="shared" si="5"/>
        <v>0</v>
      </c>
      <c r="W37" s="3"/>
      <c r="X37" s="6">
        <f t="shared" si="6"/>
        <v>5915.3200000000033</v>
      </c>
      <c r="Y37" s="3"/>
      <c r="Z37" s="7">
        <f t="shared" si="7"/>
        <v>0.35988905187293435</v>
      </c>
    </row>
    <row r="38" spans="1:26" s="69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>
        <v>13178.7</v>
      </c>
      <c r="E38" s="3"/>
      <c r="F38" s="7">
        <f t="shared" si="0"/>
        <v>0</v>
      </c>
      <c r="G38" s="3"/>
      <c r="H38" s="6">
        <v>11506.17</v>
      </c>
      <c r="I38" s="3"/>
      <c r="J38" s="7">
        <f t="shared" si="1"/>
        <v>0</v>
      </c>
      <c r="K38" s="3"/>
      <c r="L38" s="6">
        <f t="shared" si="2"/>
        <v>1672.5300000000007</v>
      </c>
      <c r="M38" s="3"/>
      <c r="N38" s="7">
        <f t="shared" si="3"/>
        <v>0.14535940282474538</v>
      </c>
      <c r="O38" s="9"/>
      <c r="P38" s="6">
        <v>271632.82</v>
      </c>
      <c r="Q38" s="3"/>
      <c r="R38" s="7">
        <f t="shared" si="4"/>
        <v>0</v>
      </c>
      <c r="S38" s="3"/>
      <c r="T38" s="6">
        <v>192406.26</v>
      </c>
      <c r="U38" s="3"/>
      <c r="V38" s="7">
        <f t="shared" si="5"/>
        <v>0</v>
      </c>
      <c r="W38" s="3"/>
      <c r="X38" s="6">
        <f t="shared" si="6"/>
        <v>79226.559999999998</v>
      </c>
      <c r="Y38" s="3"/>
      <c r="Z38" s="7">
        <f t="shared" si="7"/>
        <v>0.41176705996987828</v>
      </c>
    </row>
    <row r="39" spans="1:26" s="69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>
        <v>350.85</v>
      </c>
      <c r="E39" s="3"/>
      <c r="F39" s="7">
        <f t="shared" si="0"/>
        <v>0</v>
      </c>
      <c r="G39" s="3"/>
      <c r="H39" s="6">
        <v>124.32</v>
      </c>
      <c r="I39" s="3"/>
      <c r="J39" s="7">
        <f t="shared" si="1"/>
        <v>0</v>
      </c>
      <c r="K39" s="3"/>
      <c r="L39" s="6">
        <f t="shared" si="2"/>
        <v>226.53000000000003</v>
      </c>
      <c r="M39" s="3"/>
      <c r="N39" s="7">
        <f t="shared" si="3"/>
        <v>1.82215250965251</v>
      </c>
      <c r="O39" s="9"/>
      <c r="P39" s="6">
        <v>17641.28</v>
      </c>
      <c r="Q39" s="3"/>
      <c r="R39" s="7">
        <f t="shared" si="4"/>
        <v>0</v>
      </c>
      <c r="S39" s="3"/>
      <c r="T39" s="6">
        <v>124.32</v>
      </c>
      <c r="U39" s="3"/>
      <c r="V39" s="7">
        <f t="shared" si="5"/>
        <v>0</v>
      </c>
      <c r="W39" s="3"/>
      <c r="X39" s="6">
        <f t="shared" si="6"/>
        <v>17516.96</v>
      </c>
      <c r="Y39" s="3"/>
      <c r="Z39" s="7">
        <f t="shared" si="7"/>
        <v>140.9021879021879</v>
      </c>
    </row>
    <row r="40" spans="1:26" s="68" customFormat="1" ht="15" customHeight="1" outlineLevel="1" collapsed="1" x14ac:dyDescent="0.3">
      <c r="A40" s="20"/>
      <c r="B40" s="11" t="str">
        <f>CONCATENATE("     ","Advertising/Promo                                 ")</f>
        <v xml:space="preserve">     Advertising/Promo                                 </v>
      </c>
      <c r="C40" s="11"/>
      <c r="D40" s="2">
        <f>SUM(OSRRefD22_2x_0)</f>
        <v>0</v>
      </c>
      <c r="E40" s="2"/>
      <c r="F40" s="5">
        <f t="shared" si="0"/>
        <v>0</v>
      </c>
      <c r="G40" s="2"/>
      <c r="H40" s="2">
        <f>SUM(OSRRefH22_2x_0)</f>
        <v>0</v>
      </c>
      <c r="I40" s="2"/>
      <c r="J40" s="5">
        <f t="shared" si="1"/>
        <v>0</v>
      </c>
      <c r="K40" s="2"/>
      <c r="L40" s="2">
        <f t="shared" si="2"/>
        <v>0</v>
      </c>
      <c r="M40" s="2"/>
      <c r="N40" s="5">
        <f t="shared" si="3"/>
        <v>0</v>
      </c>
      <c r="O40" s="11"/>
      <c r="P40" s="2">
        <f>SUM(OSRRefP22_2x_0)</f>
        <v>233.62</v>
      </c>
      <c r="Q40" s="2"/>
      <c r="R40" s="5">
        <f t="shared" si="4"/>
        <v>0</v>
      </c>
      <c r="S40" s="2"/>
      <c r="T40" s="2">
        <f>SUM(OSRRefT22_2x_0)</f>
        <v>525</v>
      </c>
      <c r="U40" s="2"/>
      <c r="V40" s="5">
        <f t="shared" si="5"/>
        <v>0</v>
      </c>
      <c r="W40" s="2"/>
      <c r="X40" s="2">
        <f t="shared" si="6"/>
        <v>-291.38</v>
      </c>
      <c r="Y40" s="2"/>
      <c r="Z40" s="5">
        <f t="shared" si="7"/>
        <v>-0.55500952380952384</v>
      </c>
    </row>
    <row r="41" spans="1:26" s="69" customFormat="1" ht="15" hidden="1" customHeight="1" outlineLevel="2" x14ac:dyDescent="0.3">
      <c r="A41" s="21"/>
      <c r="B41" s="9" t="str">
        <f>CONCATENATE("          ","6362"," - ","ADVERTISING EXPENSE")</f>
        <v xml:space="preserve">          6362 - ADVERTISING EXPENSE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233.62</v>
      </c>
      <c r="Q41" s="3"/>
      <c r="R41" s="7">
        <f t="shared" si="4"/>
        <v>0</v>
      </c>
      <c r="S41" s="3"/>
      <c r="T41" s="6">
        <v>525</v>
      </c>
      <c r="U41" s="3"/>
      <c r="V41" s="7">
        <f t="shared" si="5"/>
        <v>0</v>
      </c>
      <c r="W41" s="3"/>
      <c r="X41" s="6">
        <f t="shared" si="6"/>
        <v>-291.38</v>
      </c>
      <c r="Y41" s="3"/>
      <c r="Z41" s="7">
        <f t="shared" si="7"/>
        <v>-0.55500952380952384</v>
      </c>
    </row>
    <row r="42" spans="1:26" s="68" customFormat="1" ht="15" customHeight="1" outlineLevel="1" collapsed="1" x14ac:dyDescent="0.3">
      <c r="A42" s="20"/>
      <c r="B42" s="11" t="str">
        <f>CONCATENATE("     ","Bad Debts/Over/Short                              ")</f>
        <v xml:space="preserve">     Bad Debts/Over/Short                              </v>
      </c>
      <c r="C42" s="11"/>
      <c r="D42" s="2">
        <f>SUM(OSRRefD22_3x_0)</f>
        <v>0.39</v>
      </c>
      <c r="E42" s="2"/>
      <c r="F42" s="5">
        <f t="shared" si="0"/>
        <v>0</v>
      </c>
      <c r="G42" s="2"/>
      <c r="H42" s="2">
        <f>SUM(OSRRefH22_3x_0)</f>
        <v>10.46</v>
      </c>
      <c r="I42" s="2"/>
      <c r="J42" s="5">
        <f t="shared" si="1"/>
        <v>0</v>
      </c>
      <c r="K42" s="2"/>
      <c r="L42" s="2">
        <f t="shared" si="2"/>
        <v>-10.07</v>
      </c>
      <c r="M42" s="2"/>
      <c r="N42" s="5">
        <f t="shared" si="3"/>
        <v>-0.9627151051625239</v>
      </c>
      <c r="O42" s="11"/>
      <c r="P42" s="2">
        <f>SUM(OSRRefP22_3x_0)</f>
        <v>92.34</v>
      </c>
      <c r="Q42" s="2"/>
      <c r="R42" s="5">
        <f t="shared" si="4"/>
        <v>0</v>
      </c>
      <c r="S42" s="2"/>
      <c r="T42" s="2">
        <f>SUM(OSRRefT22_3x_0)</f>
        <v>5238.12</v>
      </c>
      <c r="U42" s="2"/>
      <c r="V42" s="5">
        <f t="shared" si="5"/>
        <v>0</v>
      </c>
      <c r="W42" s="2"/>
      <c r="X42" s="2">
        <f t="shared" si="6"/>
        <v>-5145.78</v>
      </c>
      <c r="Y42" s="2"/>
      <c r="Z42" s="5">
        <f t="shared" si="7"/>
        <v>-0.98237153788000275</v>
      </c>
    </row>
    <row r="43" spans="1:26" s="69" customFormat="1" ht="15" hidden="1" customHeight="1" outlineLevel="2" x14ac:dyDescent="0.3">
      <c r="A43" s="21"/>
      <c r="B43" s="9" t="str">
        <f>CONCATENATE("          ","6272"," - ","CASH (OVER/SHORT)")</f>
        <v xml:space="preserve">          6272 - CASH (OVER/SHORT)</v>
      </c>
      <c r="C43" s="9"/>
      <c r="D43" s="6">
        <v>0.39</v>
      </c>
      <c r="E43" s="3"/>
      <c r="F43" s="7">
        <f t="shared" si="0"/>
        <v>0</v>
      </c>
      <c r="G43" s="3"/>
      <c r="H43" s="6">
        <v>10.46</v>
      </c>
      <c r="I43" s="3"/>
      <c r="J43" s="7">
        <f t="shared" si="1"/>
        <v>0</v>
      </c>
      <c r="K43" s="3"/>
      <c r="L43" s="6">
        <f t="shared" si="2"/>
        <v>-10.07</v>
      </c>
      <c r="M43" s="3"/>
      <c r="N43" s="7">
        <f t="shared" si="3"/>
        <v>-0.9627151051625239</v>
      </c>
      <c r="O43" s="9"/>
      <c r="P43" s="6">
        <v>92.34</v>
      </c>
      <c r="Q43" s="3"/>
      <c r="R43" s="7">
        <f t="shared" si="4"/>
        <v>0</v>
      </c>
      <c r="S43" s="3"/>
      <c r="T43" s="6">
        <v>-111.3</v>
      </c>
      <c r="U43" s="3"/>
      <c r="V43" s="7">
        <f t="shared" si="5"/>
        <v>0</v>
      </c>
      <c r="W43" s="3"/>
      <c r="X43" s="6">
        <f t="shared" si="6"/>
        <v>203.64</v>
      </c>
      <c r="Y43" s="3"/>
      <c r="Z43" s="7">
        <f t="shared" si="7"/>
        <v>-1.8296495956873315</v>
      </c>
    </row>
    <row r="44" spans="1:26" s="69" customFormat="1" ht="15" hidden="1" customHeight="1" outlineLevel="2" x14ac:dyDescent="0.3">
      <c r="A44" s="21"/>
      <c r="B44" s="9" t="str">
        <f>CONCATENATE("          ","6342"," - ","BAD DEBT")</f>
        <v xml:space="preserve">          6342 - BAD DEBT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/>
      <c r="Q44" s="3"/>
      <c r="R44" s="7">
        <f t="shared" si="4"/>
        <v>0</v>
      </c>
      <c r="S44" s="3"/>
      <c r="T44" s="6">
        <v>5349.42</v>
      </c>
      <c r="U44" s="3"/>
      <c r="V44" s="7">
        <f t="shared" si="5"/>
        <v>0</v>
      </c>
      <c r="W44" s="3"/>
      <c r="X44" s="6">
        <f t="shared" si="6"/>
        <v>-5349.42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0"/>
      <c r="B45" s="11" t="str">
        <f>CONCATENATE("     ","Bank/card Fees                                    ")</f>
        <v xml:space="preserve">     Bank/card Fees                                    </v>
      </c>
      <c r="C45" s="11"/>
      <c r="D45" s="2">
        <f>SUM(OSRRefD22_4x_0)</f>
        <v>5770.1</v>
      </c>
      <c r="E45" s="2"/>
      <c r="F45" s="5">
        <f t="shared" si="0"/>
        <v>0</v>
      </c>
      <c r="G45" s="2"/>
      <c r="H45" s="2">
        <f>SUM(OSRRefH22_4x_0)</f>
        <v>9778.41</v>
      </c>
      <c r="I45" s="2"/>
      <c r="J45" s="5">
        <f t="shared" si="1"/>
        <v>0</v>
      </c>
      <c r="K45" s="2"/>
      <c r="L45" s="2">
        <f t="shared" si="2"/>
        <v>-4008.3099999999995</v>
      </c>
      <c r="M45" s="2"/>
      <c r="N45" s="5">
        <f t="shared" si="3"/>
        <v>-0.40991429076915364</v>
      </c>
      <c r="O45" s="11"/>
      <c r="P45" s="2">
        <f>SUM(OSRRefP22_4x_0)</f>
        <v>142438.79</v>
      </c>
      <c r="Q45" s="2"/>
      <c r="R45" s="5">
        <f t="shared" si="4"/>
        <v>0</v>
      </c>
      <c r="S45" s="2"/>
      <c r="T45" s="2">
        <f>SUM(OSRRefT22_4x_0)</f>
        <v>83903.1</v>
      </c>
      <c r="U45" s="2"/>
      <c r="V45" s="5">
        <f t="shared" si="5"/>
        <v>0</v>
      </c>
      <c r="W45" s="2"/>
      <c r="X45" s="2">
        <f t="shared" si="6"/>
        <v>58535.69</v>
      </c>
      <c r="Y45" s="2"/>
      <c r="Z45" s="5">
        <f t="shared" si="7"/>
        <v>0.69765825100622025</v>
      </c>
    </row>
    <row r="46" spans="1:26" s="69" customFormat="1" ht="15" hidden="1" customHeight="1" outlineLevel="2" x14ac:dyDescent="0.3">
      <c r="A46" s="21"/>
      <c r="B46" s="9" t="str">
        <f>CONCATENATE("          ","6381"," - ","BANK/CREDIT CARD FEES")</f>
        <v xml:space="preserve">          6381 - BANK/CREDIT CARD FEES</v>
      </c>
      <c r="C46" s="9"/>
      <c r="D46" s="6">
        <v>5770.1</v>
      </c>
      <c r="E46" s="3"/>
      <c r="F46" s="7">
        <f t="shared" si="0"/>
        <v>0</v>
      </c>
      <c r="G46" s="3"/>
      <c r="H46" s="6">
        <v>9778.41</v>
      </c>
      <c r="I46" s="3"/>
      <c r="J46" s="7">
        <f t="shared" si="1"/>
        <v>0</v>
      </c>
      <c r="K46" s="3"/>
      <c r="L46" s="6">
        <f t="shared" si="2"/>
        <v>-4008.3099999999995</v>
      </c>
      <c r="M46" s="3"/>
      <c r="N46" s="7">
        <f t="shared" si="3"/>
        <v>-0.40991429076915364</v>
      </c>
      <c r="O46" s="9"/>
      <c r="P46" s="6">
        <v>142438.79</v>
      </c>
      <c r="Q46" s="3"/>
      <c r="R46" s="7">
        <f t="shared" si="4"/>
        <v>0</v>
      </c>
      <c r="S46" s="3"/>
      <c r="T46" s="6">
        <v>83903.1</v>
      </c>
      <c r="U46" s="3"/>
      <c r="V46" s="7">
        <f t="shared" si="5"/>
        <v>0</v>
      </c>
      <c r="W46" s="3"/>
      <c r="X46" s="6">
        <f t="shared" si="6"/>
        <v>58535.69</v>
      </c>
      <c r="Y46" s="3"/>
      <c r="Z46" s="7">
        <f t="shared" si="7"/>
        <v>0.69765825100622025</v>
      </c>
    </row>
    <row r="47" spans="1:26" s="68" customFormat="1" ht="15" customHeight="1" outlineLevel="1" collapsed="1" x14ac:dyDescent="0.3">
      <c r="A47" s="20"/>
      <c r="B47" s="11" t="str">
        <f>CONCATENATE("     ","Depreciation                                      ")</f>
        <v xml:space="preserve">     Depreciation                                      </v>
      </c>
      <c r="C47" s="11"/>
      <c r="D47" s="2">
        <f>SUM(OSRRefD22_5x_0)</f>
        <v>16209.93</v>
      </c>
      <c r="E47" s="2"/>
      <c r="F47" s="5">
        <f t="shared" si="0"/>
        <v>0</v>
      </c>
      <c r="G47" s="2"/>
      <c r="H47" s="2">
        <f>SUM(OSRRefH22_5x_0)</f>
        <v>30548.54</v>
      </c>
      <c r="I47" s="2"/>
      <c r="J47" s="5">
        <f t="shared" si="1"/>
        <v>0</v>
      </c>
      <c r="K47" s="2"/>
      <c r="L47" s="2">
        <f t="shared" si="2"/>
        <v>-14338.61</v>
      </c>
      <c r="M47" s="2"/>
      <c r="N47" s="5">
        <f t="shared" si="3"/>
        <v>-0.46937136766601611</v>
      </c>
      <c r="O47" s="11"/>
      <c r="P47" s="2">
        <f>SUM(OSRRefP22_5x_0)</f>
        <v>314537.92</v>
      </c>
      <c r="Q47" s="2"/>
      <c r="R47" s="5">
        <f t="shared" si="4"/>
        <v>0</v>
      </c>
      <c r="S47" s="2"/>
      <c r="T47" s="2">
        <f>SUM(OSRRefT22_5x_0)</f>
        <v>367069.7</v>
      </c>
      <c r="U47" s="2"/>
      <c r="V47" s="5">
        <f t="shared" si="5"/>
        <v>0</v>
      </c>
      <c r="W47" s="2"/>
      <c r="X47" s="2">
        <f t="shared" si="6"/>
        <v>-52531.780000000028</v>
      </c>
      <c r="Y47" s="2"/>
      <c r="Z47" s="5">
        <f t="shared" si="7"/>
        <v>-0.14311118569579573</v>
      </c>
    </row>
    <row r="48" spans="1:26" s="69" customFormat="1" ht="15" hidden="1" customHeight="1" outlineLevel="2" x14ac:dyDescent="0.3">
      <c r="A48" s="21"/>
      <c r="B48" s="9" t="str">
        <f>CONCATENATE("          ","6321"," - ","BUILDING DEPRECIATION")</f>
        <v xml:space="preserve">          6321 - BUILDING DEPRECIATION</v>
      </c>
      <c r="C48" s="9"/>
      <c r="D48" s="6">
        <v>13321.47</v>
      </c>
      <c r="E48" s="3"/>
      <c r="F48" s="7">
        <f t="shared" si="0"/>
        <v>0</v>
      </c>
      <c r="G48" s="3"/>
      <c r="H48" s="6">
        <v>16396.25</v>
      </c>
      <c r="I48" s="3"/>
      <c r="J48" s="7">
        <f t="shared" si="1"/>
        <v>0</v>
      </c>
      <c r="K48" s="3"/>
      <c r="L48" s="6">
        <f t="shared" si="2"/>
        <v>-3074.7800000000007</v>
      </c>
      <c r="M48" s="3"/>
      <c r="N48" s="7">
        <f t="shared" si="3"/>
        <v>-0.18752946557901964</v>
      </c>
      <c r="O48" s="9"/>
      <c r="P48" s="6">
        <v>179119.02</v>
      </c>
      <c r="Q48" s="3"/>
      <c r="R48" s="7">
        <f t="shared" si="4"/>
        <v>0</v>
      </c>
      <c r="S48" s="3"/>
      <c r="T48" s="6">
        <v>196757.97</v>
      </c>
      <c r="U48" s="3"/>
      <c r="V48" s="7">
        <f t="shared" si="5"/>
        <v>0</v>
      </c>
      <c r="W48" s="3"/>
      <c r="X48" s="6">
        <f t="shared" si="6"/>
        <v>-17638.950000000012</v>
      </c>
      <c r="Y48" s="3"/>
      <c r="Z48" s="7">
        <f t="shared" si="7"/>
        <v>-8.9647956827365177E-2</v>
      </c>
    </row>
    <row r="49" spans="1:26" s="69" customFormat="1" ht="15" hidden="1" customHeight="1" outlineLevel="2" x14ac:dyDescent="0.3">
      <c r="A49" s="21"/>
      <c r="B49" s="9" t="str">
        <f>CONCATENATE("          ","6322"," - ","EQUIPMENT DEPRECIATION EXPENSE")</f>
        <v xml:space="preserve">          6322 - EQUIPMENT DEPRECIATION EXPENSE</v>
      </c>
      <c r="C49" s="9"/>
      <c r="D49" s="6">
        <v>2888.46</v>
      </c>
      <c r="E49" s="3"/>
      <c r="F49" s="7">
        <f t="shared" si="0"/>
        <v>0</v>
      </c>
      <c r="G49" s="3"/>
      <c r="H49" s="6">
        <v>14152.29</v>
      </c>
      <c r="I49" s="3"/>
      <c r="J49" s="7">
        <f t="shared" si="1"/>
        <v>0</v>
      </c>
      <c r="K49" s="3"/>
      <c r="L49" s="6">
        <f t="shared" si="2"/>
        <v>-11263.830000000002</v>
      </c>
      <c r="M49" s="3"/>
      <c r="N49" s="7">
        <f t="shared" si="3"/>
        <v>-0.79590158200545646</v>
      </c>
      <c r="O49" s="9"/>
      <c r="P49" s="6">
        <v>135418.9</v>
      </c>
      <c r="Q49" s="3"/>
      <c r="R49" s="7">
        <f t="shared" si="4"/>
        <v>0</v>
      </c>
      <c r="S49" s="3"/>
      <c r="T49" s="6">
        <v>170311.73</v>
      </c>
      <c r="U49" s="3"/>
      <c r="V49" s="7">
        <f t="shared" si="5"/>
        <v>0</v>
      </c>
      <c r="W49" s="3"/>
      <c r="X49" s="6">
        <f t="shared" si="6"/>
        <v>-34892.830000000016</v>
      </c>
      <c r="Y49" s="3"/>
      <c r="Z49" s="7">
        <f t="shared" si="7"/>
        <v>-0.20487625837633153</v>
      </c>
    </row>
    <row r="50" spans="1:26" s="68" customFormat="1" ht="15" customHeight="1" outlineLevel="1" collapsed="1" x14ac:dyDescent="0.3">
      <c r="A50" s="20"/>
      <c r="B50" s="11" t="str">
        <f>CONCATENATE("     ","Discounts and Markdowns                           ")</f>
        <v xml:space="preserve">     Discounts and Markdowns                           </v>
      </c>
      <c r="C50" s="11"/>
      <c r="D50" s="2">
        <f>SUM(OSRRefD22_6x_0)</f>
        <v>0</v>
      </c>
      <c r="E50" s="2"/>
      <c r="F50" s="5">
        <f t="shared" si="0"/>
        <v>0</v>
      </c>
      <c r="G50" s="2"/>
      <c r="H50" s="2">
        <f>SUM(OSRRefH22_6x_0)</f>
        <v>0</v>
      </c>
      <c r="I50" s="2"/>
      <c r="J50" s="5">
        <f t="shared" si="1"/>
        <v>0</v>
      </c>
      <c r="K50" s="2"/>
      <c r="L50" s="2">
        <f t="shared" si="2"/>
        <v>0</v>
      </c>
      <c r="M50" s="2"/>
      <c r="N50" s="5">
        <f t="shared" si="3"/>
        <v>0</v>
      </c>
      <c r="O50" s="11"/>
      <c r="P50" s="2">
        <f>SUM(OSRRefP22_6x_0)</f>
        <v>2026.83</v>
      </c>
      <c r="Q50" s="2"/>
      <c r="R50" s="5">
        <f t="shared" si="4"/>
        <v>0</v>
      </c>
      <c r="S50" s="2"/>
      <c r="T50" s="2">
        <f>SUM(OSRRefT22_6x_0)</f>
        <v>-15.43</v>
      </c>
      <c r="U50" s="2"/>
      <c r="V50" s="5">
        <f t="shared" si="5"/>
        <v>0</v>
      </c>
      <c r="W50" s="2"/>
      <c r="X50" s="2">
        <f t="shared" si="6"/>
        <v>2042.26</v>
      </c>
      <c r="Y50" s="2"/>
      <c r="Z50" s="5">
        <f t="shared" si="7"/>
        <v>-132.35644847699288</v>
      </c>
    </row>
    <row r="51" spans="1:26" s="69" customFormat="1" ht="15" hidden="1" customHeight="1" outlineLevel="2" x14ac:dyDescent="0.3">
      <c r="A51" s="21"/>
      <c r="B51" s="9" t="str">
        <f>CONCATENATE("          ","6382"," - ","DISCOUNTS/MARK DOWNS")</f>
        <v xml:space="preserve">          6382 - DISCOUNTS/MARK DOWNS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2170</v>
      </c>
      <c r="Q51" s="3"/>
      <c r="R51" s="7">
        <f t="shared" si="4"/>
        <v>0</v>
      </c>
      <c r="S51" s="3"/>
      <c r="T51" s="6"/>
      <c r="U51" s="3"/>
      <c r="V51" s="7">
        <f t="shared" si="5"/>
        <v>0</v>
      </c>
      <c r="W51" s="3"/>
      <c r="X51" s="6">
        <f t="shared" si="6"/>
        <v>2170</v>
      </c>
      <c r="Y51" s="3"/>
      <c r="Z51" s="7">
        <f t="shared" si="7"/>
        <v>0</v>
      </c>
    </row>
    <row r="52" spans="1:26" s="69" customFormat="1" ht="15" hidden="1" customHeight="1" outlineLevel="2" x14ac:dyDescent="0.3">
      <c r="A52" s="21"/>
      <c r="B52" s="9" t="str">
        <f>CONCATENATE("          ","9175"," - ","EARNED DISCOUNTS")</f>
        <v xml:space="preserve">          9175 - EARNED DISCOUNTS</v>
      </c>
      <c r="C52" s="9"/>
      <c r="D52" s="6"/>
      <c r="E52" s="3"/>
      <c r="F52" s="7">
        <f t="shared" ref="F52:F83" si="8">IF(D$12=0,0,D52/D$12)</f>
        <v>0</v>
      </c>
      <c r="G52" s="3"/>
      <c r="H52" s="6"/>
      <c r="I52" s="3"/>
      <c r="J52" s="7">
        <f t="shared" ref="J52:J83" si="9">IF(H$12=0,0,H52/H$12)</f>
        <v>0</v>
      </c>
      <c r="K52" s="3"/>
      <c r="L52" s="6">
        <f t="shared" ref="L52:L83" si="10">+D52-H52</f>
        <v>0</v>
      </c>
      <c r="M52" s="3"/>
      <c r="N52" s="7">
        <f t="shared" ref="N52:N83" si="11">IF(H52=0,0,L52/H52)</f>
        <v>0</v>
      </c>
      <c r="O52" s="9"/>
      <c r="P52" s="6">
        <v>-143.16999999999999</v>
      </c>
      <c r="Q52" s="3"/>
      <c r="R52" s="7">
        <f t="shared" ref="R52:R83" si="12">IF(P$12=0,0,P52/P$12)</f>
        <v>0</v>
      </c>
      <c r="S52" s="3"/>
      <c r="T52" s="6">
        <v>-15.43</v>
      </c>
      <c r="U52" s="3"/>
      <c r="V52" s="7">
        <f t="shared" ref="V52:V83" si="13">IF(T$12=0,0,T52/T$12)</f>
        <v>0</v>
      </c>
      <c r="W52" s="3"/>
      <c r="X52" s="6">
        <f t="shared" ref="X52:X83" si="14">+P52-T52</f>
        <v>-127.73999999999998</v>
      </c>
      <c r="Y52" s="3"/>
      <c r="Z52" s="7">
        <f t="shared" ref="Z52:Z83" si="15">IF(T52=0,0,X52/T52)</f>
        <v>8.2786779001944257</v>
      </c>
    </row>
    <row r="53" spans="1:26" s="68" customFormat="1" ht="15" customHeight="1" outlineLevel="1" collapsed="1" x14ac:dyDescent="0.3">
      <c r="A53" s="20"/>
      <c r="B53" s="11" t="str">
        <f>CONCATENATE("     ","Donations                                         ")</f>
        <v xml:space="preserve">     Donations                                         </v>
      </c>
      <c r="C53" s="11"/>
      <c r="D53" s="2">
        <f>SUM(OSRRefD22_7x_0)</f>
        <v>2379.11</v>
      </c>
      <c r="E53" s="2"/>
      <c r="F53" s="5">
        <f t="shared" si="8"/>
        <v>0</v>
      </c>
      <c r="G53" s="2"/>
      <c r="H53" s="2">
        <f>SUM(OSRRefH22_7x_0)</f>
        <v>0</v>
      </c>
      <c r="I53" s="2"/>
      <c r="J53" s="5">
        <f t="shared" si="9"/>
        <v>0</v>
      </c>
      <c r="K53" s="2"/>
      <c r="L53" s="2">
        <f t="shared" si="10"/>
        <v>2379.11</v>
      </c>
      <c r="M53" s="2"/>
      <c r="N53" s="5">
        <f t="shared" si="11"/>
        <v>0</v>
      </c>
      <c r="O53" s="11"/>
      <c r="P53" s="2">
        <f>SUM(OSRRefP22_7x_0)</f>
        <v>9817.98</v>
      </c>
      <c r="Q53" s="2"/>
      <c r="R53" s="5">
        <f t="shared" si="12"/>
        <v>0</v>
      </c>
      <c r="S53" s="2"/>
      <c r="T53" s="2">
        <f>SUM(OSRRefT22_7x_0)</f>
        <v>360.9</v>
      </c>
      <c r="U53" s="2"/>
      <c r="V53" s="5">
        <f t="shared" si="13"/>
        <v>0</v>
      </c>
      <c r="W53" s="2"/>
      <c r="X53" s="2">
        <f t="shared" si="14"/>
        <v>9457.08</v>
      </c>
      <c r="Y53" s="2"/>
      <c r="Z53" s="5">
        <f t="shared" si="15"/>
        <v>26.204156275976725</v>
      </c>
    </row>
    <row r="54" spans="1:26" s="69" customFormat="1" ht="15" hidden="1" customHeight="1" outlineLevel="2" x14ac:dyDescent="0.3">
      <c r="A54" s="21"/>
      <c r="B54" s="9" t="str">
        <f>CONCATENATE("          ","6399"," - ","DONATION-ON CAMPUS")</f>
        <v xml:space="preserve">          6399 - DONATION-ON CAMPUS</v>
      </c>
      <c r="C54" s="9"/>
      <c r="D54" s="6">
        <v>2379.11</v>
      </c>
      <c r="E54" s="3"/>
      <c r="F54" s="7">
        <f t="shared" si="8"/>
        <v>0</v>
      </c>
      <c r="G54" s="3"/>
      <c r="H54" s="6"/>
      <c r="I54" s="3"/>
      <c r="J54" s="7">
        <f t="shared" si="9"/>
        <v>0</v>
      </c>
      <c r="K54" s="3"/>
      <c r="L54" s="6">
        <f t="shared" si="10"/>
        <v>2379.11</v>
      </c>
      <c r="M54" s="3"/>
      <c r="N54" s="7">
        <f t="shared" si="11"/>
        <v>0</v>
      </c>
      <c r="O54" s="9"/>
      <c r="P54" s="6">
        <v>9817.98</v>
      </c>
      <c r="Q54" s="3"/>
      <c r="R54" s="7">
        <f t="shared" si="12"/>
        <v>0</v>
      </c>
      <c r="S54" s="3"/>
      <c r="T54" s="6">
        <v>360.9</v>
      </c>
      <c r="U54" s="3"/>
      <c r="V54" s="7">
        <f t="shared" si="13"/>
        <v>0</v>
      </c>
      <c r="W54" s="3"/>
      <c r="X54" s="6">
        <f t="shared" si="14"/>
        <v>9457.08</v>
      </c>
      <c r="Y54" s="3"/>
      <c r="Z54" s="7">
        <f t="shared" si="15"/>
        <v>26.204156275976725</v>
      </c>
    </row>
    <row r="55" spans="1:26" s="68" customFormat="1" ht="15" customHeight="1" outlineLevel="1" collapsed="1" x14ac:dyDescent="0.3">
      <c r="A55" s="20"/>
      <c r="B55" s="11" t="str">
        <f>CONCATENATE("     ","Employees' Appreciation                           ")</f>
        <v xml:space="preserve">     Employees' Appreciation                           </v>
      </c>
      <c r="C55" s="11"/>
      <c r="D55" s="2">
        <f>SUM(OSRRefD22_8x_0)</f>
        <v>771.97</v>
      </c>
      <c r="E55" s="2"/>
      <c r="F55" s="5">
        <f t="shared" si="8"/>
        <v>0</v>
      </c>
      <c r="G55" s="2"/>
      <c r="H55" s="2">
        <f>SUM(OSRRefH22_8x_0)</f>
        <v>522.86</v>
      </c>
      <c r="I55" s="2"/>
      <c r="J55" s="5">
        <f t="shared" si="9"/>
        <v>0</v>
      </c>
      <c r="K55" s="2"/>
      <c r="L55" s="2">
        <f t="shared" si="10"/>
        <v>249.11</v>
      </c>
      <c r="M55" s="2"/>
      <c r="N55" s="5">
        <f t="shared" si="11"/>
        <v>0.47643728722793866</v>
      </c>
      <c r="O55" s="11"/>
      <c r="P55" s="2">
        <f>SUM(OSRRefP22_8x_0)</f>
        <v>4822.22</v>
      </c>
      <c r="Q55" s="2"/>
      <c r="R55" s="5">
        <f t="shared" si="12"/>
        <v>0</v>
      </c>
      <c r="S55" s="2"/>
      <c r="T55" s="2">
        <f>SUM(OSRRefT22_8x_0)</f>
        <v>601.19000000000005</v>
      </c>
      <c r="U55" s="2"/>
      <c r="V55" s="5">
        <f t="shared" si="13"/>
        <v>0</v>
      </c>
      <c r="W55" s="2"/>
      <c r="X55" s="2">
        <f t="shared" si="14"/>
        <v>4221.0300000000007</v>
      </c>
      <c r="Y55" s="2"/>
      <c r="Z55" s="5">
        <f t="shared" si="15"/>
        <v>7.0211247692077388</v>
      </c>
    </row>
    <row r="56" spans="1:26" s="69" customFormat="1" ht="15" hidden="1" customHeight="1" outlineLevel="2" x14ac:dyDescent="0.3">
      <c r="A56" s="21"/>
      <c r="B56" s="9" t="str">
        <f>CONCATENATE("          ","6277"," - ","EMPLOYEE APPRECIATION")</f>
        <v xml:space="preserve">          6277 - EMPLOYEE APPRECIATION</v>
      </c>
      <c r="C56" s="9"/>
      <c r="D56" s="6">
        <v>771.97</v>
      </c>
      <c r="E56" s="3"/>
      <c r="F56" s="7">
        <f t="shared" si="8"/>
        <v>0</v>
      </c>
      <c r="G56" s="3"/>
      <c r="H56" s="6">
        <v>522.86</v>
      </c>
      <c r="I56" s="3"/>
      <c r="J56" s="7">
        <f t="shared" si="9"/>
        <v>0</v>
      </c>
      <c r="K56" s="3"/>
      <c r="L56" s="6">
        <f t="shared" si="10"/>
        <v>249.11</v>
      </c>
      <c r="M56" s="3"/>
      <c r="N56" s="7">
        <f t="shared" si="11"/>
        <v>0.47643728722793866</v>
      </c>
      <c r="O56" s="9"/>
      <c r="P56" s="6">
        <v>4822.22</v>
      </c>
      <c r="Q56" s="3"/>
      <c r="R56" s="7">
        <f t="shared" si="12"/>
        <v>0</v>
      </c>
      <c r="S56" s="3"/>
      <c r="T56" s="6">
        <v>601.19000000000005</v>
      </c>
      <c r="U56" s="3"/>
      <c r="V56" s="7">
        <f t="shared" si="13"/>
        <v>0</v>
      </c>
      <c r="W56" s="3"/>
      <c r="X56" s="6">
        <f t="shared" si="14"/>
        <v>4221.0300000000007</v>
      </c>
      <c r="Y56" s="3"/>
      <c r="Z56" s="7">
        <f t="shared" si="15"/>
        <v>7.0211247692077388</v>
      </c>
    </row>
    <row r="57" spans="1:26" s="68" customFormat="1" ht="15" customHeight="1" outlineLevel="1" collapsed="1" x14ac:dyDescent="0.3">
      <c r="A57" s="20"/>
      <c r="B57" s="11" t="str">
        <f>CONCATENATE("     ","Equipment Rental                                  ")</f>
        <v xml:space="preserve">     Equipment Rental                                  </v>
      </c>
      <c r="C57" s="11"/>
      <c r="D57" s="2">
        <f>SUM(OSRRefD22_9x_0)</f>
        <v>1207.1099999999999</v>
      </c>
      <c r="E57" s="2"/>
      <c r="F57" s="5">
        <f t="shared" si="8"/>
        <v>0</v>
      </c>
      <c r="G57" s="2"/>
      <c r="H57" s="2">
        <f>SUM(OSRRefH22_9x_0)</f>
        <v>923.91</v>
      </c>
      <c r="I57" s="2"/>
      <c r="J57" s="5">
        <f t="shared" si="9"/>
        <v>0</v>
      </c>
      <c r="K57" s="2"/>
      <c r="L57" s="2">
        <f t="shared" si="10"/>
        <v>283.19999999999993</v>
      </c>
      <c r="M57" s="2"/>
      <c r="N57" s="5">
        <f t="shared" si="11"/>
        <v>0.30652336266519459</v>
      </c>
      <c r="O57" s="11"/>
      <c r="P57" s="2">
        <f>SUM(OSRRefP22_9x_0)</f>
        <v>4241.3999999999996</v>
      </c>
      <c r="Q57" s="2"/>
      <c r="R57" s="5">
        <f t="shared" si="12"/>
        <v>0</v>
      </c>
      <c r="S57" s="2"/>
      <c r="T57" s="2">
        <f>SUM(OSRRefT22_9x_0)</f>
        <v>3204.23</v>
      </c>
      <c r="U57" s="2"/>
      <c r="V57" s="5">
        <f t="shared" si="13"/>
        <v>0</v>
      </c>
      <c r="W57" s="2"/>
      <c r="X57" s="2">
        <f t="shared" si="14"/>
        <v>1037.1699999999996</v>
      </c>
      <c r="Y57" s="2"/>
      <c r="Z57" s="5">
        <f t="shared" si="15"/>
        <v>0.32368775025513136</v>
      </c>
    </row>
    <row r="58" spans="1:26" s="69" customFormat="1" ht="15" hidden="1" customHeight="1" outlineLevel="2" x14ac:dyDescent="0.3">
      <c r="A58" s="21"/>
      <c r="B58" s="9" t="str">
        <f>CONCATENATE("          ","6351"," - ","EQUIPMENT RENTAL")</f>
        <v xml:space="preserve">          6351 - EQUIPMENT RENTAL</v>
      </c>
      <c r="C58" s="9"/>
      <c r="D58" s="6">
        <v>1207.1099999999999</v>
      </c>
      <c r="E58" s="3"/>
      <c r="F58" s="7">
        <f t="shared" si="8"/>
        <v>0</v>
      </c>
      <c r="G58" s="3"/>
      <c r="H58" s="6">
        <v>923.91</v>
      </c>
      <c r="I58" s="3"/>
      <c r="J58" s="7">
        <f t="shared" si="9"/>
        <v>0</v>
      </c>
      <c r="K58" s="3"/>
      <c r="L58" s="6">
        <f t="shared" si="10"/>
        <v>283.19999999999993</v>
      </c>
      <c r="M58" s="3"/>
      <c r="N58" s="7">
        <f t="shared" si="11"/>
        <v>0.30652336266519459</v>
      </c>
      <c r="O58" s="9"/>
      <c r="P58" s="6">
        <v>4241.3999999999996</v>
      </c>
      <c r="Q58" s="3"/>
      <c r="R58" s="7">
        <f t="shared" si="12"/>
        <v>0</v>
      </c>
      <c r="S58" s="3"/>
      <c r="T58" s="6">
        <v>3204.23</v>
      </c>
      <c r="U58" s="3"/>
      <c r="V58" s="7">
        <f t="shared" si="13"/>
        <v>0</v>
      </c>
      <c r="W58" s="3"/>
      <c r="X58" s="6">
        <f t="shared" si="14"/>
        <v>1037.1699999999996</v>
      </c>
      <c r="Y58" s="3"/>
      <c r="Z58" s="7">
        <f t="shared" si="15"/>
        <v>0.32368775025513136</v>
      </c>
    </row>
    <row r="59" spans="1:26" s="68" customFormat="1" ht="15" customHeight="1" outlineLevel="1" collapsed="1" x14ac:dyDescent="0.3">
      <c r="A59" s="20"/>
      <c r="B59" s="11" t="str">
        <f>CONCATENATE("     ","Freight out/Postage                               ")</f>
        <v xml:space="preserve">     Freight out/Postage                               </v>
      </c>
      <c r="C59" s="11"/>
      <c r="D59" s="2">
        <f>SUM(OSRRefD22_10x_0)</f>
        <v>16.48</v>
      </c>
      <c r="E59" s="2"/>
      <c r="F59" s="5">
        <f t="shared" si="8"/>
        <v>0</v>
      </c>
      <c r="G59" s="2"/>
      <c r="H59" s="2">
        <f>SUM(OSRRefH22_10x_0)</f>
        <v>315.95</v>
      </c>
      <c r="I59" s="2"/>
      <c r="J59" s="5">
        <f t="shared" si="9"/>
        <v>0</v>
      </c>
      <c r="K59" s="2"/>
      <c r="L59" s="2">
        <f t="shared" si="10"/>
        <v>-299.46999999999997</v>
      </c>
      <c r="M59" s="2"/>
      <c r="N59" s="5">
        <f t="shared" si="11"/>
        <v>-0.94783984807722732</v>
      </c>
      <c r="O59" s="11"/>
      <c r="P59" s="2">
        <f>SUM(OSRRefP22_10x_0)</f>
        <v>11312.51</v>
      </c>
      <c r="Q59" s="2"/>
      <c r="R59" s="5">
        <f t="shared" si="12"/>
        <v>0</v>
      </c>
      <c r="S59" s="2"/>
      <c r="T59" s="2">
        <f>SUM(OSRRefT22_10x_0)</f>
        <v>2591.96</v>
      </c>
      <c r="U59" s="2"/>
      <c r="V59" s="5">
        <f t="shared" si="13"/>
        <v>0</v>
      </c>
      <c r="W59" s="2"/>
      <c r="X59" s="2">
        <f t="shared" si="14"/>
        <v>8720.5499999999993</v>
      </c>
      <c r="Y59" s="2"/>
      <c r="Z59" s="5">
        <f t="shared" si="15"/>
        <v>3.3644616429265879</v>
      </c>
    </row>
    <row r="60" spans="1:26" s="69" customFormat="1" ht="15" hidden="1" customHeight="1" outlineLevel="2" x14ac:dyDescent="0.3">
      <c r="A60" s="21"/>
      <c r="B60" s="9" t="str">
        <f>CONCATENATE("          ","6307"," - ","POSTAGE")</f>
        <v xml:space="preserve">          6307 - POSTAGE</v>
      </c>
      <c r="C60" s="9"/>
      <c r="D60" s="6">
        <v>16.48</v>
      </c>
      <c r="E60" s="3"/>
      <c r="F60" s="7">
        <f t="shared" si="8"/>
        <v>0</v>
      </c>
      <c r="G60" s="3"/>
      <c r="H60" s="6">
        <v>315.95</v>
      </c>
      <c r="I60" s="3"/>
      <c r="J60" s="7">
        <f t="shared" si="9"/>
        <v>0</v>
      </c>
      <c r="K60" s="3"/>
      <c r="L60" s="6">
        <f t="shared" si="10"/>
        <v>-299.46999999999997</v>
      </c>
      <c r="M60" s="3"/>
      <c r="N60" s="7">
        <f t="shared" si="11"/>
        <v>-0.94783984807722732</v>
      </c>
      <c r="O60" s="9"/>
      <c r="P60" s="6">
        <v>11312.51</v>
      </c>
      <c r="Q60" s="3"/>
      <c r="R60" s="7">
        <f t="shared" si="12"/>
        <v>0</v>
      </c>
      <c r="S60" s="3"/>
      <c r="T60" s="6">
        <v>2591.96</v>
      </c>
      <c r="U60" s="3"/>
      <c r="V60" s="7">
        <f t="shared" si="13"/>
        <v>0</v>
      </c>
      <c r="W60" s="3"/>
      <c r="X60" s="6">
        <f t="shared" si="14"/>
        <v>8720.5499999999993</v>
      </c>
      <c r="Y60" s="3"/>
      <c r="Z60" s="7">
        <f t="shared" si="15"/>
        <v>3.3644616429265879</v>
      </c>
    </row>
    <row r="61" spans="1:26" s="68" customFormat="1" ht="15" customHeight="1" outlineLevel="1" collapsed="1" x14ac:dyDescent="0.3">
      <c r="A61" s="20"/>
      <c r="B61" s="11" t="str">
        <f>CONCATENATE("     ","General                                           ")</f>
        <v xml:space="preserve">     General                                           </v>
      </c>
      <c r="C61" s="11"/>
      <c r="D61" s="2">
        <f>SUM(OSRRefD22_11x_0)</f>
        <v>200</v>
      </c>
      <c r="E61" s="2"/>
      <c r="F61" s="5">
        <f t="shared" si="8"/>
        <v>0</v>
      </c>
      <c r="G61" s="2"/>
      <c r="H61" s="2">
        <f>SUM(OSRRefH22_11x_0)</f>
        <v>0</v>
      </c>
      <c r="I61" s="2"/>
      <c r="J61" s="5">
        <f t="shared" si="9"/>
        <v>0</v>
      </c>
      <c r="K61" s="2"/>
      <c r="L61" s="2">
        <f t="shared" si="10"/>
        <v>200</v>
      </c>
      <c r="M61" s="2"/>
      <c r="N61" s="5">
        <f t="shared" si="11"/>
        <v>0</v>
      </c>
      <c r="O61" s="11"/>
      <c r="P61" s="2">
        <f>SUM(OSRRefP22_11x_0)</f>
        <v>3069.25</v>
      </c>
      <c r="Q61" s="2"/>
      <c r="R61" s="5">
        <f t="shared" si="12"/>
        <v>0</v>
      </c>
      <c r="S61" s="2"/>
      <c r="T61" s="2">
        <f>SUM(OSRRefT22_11x_0)</f>
        <v>1386.81</v>
      </c>
      <c r="U61" s="2"/>
      <c r="V61" s="5">
        <f t="shared" si="13"/>
        <v>0</v>
      </c>
      <c r="W61" s="2"/>
      <c r="X61" s="2">
        <f t="shared" si="14"/>
        <v>1682.44</v>
      </c>
      <c r="Y61" s="2"/>
      <c r="Z61" s="5">
        <f t="shared" si="15"/>
        <v>1.2131726768627282</v>
      </c>
    </row>
    <row r="62" spans="1:26" s="69" customFormat="1" ht="15" hidden="1" customHeight="1" outlineLevel="2" x14ac:dyDescent="0.3">
      <c r="A62" s="21"/>
      <c r="B62" s="9" t="str">
        <f>CONCATENATE("          ","6279"," - ","GENERAL EXPENSE")</f>
        <v xml:space="preserve">          6279 - GENERAL EXPENSE</v>
      </c>
      <c r="C62" s="9"/>
      <c r="D62" s="6">
        <v>200</v>
      </c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200</v>
      </c>
      <c r="M62" s="3"/>
      <c r="N62" s="7">
        <f t="shared" si="11"/>
        <v>0</v>
      </c>
      <c r="O62" s="9"/>
      <c r="P62" s="6">
        <v>3069.25</v>
      </c>
      <c r="Q62" s="3"/>
      <c r="R62" s="7">
        <f t="shared" si="12"/>
        <v>0</v>
      </c>
      <c r="S62" s="3"/>
      <c r="T62" s="6">
        <v>1386.81</v>
      </c>
      <c r="U62" s="3"/>
      <c r="V62" s="7">
        <f t="shared" si="13"/>
        <v>0</v>
      </c>
      <c r="W62" s="3"/>
      <c r="X62" s="6">
        <f t="shared" si="14"/>
        <v>1682.44</v>
      </c>
      <c r="Y62" s="3"/>
      <c r="Z62" s="7">
        <f t="shared" si="15"/>
        <v>1.2131726768627282</v>
      </c>
    </row>
    <row r="63" spans="1:26" s="68" customFormat="1" ht="15" customHeight="1" outlineLevel="1" collapsed="1" x14ac:dyDescent="0.3">
      <c r="A63" s="20"/>
      <c r="B63" s="11" t="str">
        <f>CONCATENATE("     ","Insurance                                         ")</f>
        <v xml:space="preserve">     Insurance                                         </v>
      </c>
      <c r="C63" s="11"/>
      <c r="D63" s="2">
        <f>SUM(OSRRefD22_12x_0)</f>
        <v>-1631.36</v>
      </c>
      <c r="E63" s="2"/>
      <c r="F63" s="5">
        <f t="shared" si="8"/>
        <v>0</v>
      </c>
      <c r="G63" s="2"/>
      <c r="H63" s="2">
        <f>SUM(OSRRefH22_12x_0)</f>
        <v>8316.99</v>
      </c>
      <c r="I63" s="2"/>
      <c r="J63" s="5">
        <f t="shared" si="9"/>
        <v>0</v>
      </c>
      <c r="K63" s="2"/>
      <c r="L63" s="2">
        <f t="shared" si="10"/>
        <v>-9948.35</v>
      </c>
      <c r="M63" s="2"/>
      <c r="N63" s="5">
        <f t="shared" si="11"/>
        <v>-1.196147885232518</v>
      </c>
      <c r="O63" s="11"/>
      <c r="P63" s="2">
        <f>SUM(OSRRefP22_12x_0)</f>
        <v>56399.03</v>
      </c>
      <c r="Q63" s="2"/>
      <c r="R63" s="5">
        <f t="shared" si="12"/>
        <v>0</v>
      </c>
      <c r="S63" s="2"/>
      <c r="T63" s="2">
        <f>SUM(OSRRefT22_12x_0)</f>
        <v>51036.15</v>
      </c>
      <c r="U63" s="2"/>
      <c r="V63" s="5">
        <f t="shared" si="13"/>
        <v>0</v>
      </c>
      <c r="W63" s="2"/>
      <c r="X63" s="2">
        <f t="shared" si="14"/>
        <v>5362.8799999999974</v>
      </c>
      <c r="Y63" s="2"/>
      <c r="Z63" s="5">
        <f t="shared" si="15"/>
        <v>0.10508002660859013</v>
      </c>
    </row>
    <row r="64" spans="1:26" s="69" customFormat="1" ht="15" hidden="1" customHeight="1" outlineLevel="2" x14ac:dyDescent="0.3">
      <c r="A64" s="21"/>
      <c r="B64" s="9" t="str">
        <f>CONCATENATE("          ","6314"," - ","LIABILITY INSURANCE")</f>
        <v xml:space="preserve">          6314 - LIABILITY INSURANCE</v>
      </c>
      <c r="C64" s="9"/>
      <c r="D64" s="6">
        <v>-1631.36</v>
      </c>
      <c r="E64" s="3"/>
      <c r="F64" s="7">
        <f t="shared" si="8"/>
        <v>0</v>
      </c>
      <c r="G64" s="3"/>
      <c r="H64" s="6">
        <v>8316.99</v>
      </c>
      <c r="I64" s="3"/>
      <c r="J64" s="7">
        <f t="shared" si="9"/>
        <v>0</v>
      </c>
      <c r="K64" s="3"/>
      <c r="L64" s="6">
        <f t="shared" si="10"/>
        <v>-9948.35</v>
      </c>
      <c r="M64" s="3"/>
      <c r="N64" s="7">
        <f t="shared" si="11"/>
        <v>-1.196147885232518</v>
      </c>
      <c r="O64" s="9"/>
      <c r="P64" s="6">
        <v>56399.03</v>
      </c>
      <c r="Q64" s="3"/>
      <c r="R64" s="7">
        <f t="shared" si="12"/>
        <v>0</v>
      </c>
      <c r="S64" s="3"/>
      <c r="T64" s="6">
        <v>51036.15</v>
      </c>
      <c r="U64" s="3"/>
      <c r="V64" s="7">
        <f t="shared" si="13"/>
        <v>0</v>
      </c>
      <c r="W64" s="3"/>
      <c r="X64" s="6">
        <f t="shared" si="14"/>
        <v>5362.8799999999974</v>
      </c>
      <c r="Y64" s="3"/>
      <c r="Z64" s="7">
        <f t="shared" si="15"/>
        <v>0.10508002660859013</v>
      </c>
    </row>
    <row r="65" spans="1:26" s="68" customFormat="1" ht="15" customHeight="1" outlineLevel="1" collapsed="1" x14ac:dyDescent="0.3">
      <c r="A65" s="20"/>
      <c r="B65" s="11" t="str">
        <f>CONCATENATE("     ","Professional Services                             ")</f>
        <v xml:space="preserve">     Professional Services                             </v>
      </c>
      <c r="C65" s="11"/>
      <c r="D65" s="2">
        <f>SUM(OSRRefD22_13x_0)</f>
        <v>0</v>
      </c>
      <c r="E65" s="2"/>
      <c r="F65" s="5">
        <f t="shared" si="8"/>
        <v>0</v>
      </c>
      <c r="G65" s="2"/>
      <c r="H65" s="2">
        <f>SUM(OSRRefH22_13x_0)</f>
        <v>0</v>
      </c>
      <c r="I65" s="2"/>
      <c r="J65" s="5">
        <f t="shared" si="9"/>
        <v>0</v>
      </c>
      <c r="K65" s="2"/>
      <c r="L65" s="2">
        <f t="shared" si="10"/>
        <v>0</v>
      </c>
      <c r="M65" s="2"/>
      <c r="N65" s="5">
        <f t="shared" si="11"/>
        <v>0</v>
      </c>
      <c r="O65" s="11"/>
      <c r="P65" s="2">
        <f>SUM(OSRRefP22_13x_0)</f>
        <v>7517.43</v>
      </c>
      <c r="Q65" s="2"/>
      <c r="R65" s="5">
        <f t="shared" si="12"/>
        <v>0</v>
      </c>
      <c r="S65" s="2"/>
      <c r="T65" s="2">
        <f>SUM(OSRRefT22_13x_0)</f>
        <v>0</v>
      </c>
      <c r="U65" s="2"/>
      <c r="V65" s="5">
        <f t="shared" si="13"/>
        <v>0</v>
      </c>
      <c r="W65" s="2"/>
      <c r="X65" s="2">
        <f t="shared" si="14"/>
        <v>7517.43</v>
      </c>
      <c r="Y65" s="2"/>
      <c r="Z65" s="5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","6336"," - ","PROFESSIONAL SERVICES")</f>
        <v xml:space="preserve">          6336 - PROFESSIONAL SERVICES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7517.43</v>
      </c>
      <c r="Q66" s="3"/>
      <c r="R66" s="7">
        <f t="shared" si="12"/>
        <v>0</v>
      </c>
      <c r="S66" s="3"/>
      <c r="T66" s="6"/>
      <c r="U66" s="3"/>
      <c r="V66" s="7">
        <f t="shared" si="13"/>
        <v>0</v>
      </c>
      <c r="W66" s="3"/>
      <c r="X66" s="6">
        <f t="shared" si="14"/>
        <v>7517.43</v>
      </c>
      <c r="Y66" s="3"/>
      <c r="Z66" s="7">
        <f t="shared" si="15"/>
        <v>0</v>
      </c>
    </row>
    <row r="67" spans="1:26" s="68" customFormat="1" ht="15" customHeight="1" outlineLevel="1" collapsed="1" x14ac:dyDescent="0.3">
      <c r="A67" s="20"/>
      <c r="B67" s="11" t="str">
        <f>CONCATENATE("     ","Rent                                              ")</f>
        <v xml:space="preserve">     Rent                                              </v>
      </c>
      <c r="C67" s="11"/>
      <c r="D67" s="2">
        <f>SUM(OSRRefD22_14x_0)</f>
        <v>0</v>
      </c>
      <c r="E67" s="2"/>
      <c r="F67" s="5">
        <f t="shared" si="8"/>
        <v>0</v>
      </c>
      <c r="G67" s="2"/>
      <c r="H67" s="2">
        <f>SUM(OSRRefH22_14x_0)</f>
        <v>-800</v>
      </c>
      <c r="I67" s="2"/>
      <c r="J67" s="5">
        <f t="shared" si="9"/>
        <v>0</v>
      </c>
      <c r="K67" s="2"/>
      <c r="L67" s="2">
        <f t="shared" si="10"/>
        <v>800</v>
      </c>
      <c r="M67" s="2"/>
      <c r="N67" s="5">
        <f t="shared" si="11"/>
        <v>-1</v>
      </c>
      <c r="O67" s="11"/>
      <c r="P67" s="2">
        <f>SUM(OSRRefP22_14x_0)</f>
        <v>-8800</v>
      </c>
      <c r="Q67" s="2"/>
      <c r="R67" s="5">
        <f t="shared" si="12"/>
        <v>0</v>
      </c>
      <c r="S67" s="2"/>
      <c r="T67" s="2">
        <f>SUM(OSRRefT22_14x_0)</f>
        <v>-9600</v>
      </c>
      <c r="U67" s="2"/>
      <c r="V67" s="5">
        <f t="shared" si="13"/>
        <v>0</v>
      </c>
      <c r="W67" s="2"/>
      <c r="X67" s="2">
        <f t="shared" si="14"/>
        <v>800</v>
      </c>
      <c r="Y67" s="2"/>
      <c r="Z67" s="5">
        <f t="shared" si="15"/>
        <v>-8.3333333333333329E-2</v>
      </c>
    </row>
    <row r="68" spans="1:26" s="69" customFormat="1" ht="15" hidden="1" customHeight="1" outlineLevel="2" x14ac:dyDescent="0.3">
      <c r="A68" s="21"/>
      <c r="B68" s="9" t="str">
        <f>CONCATENATE("          ","6273"," - ","RENT")</f>
        <v xml:space="preserve">          6273 - RENT</v>
      </c>
      <c r="C68" s="9"/>
      <c r="D68" s="6"/>
      <c r="E68" s="3"/>
      <c r="F68" s="7">
        <f t="shared" si="8"/>
        <v>0</v>
      </c>
      <c r="G68" s="3"/>
      <c r="H68" s="6">
        <v>-800</v>
      </c>
      <c r="I68" s="3"/>
      <c r="J68" s="7">
        <f t="shared" si="9"/>
        <v>0</v>
      </c>
      <c r="K68" s="3"/>
      <c r="L68" s="6">
        <f t="shared" si="10"/>
        <v>800</v>
      </c>
      <c r="M68" s="3"/>
      <c r="N68" s="7">
        <f t="shared" si="11"/>
        <v>-1</v>
      </c>
      <c r="O68" s="9"/>
      <c r="P68" s="6">
        <v>-8800</v>
      </c>
      <c r="Q68" s="3"/>
      <c r="R68" s="7">
        <f t="shared" si="12"/>
        <v>0</v>
      </c>
      <c r="S68" s="3"/>
      <c r="T68" s="6">
        <v>-9600</v>
      </c>
      <c r="U68" s="3"/>
      <c r="V68" s="7">
        <f t="shared" si="13"/>
        <v>0</v>
      </c>
      <c r="W68" s="3"/>
      <c r="X68" s="6">
        <f t="shared" si="14"/>
        <v>800</v>
      </c>
      <c r="Y68" s="3"/>
      <c r="Z68" s="7">
        <f t="shared" si="15"/>
        <v>-8.3333333333333329E-2</v>
      </c>
    </row>
    <row r="69" spans="1:26" s="68" customFormat="1" ht="15" customHeight="1" outlineLevel="1" collapsed="1" x14ac:dyDescent="0.3">
      <c r="A69" s="20"/>
      <c r="B69" s="11" t="str">
        <f>CONCATENATE("     ","Repair and Maintenance                            ")</f>
        <v xml:space="preserve">     Repair and Maintenance                            </v>
      </c>
      <c r="C69" s="11"/>
      <c r="D69" s="2">
        <f>SUM(OSRRefD22_15x_0)</f>
        <v>27786.940000000002</v>
      </c>
      <c r="E69" s="2"/>
      <c r="F69" s="5">
        <f t="shared" si="8"/>
        <v>0</v>
      </c>
      <c r="G69" s="2"/>
      <c r="H69" s="2">
        <f>SUM(OSRRefH22_15x_0)</f>
        <v>14440.09</v>
      </c>
      <c r="I69" s="2"/>
      <c r="J69" s="5">
        <f t="shared" si="9"/>
        <v>0</v>
      </c>
      <c r="K69" s="2"/>
      <c r="L69" s="2">
        <f t="shared" si="10"/>
        <v>13346.850000000002</v>
      </c>
      <c r="M69" s="2"/>
      <c r="N69" s="5">
        <f t="shared" si="11"/>
        <v>0.92429133059419999</v>
      </c>
      <c r="O69" s="11"/>
      <c r="P69" s="2">
        <f>SUM(OSRRefP22_15x_0)</f>
        <v>126477.64</v>
      </c>
      <c r="Q69" s="2"/>
      <c r="R69" s="5">
        <f t="shared" si="12"/>
        <v>0</v>
      </c>
      <c r="S69" s="2"/>
      <c r="T69" s="2">
        <f>SUM(OSRRefT22_15x_0)</f>
        <v>120669.56</v>
      </c>
      <c r="U69" s="2"/>
      <c r="V69" s="5">
        <f t="shared" si="13"/>
        <v>0</v>
      </c>
      <c r="W69" s="2"/>
      <c r="X69" s="2">
        <f t="shared" si="14"/>
        <v>5808.0800000000017</v>
      </c>
      <c r="Y69" s="2"/>
      <c r="Z69" s="5">
        <f t="shared" si="15"/>
        <v>4.8132105561667762E-2</v>
      </c>
    </row>
    <row r="70" spans="1:26" s="69" customFormat="1" ht="15" hidden="1" customHeight="1" outlineLevel="2" x14ac:dyDescent="0.3">
      <c r="A70" s="21"/>
      <c r="B70" s="9" t="str">
        <f>CONCATENATE("          ","6371"," - ","COMPUTER SOFTWARE MAINTENANCE")</f>
        <v xml:space="preserve">          6371 - COMPUTER SOFTWARE MAINTENANCE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56736</v>
      </c>
      <c r="Q70" s="3"/>
      <c r="R70" s="7">
        <f t="shared" si="12"/>
        <v>0</v>
      </c>
      <c r="S70" s="3"/>
      <c r="T70" s="6">
        <v>59760.03</v>
      </c>
      <c r="U70" s="3"/>
      <c r="V70" s="7">
        <f t="shared" si="13"/>
        <v>0</v>
      </c>
      <c r="W70" s="3"/>
      <c r="X70" s="6">
        <f t="shared" si="14"/>
        <v>-3024.0299999999988</v>
      </c>
      <c r="Y70" s="3"/>
      <c r="Z70" s="7">
        <f t="shared" si="15"/>
        <v>-5.0602886243530987E-2</v>
      </c>
    </row>
    <row r="71" spans="1:26" s="69" customFormat="1" ht="15" hidden="1" customHeight="1" outlineLevel="2" x14ac:dyDescent="0.3">
      <c r="A71" s="21"/>
      <c r="B71" s="9" t="str">
        <f>CONCATENATE("          ","6372"," - ","COMPUTER HARDWARE MAINTENANCE")</f>
        <v xml:space="preserve">          6372 - COMPUTER HARDWARE MAINTENANCE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/>
      <c r="Q71" s="3"/>
      <c r="R71" s="7">
        <f t="shared" si="12"/>
        <v>0</v>
      </c>
      <c r="S71" s="3"/>
      <c r="T71" s="6">
        <v>-0.63</v>
      </c>
      <c r="U71" s="3"/>
      <c r="V71" s="7">
        <f t="shared" si="13"/>
        <v>0</v>
      </c>
      <c r="W71" s="3"/>
      <c r="X71" s="6">
        <f t="shared" si="14"/>
        <v>0.63</v>
      </c>
      <c r="Y71" s="3"/>
      <c r="Z71" s="7">
        <f t="shared" si="15"/>
        <v>-1</v>
      </c>
    </row>
    <row r="72" spans="1:26" s="69" customFormat="1" ht="15" hidden="1" customHeight="1" outlineLevel="2" x14ac:dyDescent="0.3">
      <c r="A72" s="21"/>
      <c r="B72" s="9" t="str">
        <f>CONCATENATE("          ","6373"," - ","MAINTENANCE CONTRACTS")</f>
        <v xml:space="preserve">          6373 - MAINTENANCE CONTRACTS</v>
      </c>
      <c r="C72" s="9"/>
      <c r="D72" s="6">
        <v>3635.4</v>
      </c>
      <c r="E72" s="3"/>
      <c r="F72" s="7">
        <f t="shared" si="8"/>
        <v>0</v>
      </c>
      <c r="G72" s="3"/>
      <c r="H72" s="6">
        <v>1062.6300000000001</v>
      </c>
      <c r="I72" s="3"/>
      <c r="J72" s="7">
        <f t="shared" si="9"/>
        <v>0</v>
      </c>
      <c r="K72" s="3"/>
      <c r="L72" s="6">
        <f t="shared" si="10"/>
        <v>2572.77</v>
      </c>
      <c r="M72" s="3"/>
      <c r="N72" s="7">
        <f t="shared" si="11"/>
        <v>2.4211343553259361</v>
      </c>
      <c r="O72" s="9"/>
      <c r="P72" s="6">
        <v>15887.5</v>
      </c>
      <c r="Q72" s="3"/>
      <c r="R72" s="7">
        <f t="shared" si="12"/>
        <v>0</v>
      </c>
      <c r="S72" s="3"/>
      <c r="T72" s="6">
        <v>18390.23</v>
      </c>
      <c r="U72" s="3"/>
      <c r="V72" s="7">
        <f t="shared" si="13"/>
        <v>0</v>
      </c>
      <c r="W72" s="3"/>
      <c r="X72" s="6">
        <f t="shared" si="14"/>
        <v>-2502.7299999999996</v>
      </c>
      <c r="Y72" s="3"/>
      <c r="Z72" s="7">
        <f t="shared" si="15"/>
        <v>-0.13609019571805245</v>
      </c>
    </row>
    <row r="73" spans="1:26" s="69" customFormat="1" ht="15" hidden="1" customHeight="1" outlineLevel="2" x14ac:dyDescent="0.3">
      <c r="A73" s="21"/>
      <c r="B73" s="9" t="str">
        <f>CONCATENATE("          ","6375"," - ","OUTSIDE REPAIRS &amp; MAINTENANCE")</f>
        <v xml:space="preserve">          6375 - OUTSIDE REPAIRS &amp; MAINTENANCE</v>
      </c>
      <c r="C73" s="9"/>
      <c r="D73" s="6">
        <v>24151.54</v>
      </c>
      <c r="E73" s="3"/>
      <c r="F73" s="7">
        <f t="shared" si="8"/>
        <v>0</v>
      </c>
      <c r="G73" s="3"/>
      <c r="H73" s="6">
        <v>13377.46</v>
      </c>
      <c r="I73" s="3"/>
      <c r="J73" s="7">
        <f t="shared" si="9"/>
        <v>0</v>
      </c>
      <c r="K73" s="3"/>
      <c r="L73" s="6">
        <f t="shared" si="10"/>
        <v>10774.080000000002</v>
      </c>
      <c r="M73" s="3"/>
      <c r="N73" s="7">
        <f t="shared" si="11"/>
        <v>0.80539055994187259</v>
      </c>
      <c r="O73" s="9"/>
      <c r="P73" s="6">
        <v>53854.14</v>
      </c>
      <c r="Q73" s="3"/>
      <c r="R73" s="7">
        <f t="shared" si="12"/>
        <v>0</v>
      </c>
      <c r="S73" s="3"/>
      <c r="T73" s="6">
        <v>42519.93</v>
      </c>
      <c r="U73" s="3"/>
      <c r="V73" s="7">
        <f t="shared" si="13"/>
        <v>0</v>
      </c>
      <c r="W73" s="3"/>
      <c r="X73" s="6">
        <f t="shared" si="14"/>
        <v>11334.21</v>
      </c>
      <c r="Y73" s="3"/>
      <c r="Z73" s="7">
        <f t="shared" si="15"/>
        <v>0.26656229208279503</v>
      </c>
    </row>
    <row r="74" spans="1:26" s="68" customFormat="1" ht="15" customHeight="1" outlineLevel="1" collapsed="1" x14ac:dyDescent="0.3">
      <c r="A74" s="20"/>
      <c r="B74" s="11" t="str">
        <f>CONCATENATE("     ","Services                                          ")</f>
        <v xml:space="preserve">     Services                                          </v>
      </c>
      <c r="C74" s="11"/>
      <c r="D74" s="2">
        <f>SUM(OSRRefD22_16x_0)</f>
        <v>6978.5700000000006</v>
      </c>
      <c r="E74" s="2"/>
      <c r="F74" s="5">
        <f t="shared" si="8"/>
        <v>0</v>
      </c>
      <c r="G74" s="2"/>
      <c r="H74" s="2">
        <f>SUM(OSRRefH22_16x_0)</f>
        <v>4432.7299999999996</v>
      </c>
      <c r="I74" s="2"/>
      <c r="J74" s="5">
        <f t="shared" si="9"/>
        <v>0</v>
      </c>
      <c r="K74" s="2"/>
      <c r="L74" s="2">
        <f t="shared" si="10"/>
        <v>2545.8400000000011</v>
      </c>
      <c r="M74" s="2"/>
      <c r="N74" s="5">
        <f t="shared" si="11"/>
        <v>0.57432778445788513</v>
      </c>
      <c r="O74" s="11"/>
      <c r="P74" s="2">
        <f>SUM(OSRRefP22_16x_0)</f>
        <v>62062.47</v>
      </c>
      <c r="Q74" s="2"/>
      <c r="R74" s="5">
        <f t="shared" si="12"/>
        <v>0</v>
      </c>
      <c r="S74" s="2"/>
      <c r="T74" s="2">
        <f>SUM(OSRRefT22_16x_0)</f>
        <v>47937.009999999995</v>
      </c>
      <c r="U74" s="2"/>
      <c r="V74" s="5">
        <f t="shared" si="13"/>
        <v>0</v>
      </c>
      <c r="W74" s="2"/>
      <c r="X74" s="2">
        <f t="shared" si="14"/>
        <v>14125.460000000006</v>
      </c>
      <c r="Y74" s="2"/>
      <c r="Z74" s="5">
        <f t="shared" si="15"/>
        <v>0.29466710585411998</v>
      </c>
    </row>
    <row r="75" spans="1:26" s="69" customFormat="1" ht="15" hidden="1" customHeight="1" outlineLevel="2" x14ac:dyDescent="0.3">
      <c r="A75" s="21"/>
      <c r="B75" s="9" t="str">
        <f>CONCATENATE("          ","6282"," - ","JANITORIAL/EXTERMINATOR EXPENS")</f>
        <v xml:space="preserve">          6282 - JANITORIAL/EXTERMINATOR EXPENS</v>
      </c>
      <c r="C75" s="9"/>
      <c r="D75" s="6">
        <v>281.3</v>
      </c>
      <c r="E75" s="3"/>
      <c r="F75" s="7">
        <f t="shared" si="8"/>
        <v>0</v>
      </c>
      <c r="G75" s="3"/>
      <c r="H75" s="6">
        <v>582</v>
      </c>
      <c r="I75" s="3"/>
      <c r="J75" s="7">
        <f t="shared" si="9"/>
        <v>0</v>
      </c>
      <c r="K75" s="3"/>
      <c r="L75" s="6">
        <f t="shared" si="10"/>
        <v>-300.7</v>
      </c>
      <c r="M75" s="3"/>
      <c r="N75" s="7">
        <f t="shared" si="11"/>
        <v>-0.51666666666666661</v>
      </c>
      <c r="O75" s="9"/>
      <c r="P75" s="6">
        <v>2506.0300000000002</v>
      </c>
      <c r="Q75" s="3"/>
      <c r="R75" s="7">
        <f t="shared" si="12"/>
        <v>0</v>
      </c>
      <c r="S75" s="3"/>
      <c r="T75" s="6">
        <v>8103.12</v>
      </c>
      <c r="U75" s="3"/>
      <c r="V75" s="7">
        <f t="shared" si="13"/>
        <v>0</v>
      </c>
      <c r="W75" s="3"/>
      <c r="X75" s="6">
        <f t="shared" si="14"/>
        <v>-5597.09</v>
      </c>
      <c r="Y75" s="3"/>
      <c r="Z75" s="7">
        <f t="shared" si="15"/>
        <v>-0.69073270542704546</v>
      </c>
    </row>
    <row r="76" spans="1:26" s="69" customFormat="1" ht="15" hidden="1" customHeight="1" outlineLevel="2" x14ac:dyDescent="0.3">
      <c r="A76" s="21"/>
      <c r="B76" s="9" t="str">
        <f>CONCATENATE("          ","6283"," - ","PLANT SERVICE")</f>
        <v xml:space="preserve">          6283 - PLANT SERVICE</v>
      </c>
      <c r="C76" s="9"/>
      <c r="D76" s="6"/>
      <c r="E76" s="3"/>
      <c r="F76" s="7">
        <f t="shared" si="8"/>
        <v>0</v>
      </c>
      <c r="G76" s="3"/>
      <c r="H76" s="6"/>
      <c r="I76" s="3"/>
      <c r="J76" s="7">
        <f t="shared" si="9"/>
        <v>0</v>
      </c>
      <c r="K76" s="3"/>
      <c r="L76" s="6">
        <f t="shared" si="10"/>
        <v>0</v>
      </c>
      <c r="M76" s="3"/>
      <c r="N76" s="7">
        <f t="shared" si="11"/>
        <v>0</v>
      </c>
      <c r="O76" s="9"/>
      <c r="P76" s="6"/>
      <c r="Q76" s="3"/>
      <c r="R76" s="7">
        <f t="shared" si="12"/>
        <v>0</v>
      </c>
      <c r="S76" s="3"/>
      <c r="T76" s="6">
        <v>130</v>
      </c>
      <c r="U76" s="3"/>
      <c r="V76" s="7">
        <f t="shared" si="13"/>
        <v>0</v>
      </c>
      <c r="W76" s="3"/>
      <c r="X76" s="6">
        <f t="shared" si="14"/>
        <v>-130</v>
      </c>
      <c r="Y76" s="3"/>
      <c r="Z76" s="7">
        <f t="shared" si="15"/>
        <v>-1</v>
      </c>
    </row>
    <row r="77" spans="1:26" s="69" customFormat="1" ht="15" hidden="1" customHeight="1" outlineLevel="2" x14ac:dyDescent="0.3">
      <c r="A77" s="21"/>
      <c r="B77" s="9" t="str">
        <f>CONCATENATE("          ","6285"," - ","JANITORIAL SERVICES")</f>
        <v xml:space="preserve">          6285 - JANITORIAL SERVICES</v>
      </c>
      <c r="C77" s="9"/>
      <c r="D77" s="6">
        <v>6697.27</v>
      </c>
      <c r="E77" s="3"/>
      <c r="F77" s="7">
        <f t="shared" si="8"/>
        <v>0</v>
      </c>
      <c r="G77" s="3"/>
      <c r="H77" s="6">
        <v>3850.73</v>
      </c>
      <c r="I77" s="3"/>
      <c r="J77" s="7">
        <f t="shared" si="9"/>
        <v>0</v>
      </c>
      <c r="K77" s="3"/>
      <c r="L77" s="6">
        <f t="shared" si="10"/>
        <v>2846.5400000000004</v>
      </c>
      <c r="M77" s="3"/>
      <c r="N77" s="7">
        <f t="shared" si="11"/>
        <v>0.73922087500292166</v>
      </c>
      <c r="O77" s="9"/>
      <c r="P77" s="6">
        <v>59556.44</v>
      </c>
      <c r="Q77" s="3"/>
      <c r="R77" s="7">
        <f t="shared" si="12"/>
        <v>0</v>
      </c>
      <c r="S77" s="3"/>
      <c r="T77" s="6">
        <v>39703.89</v>
      </c>
      <c r="U77" s="3"/>
      <c r="V77" s="7">
        <f t="shared" si="13"/>
        <v>0</v>
      </c>
      <c r="W77" s="3"/>
      <c r="X77" s="6">
        <f t="shared" si="14"/>
        <v>19852.550000000003</v>
      </c>
      <c r="Y77" s="3"/>
      <c r="Z77" s="7">
        <f t="shared" si="15"/>
        <v>0.50001523780163615</v>
      </c>
    </row>
    <row r="78" spans="1:26" s="68" customFormat="1" ht="15" customHeight="1" outlineLevel="1" collapsed="1" x14ac:dyDescent="0.3">
      <c r="A78" s="20"/>
      <c r="B78" s="11" t="str">
        <f>CONCATENATE("     ","Subscriptions &amp; Dues                              ")</f>
        <v xml:space="preserve">     Subscriptions &amp; Dues                              </v>
      </c>
      <c r="C78" s="11"/>
      <c r="D78" s="2">
        <f>SUM(OSRRefD22_17x_0)</f>
        <v>0</v>
      </c>
      <c r="E78" s="2"/>
      <c r="F78" s="5">
        <f t="shared" si="8"/>
        <v>0</v>
      </c>
      <c r="G78" s="2"/>
      <c r="H78" s="2">
        <f>SUM(OSRRefH22_17x_0)</f>
        <v>1605</v>
      </c>
      <c r="I78" s="2"/>
      <c r="J78" s="5">
        <f t="shared" si="9"/>
        <v>0</v>
      </c>
      <c r="K78" s="2"/>
      <c r="L78" s="2">
        <f t="shared" si="10"/>
        <v>-1605</v>
      </c>
      <c r="M78" s="2"/>
      <c r="N78" s="5">
        <f t="shared" si="11"/>
        <v>-1</v>
      </c>
      <c r="O78" s="11"/>
      <c r="P78" s="2">
        <f>SUM(OSRRefP22_17x_0)</f>
        <v>580</v>
      </c>
      <c r="Q78" s="2"/>
      <c r="R78" s="5">
        <f t="shared" si="12"/>
        <v>0</v>
      </c>
      <c r="S78" s="2"/>
      <c r="T78" s="2">
        <f>SUM(OSRRefT22_17x_0)</f>
        <v>1605</v>
      </c>
      <c r="U78" s="2"/>
      <c r="V78" s="5">
        <f t="shared" si="13"/>
        <v>0</v>
      </c>
      <c r="W78" s="2"/>
      <c r="X78" s="2">
        <f t="shared" si="14"/>
        <v>-1025</v>
      </c>
      <c r="Y78" s="2"/>
      <c r="Z78" s="5">
        <f t="shared" si="15"/>
        <v>-0.63862928348909653</v>
      </c>
    </row>
    <row r="79" spans="1:26" s="69" customFormat="1" ht="15" hidden="1" customHeight="1" outlineLevel="2" x14ac:dyDescent="0.3">
      <c r="A79" s="21"/>
      <c r="B79" s="9" t="str">
        <f>CONCATENATE("          ","6258"," - ","MEMBERSHIP DUES")</f>
        <v xml:space="preserve">          6258 - MEMBERSHIP DUES</v>
      </c>
      <c r="C79" s="9"/>
      <c r="D79" s="6"/>
      <c r="E79" s="3"/>
      <c r="F79" s="7">
        <f t="shared" si="8"/>
        <v>0</v>
      </c>
      <c r="G79" s="3"/>
      <c r="H79" s="6">
        <v>1520</v>
      </c>
      <c r="I79" s="3"/>
      <c r="J79" s="7">
        <f t="shared" si="9"/>
        <v>0</v>
      </c>
      <c r="K79" s="3"/>
      <c r="L79" s="6">
        <f t="shared" si="10"/>
        <v>-1520</v>
      </c>
      <c r="M79" s="3"/>
      <c r="N79" s="7">
        <f t="shared" si="11"/>
        <v>-1</v>
      </c>
      <c r="O79" s="9"/>
      <c r="P79" s="6">
        <v>580</v>
      </c>
      <c r="Q79" s="3"/>
      <c r="R79" s="7">
        <f t="shared" si="12"/>
        <v>0</v>
      </c>
      <c r="S79" s="3"/>
      <c r="T79" s="6">
        <v>1520</v>
      </c>
      <c r="U79" s="3"/>
      <c r="V79" s="7">
        <f t="shared" si="13"/>
        <v>0</v>
      </c>
      <c r="W79" s="3"/>
      <c r="X79" s="6">
        <f t="shared" si="14"/>
        <v>-940</v>
      </c>
      <c r="Y79" s="3"/>
      <c r="Z79" s="7">
        <f t="shared" si="15"/>
        <v>-0.61842105263157898</v>
      </c>
    </row>
    <row r="80" spans="1:26" s="69" customFormat="1" ht="15" hidden="1" customHeight="1" outlineLevel="2" x14ac:dyDescent="0.3">
      <c r="A80" s="21"/>
      <c r="B80" s="9" t="str">
        <f>CONCATENATE("          ","6275"," - ","SUBSCRIPTIONS")</f>
        <v xml:space="preserve">          6275 - SUBSCRIPTIONS</v>
      </c>
      <c r="C80" s="9"/>
      <c r="D80" s="6"/>
      <c r="E80" s="3"/>
      <c r="F80" s="7">
        <f t="shared" si="8"/>
        <v>0</v>
      </c>
      <c r="G80" s="3"/>
      <c r="H80" s="6">
        <v>85</v>
      </c>
      <c r="I80" s="3"/>
      <c r="J80" s="7">
        <f t="shared" si="9"/>
        <v>0</v>
      </c>
      <c r="K80" s="3"/>
      <c r="L80" s="6">
        <f t="shared" si="10"/>
        <v>-85</v>
      </c>
      <c r="M80" s="3"/>
      <c r="N80" s="7">
        <f t="shared" si="11"/>
        <v>-1</v>
      </c>
      <c r="O80" s="9"/>
      <c r="P80" s="6"/>
      <c r="Q80" s="3"/>
      <c r="R80" s="7">
        <f t="shared" si="12"/>
        <v>0</v>
      </c>
      <c r="S80" s="3"/>
      <c r="T80" s="6">
        <v>85</v>
      </c>
      <c r="U80" s="3"/>
      <c r="V80" s="7">
        <f t="shared" si="13"/>
        <v>0</v>
      </c>
      <c r="W80" s="3"/>
      <c r="X80" s="6">
        <f t="shared" si="14"/>
        <v>-85</v>
      </c>
      <c r="Y80" s="3"/>
      <c r="Z80" s="7">
        <f t="shared" si="15"/>
        <v>-1</v>
      </c>
    </row>
    <row r="81" spans="1:26" s="68" customFormat="1" ht="15" customHeight="1" outlineLevel="1" collapsed="1" x14ac:dyDescent="0.3">
      <c r="A81" s="20"/>
      <c r="B81" s="11" t="str">
        <f>CONCATENATE("     ","Supplies                                          ")</f>
        <v xml:space="preserve">     Supplies                                          </v>
      </c>
      <c r="C81" s="11"/>
      <c r="D81" s="2">
        <f>SUM(OSRRefD22_18x_0)</f>
        <v>17753.57</v>
      </c>
      <c r="E81" s="2"/>
      <c r="F81" s="5">
        <f t="shared" si="8"/>
        <v>0</v>
      </c>
      <c r="G81" s="2"/>
      <c r="H81" s="2">
        <f>SUM(OSRRefH22_18x_0)</f>
        <v>1651.56</v>
      </c>
      <c r="I81" s="2"/>
      <c r="J81" s="5">
        <f t="shared" si="9"/>
        <v>0</v>
      </c>
      <c r="K81" s="2"/>
      <c r="L81" s="2">
        <f t="shared" si="10"/>
        <v>16102.01</v>
      </c>
      <c r="M81" s="2"/>
      <c r="N81" s="5">
        <f t="shared" si="11"/>
        <v>9.7495761582988205</v>
      </c>
      <c r="O81" s="11"/>
      <c r="P81" s="2">
        <f>SUM(OSRRefP22_18x_0)</f>
        <v>62219.39</v>
      </c>
      <c r="Q81" s="2"/>
      <c r="R81" s="5">
        <f t="shared" si="12"/>
        <v>0</v>
      </c>
      <c r="S81" s="2"/>
      <c r="T81" s="2">
        <f>SUM(OSRRefT22_18x_0)</f>
        <v>69224.460000000006</v>
      </c>
      <c r="U81" s="2"/>
      <c r="V81" s="5">
        <f t="shared" si="13"/>
        <v>0</v>
      </c>
      <c r="W81" s="2"/>
      <c r="X81" s="2">
        <f t="shared" si="14"/>
        <v>-7005.070000000007</v>
      </c>
      <c r="Y81" s="2"/>
      <c r="Z81" s="5">
        <f t="shared" si="15"/>
        <v>-0.10119356655147627</v>
      </c>
    </row>
    <row r="82" spans="1:26" s="69" customFormat="1" ht="15" hidden="1" customHeight="1" outlineLevel="2" x14ac:dyDescent="0.3">
      <c r="A82" s="21"/>
      <c r="B82" s="9" t="str">
        <f>CONCATENATE("          ","6234"," - ","EXPENDABLE SUPPLIES &amp; EQUIPMEN")</f>
        <v xml:space="preserve">          6234 - EXPENDABLE SUPPLIES &amp; EQUIPMEN</v>
      </c>
      <c r="C82" s="9"/>
      <c r="D82" s="6"/>
      <c r="E82" s="3"/>
      <c r="F82" s="7">
        <f t="shared" si="8"/>
        <v>0</v>
      </c>
      <c r="G82" s="3"/>
      <c r="H82" s="6"/>
      <c r="I82" s="3"/>
      <c r="J82" s="7">
        <f t="shared" si="9"/>
        <v>0</v>
      </c>
      <c r="K82" s="3"/>
      <c r="L82" s="6">
        <f t="shared" si="10"/>
        <v>0</v>
      </c>
      <c r="M82" s="3"/>
      <c r="N82" s="7">
        <f t="shared" si="11"/>
        <v>0</v>
      </c>
      <c r="O82" s="9"/>
      <c r="P82" s="6">
        <v>3896.02</v>
      </c>
      <c r="Q82" s="3"/>
      <c r="R82" s="7">
        <f t="shared" si="12"/>
        <v>0</v>
      </c>
      <c r="S82" s="3"/>
      <c r="T82" s="6">
        <v>-449.34</v>
      </c>
      <c r="U82" s="3"/>
      <c r="V82" s="7">
        <f t="shared" si="13"/>
        <v>0</v>
      </c>
      <c r="W82" s="3"/>
      <c r="X82" s="6">
        <f t="shared" si="14"/>
        <v>4345.3599999999997</v>
      </c>
      <c r="Y82" s="3"/>
      <c r="Z82" s="7">
        <f t="shared" si="15"/>
        <v>-9.6705390127742916</v>
      </c>
    </row>
    <row r="83" spans="1:26" s="69" customFormat="1" ht="15" hidden="1" customHeight="1" outlineLevel="2" x14ac:dyDescent="0.3">
      <c r="A83" s="21"/>
      <c r="B83" s="9" t="str">
        <f>CONCATENATE("          ","6235"," - ","COVID-19 EXPENSES")</f>
        <v xml:space="preserve">          6235 - COVID-19 EXPENSES</v>
      </c>
      <c r="C83" s="9"/>
      <c r="D83" s="6"/>
      <c r="E83" s="3"/>
      <c r="F83" s="7">
        <f t="shared" si="8"/>
        <v>0</v>
      </c>
      <c r="G83" s="3"/>
      <c r="H83" s="6">
        <v>957.91</v>
      </c>
      <c r="I83" s="3"/>
      <c r="J83" s="7">
        <f t="shared" si="9"/>
        <v>0</v>
      </c>
      <c r="K83" s="3"/>
      <c r="L83" s="6">
        <f t="shared" si="10"/>
        <v>-957.91</v>
      </c>
      <c r="M83" s="3"/>
      <c r="N83" s="7">
        <f t="shared" si="11"/>
        <v>-1</v>
      </c>
      <c r="O83" s="9"/>
      <c r="P83" s="6">
        <v>3586.32</v>
      </c>
      <c r="Q83" s="3"/>
      <c r="R83" s="7">
        <f t="shared" si="12"/>
        <v>0</v>
      </c>
      <c r="S83" s="3"/>
      <c r="T83" s="6">
        <v>42908.63</v>
      </c>
      <c r="U83" s="3"/>
      <c r="V83" s="7">
        <f t="shared" si="13"/>
        <v>0</v>
      </c>
      <c r="W83" s="3"/>
      <c r="X83" s="6">
        <f t="shared" si="14"/>
        <v>-39322.31</v>
      </c>
      <c r="Y83" s="3"/>
      <c r="Z83" s="7">
        <f t="shared" si="15"/>
        <v>-0.91641961069369959</v>
      </c>
    </row>
    <row r="84" spans="1:26" s="69" customFormat="1" ht="15" hidden="1" customHeight="1" outlineLevel="2" x14ac:dyDescent="0.3">
      <c r="A84" s="21"/>
      <c r="B84" s="9" t="str">
        <f>CONCATENATE("          ","6237"," - ","JANITORIAL SUPPLIES")</f>
        <v xml:space="preserve">          6237 - JANITORIAL SUPPLIES</v>
      </c>
      <c r="C84" s="9"/>
      <c r="D84" s="6">
        <v>1431.01</v>
      </c>
      <c r="E84" s="3"/>
      <c r="F84" s="7">
        <f t="shared" ref="F84:F97" si="16">IF(D$12=0,0,D84/D$12)</f>
        <v>0</v>
      </c>
      <c r="G84" s="3"/>
      <c r="H84" s="6">
        <v>321.05</v>
      </c>
      <c r="I84" s="3"/>
      <c r="J84" s="7">
        <f t="shared" ref="J84:J97" si="17">IF(H$12=0,0,H84/H$12)</f>
        <v>0</v>
      </c>
      <c r="K84" s="3"/>
      <c r="L84" s="6">
        <f t="shared" ref="L84:L97" si="18">+D84-H84</f>
        <v>1109.96</v>
      </c>
      <c r="M84" s="3"/>
      <c r="N84" s="7">
        <f t="shared" ref="N84:N97" si="19">IF(H84=0,0,L84/H84)</f>
        <v>3.4572807973835853</v>
      </c>
      <c r="O84" s="9"/>
      <c r="P84" s="6">
        <v>7226.47</v>
      </c>
      <c r="Q84" s="3"/>
      <c r="R84" s="7">
        <f t="shared" ref="R84:R97" si="20">IF(P$12=0,0,P84/P$12)</f>
        <v>0</v>
      </c>
      <c r="S84" s="3"/>
      <c r="T84" s="6">
        <v>4009.59</v>
      </c>
      <c r="U84" s="3"/>
      <c r="V84" s="7">
        <f t="shared" ref="V84:V97" si="21">IF(T$12=0,0,T84/T$12)</f>
        <v>0</v>
      </c>
      <c r="W84" s="3"/>
      <c r="X84" s="6">
        <f t="shared" ref="X84:X97" si="22">+P84-T84</f>
        <v>3216.88</v>
      </c>
      <c r="Y84" s="3"/>
      <c r="Z84" s="7">
        <f t="shared" ref="Z84:Z97" si="23">IF(T84=0,0,X84/T84)</f>
        <v>0.80229649415526272</v>
      </c>
    </row>
    <row r="85" spans="1:26" s="69" customFormat="1" ht="15" hidden="1" customHeight="1" outlineLevel="2" x14ac:dyDescent="0.3">
      <c r="A85" s="21"/>
      <c r="B85" s="9" t="str">
        <f>CONCATENATE("          ","6241"," - ","OFFICE EXPENSE")</f>
        <v xml:space="preserve">          6241 - OFFICE EXPENSE</v>
      </c>
      <c r="C85" s="9"/>
      <c r="D85" s="6">
        <v>272.79000000000002</v>
      </c>
      <c r="E85" s="3"/>
      <c r="F85" s="7">
        <f t="shared" si="16"/>
        <v>0</v>
      </c>
      <c r="G85" s="3"/>
      <c r="H85" s="6">
        <v>165.55</v>
      </c>
      <c r="I85" s="3"/>
      <c r="J85" s="7">
        <f t="shared" si="17"/>
        <v>0</v>
      </c>
      <c r="K85" s="3"/>
      <c r="L85" s="6">
        <f t="shared" si="18"/>
        <v>107.24000000000001</v>
      </c>
      <c r="M85" s="3"/>
      <c r="N85" s="7">
        <f t="shared" si="19"/>
        <v>0.64778012684989428</v>
      </c>
      <c r="O85" s="9"/>
      <c r="P85" s="6">
        <v>2339.04</v>
      </c>
      <c r="Q85" s="3"/>
      <c r="R85" s="7">
        <f t="shared" si="20"/>
        <v>0</v>
      </c>
      <c r="S85" s="3"/>
      <c r="T85" s="6">
        <v>3047.8</v>
      </c>
      <c r="U85" s="3"/>
      <c r="V85" s="7">
        <f t="shared" si="21"/>
        <v>0</v>
      </c>
      <c r="W85" s="3"/>
      <c r="X85" s="6">
        <f t="shared" si="22"/>
        <v>-708.76000000000022</v>
      </c>
      <c r="Y85" s="3"/>
      <c r="Z85" s="7">
        <f t="shared" si="23"/>
        <v>-0.23254806745849471</v>
      </c>
    </row>
    <row r="86" spans="1:26" s="69" customFormat="1" ht="15" hidden="1" customHeight="1" outlineLevel="2" x14ac:dyDescent="0.3">
      <c r="A86" s="21"/>
      <c r="B86" s="9" t="str">
        <f>CONCATENATE("          ","6245"," - ","PRINTING")</f>
        <v xml:space="preserve">          6245 - PRINTING</v>
      </c>
      <c r="C86" s="9"/>
      <c r="D86" s="6">
        <v>125.16</v>
      </c>
      <c r="E86" s="3"/>
      <c r="F86" s="7">
        <f t="shared" si="16"/>
        <v>0</v>
      </c>
      <c r="G86" s="3"/>
      <c r="H86" s="6"/>
      <c r="I86" s="3"/>
      <c r="J86" s="7">
        <f t="shared" si="17"/>
        <v>0</v>
      </c>
      <c r="K86" s="3"/>
      <c r="L86" s="6">
        <f t="shared" si="18"/>
        <v>125.16</v>
      </c>
      <c r="M86" s="3"/>
      <c r="N86" s="7">
        <f t="shared" si="19"/>
        <v>0</v>
      </c>
      <c r="O86" s="9"/>
      <c r="P86" s="6">
        <v>1743.6</v>
      </c>
      <c r="Q86" s="3"/>
      <c r="R86" s="7">
        <f t="shared" si="20"/>
        <v>0</v>
      </c>
      <c r="S86" s="3"/>
      <c r="T86" s="6">
        <v>68.66</v>
      </c>
      <c r="U86" s="3"/>
      <c r="V86" s="7">
        <f t="shared" si="21"/>
        <v>0</v>
      </c>
      <c r="W86" s="3"/>
      <c r="X86" s="6">
        <f t="shared" si="22"/>
        <v>1674.9399999999998</v>
      </c>
      <c r="Y86" s="3"/>
      <c r="Z86" s="7">
        <f t="shared" si="23"/>
        <v>24.394698514418874</v>
      </c>
    </row>
    <row r="87" spans="1:26" s="69" customFormat="1" ht="15" hidden="1" customHeight="1" outlineLevel="2" x14ac:dyDescent="0.3">
      <c r="A87" s="21"/>
      <c r="B87" s="9" t="str">
        <f>CONCATENATE("          ","6247"," - ","STORE SUPPLIES")</f>
        <v xml:space="preserve">          6247 - STORE SUPPLIES</v>
      </c>
      <c r="C87" s="9"/>
      <c r="D87" s="6">
        <v>15924.61</v>
      </c>
      <c r="E87" s="3"/>
      <c r="F87" s="7">
        <f t="shared" si="16"/>
        <v>0</v>
      </c>
      <c r="G87" s="3"/>
      <c r="H87" s="6">
        <v>207.05</v>
      </c>
      <c r="I87" s="3"/>
      <c r="J87" s="7">
        <f t="shared" si="17"/>
        <v>0</v>
      </c>
      <c r="K87" s="3"/>
      <c r="L87" s="6">
        <f t="shared" si="18"/>
        <v>15717.560000000001</v>
      </c>
      <c r="M87" s="3"/>
      <c r="N87" s="7">
        <f t="shared" si="19"/>
        <v>75.911905336875151</v>
      </c>
      <c r="O87" s="9"/>
      <c r="P87" s="6">
        <v>43427.94</v>
      </c>
      <c r="Q87" s="3"/>
      <c r="R87" s="7">
        <f t="shared" si="20"/>
        <v>0</v>
      </c>
      <c r="S87" s="3"/>
      <c r="T87" s="6">
        <v>19639.12</v>
      </c>
      <c r="U87" s="3"/>
      <c r="V87" s="7">
        <f t="shared" si="21"/>
        <v>0</v>
      </c>
      <c r="W87" s="3"/>
      <c r="X87" s="6">
        <f t="shared" si="22"/>
        <v>23788.820000000003</v>
      </c>
      <c r="Y87" s="3"/>
      <c r="Z87" s="7">
        <f t="shared" si="23"/>
        <v>1.2112976548847405</v>
      </c>
    </row>
    <row r="88" spans="1:26" s="68" customFormat="1" ht="15" customHeight="1" outlineLevel="1" collapsed="1" x14ac:dyDescent="0.3">
      <c r="A88" s="20"/>
      <c r="B88" s="11" t="str">
        <f>CONCATENATE("     ","Telephone/Data Lines                              ")</f>
        <v xml:space="preserve">     Telephone/Data Lines                              </v>
      </c>
      <c r="C88" s="11"/>
      <c r="D88" s="2">
        <f>SUM(OSRRefD22_19x_0)</f>
        <v>252.05</v>
      </c>
      <c r="E88" s="2"/>
      <c r="F88" s="5">
        <f t="shared" si="16"/>
        <v>0</v>
      </c>
      <c r="G88" s="2"/>
      <c r="H88" s="2">
        <f>SUM(OSRRefH22_19x_0)</f>
        <v>800.93</v>
      </c>
      <c r="I88" s="2"/>
      <c r="J88" s="5">
        <f t="shared" si="17"/>
        <v>0</v>
      </c>
      <c r="K88" s="2"/>
      <c r="L88" s="2">
        <f t="shared" si="18"/>
        <v>-548.87999999999988</v>
      </c>
      <c r="M88" s="2"/>
      <c r="N88" s="5">
        <f t="shared" si="19"/>
        <v>-0.68530333487320982</v>
      </c>
      <c r="O88" s="11"/>
      <c r="P88" s="2">
        <f>SUM(OSRRefP22_19x_0)</f>
        <v>6733.17</v>
      </c>
      <c r="Q88" s="2"/>
      <c r="R88" s="5">
        <f t="shared" si="20"/>
        <v>0</v>
      </c>
      <c r="S88" s="2"/>
      <c r="T88" s="2">
        <f>SUM(OSRRefT22_19x_0)</f>
        <v>7104.18</v>
      </c>
      <c r="U88" s="2"/>
      <c r="V88" s="5">
        <f t="shared" si="21"/>
        <v>0</v>
      </c>
      <c r="W88" s="2"/>
      <c r="X88" s="2">
        <f t="shared" si="22"/>
        <v>-371.01000000000022</v>
      </c>
      <c r="Y88" s="2"/>
      <c r="Z88" s="5">
        <f t="shared" si="23"/>
        <v>-5.2224183508863826E-2</v>
      </c>
    </row>
    <row r="89" spans="1:26" s="69" customFormat="1" ht="15" hidden="1" customHeight="1" outlineLevel="2" x14ac:dyDescent="0.3">
      <c r="A89" s="21"/>
      <c r="B89" s="9" t="str">
        <f>CONCATENATE("          ","6309"," - ","TELEPHONE")</f>
        <v xml:space="preserve">          6309 - TELEPHONE</v>
      </c>
      <c r="C89" s="9"/>
      <c r="D89" s="6">
        <v>252.05</v>
      </c>
      <c r="E89" s="3"/>
      <c r="F89" s="7">
        <f t="shared" si="16"/>
        <v>0</v>
      </c>
      <c r="G89" s="3"/>
      <c r="H89" s="6">
        <v>800.93</v>
      </c>
      <c r="I89" s="3"/>
      <c r="J89" s="7">
        <f t="shared" si="17"/>
        <v>0</v>
      </c>
      <c r="K89" s="3"/>
      <c r="L89" s="6">
        <f t="shared" si="18"/>
        <v>-548.87999999999988</v>
      </c>
      <c r="M89" s="3"/>
      <c r="N89" s="7">
        <f t="shared" si="19"/>
        <v>-0.68530333487320982</v>
      </c>
      <c r="O89" s="9"/>
      <c r="P89" s="6">
        <v>6733.17</v>
      </c>
      <c r="Q89" s="3"/>
      <c r="R89" s="7">
        <f t="shared" si="20"/>
        <v>0</v>
      </c>
      <c r="S89" s="3"/>
      <c r="T89" s="6">
        <v>7104.18</v>
      </c>
      <c r="U89" s="3"/>
      <c r="V89" s="7">
        <f t="shared" si="21"/>
        <v>0</v>
      </c>
      <c r="W89" s="3"/>
      <c r="X89" s="6">
        <f t="shared" si="22"/>
        <v>-371.01000000000022</v>
      </c>
      <c r="Y89" s="3"/>
      <c r="Z89" s="7">
        <f t="shared" si="23"/>
        <v>-5.2224183508863826E-2</v>
      </c>
    </row>
    <row r="90" spans="1:26" s="68" customFormat="1" ht="15" customHeight="1" outlineLevel="1" collapsed="1" x14ac:dyDescent="0.3">
      <c r="A90" s="20"/>
      <c r="B90" s="11" t="str">
        <f>CONCATENATE("     ","Training                                          ")</f>
        <v xml:space="preserve">     Training                                          </v>
      </c>
      <c r="C90" s="11"/>
      <c r="D90" s="2">
        <f>SUM(OSRRefD22_20x_0)</f>
        <v>0</v>
      </c>
      <c r="E90" s="2"/>
      <c r="F90" s="5">
        <f t="shared" si="16"/>
        <v>0</v>
      </c>
      <c r="G90" s="2"/>
      <c r="H90" s="2">
        <f>SUM(OSRRefH22_20x_0)</f>
        <v>0</v>
      </c>
      <c r="I90" s="2"/>
      <c r="J90" s="5">
        <f t="shared" si="17"/>
        <v>0</v>
      </c>
      <c r="K90" s="2"/>
      <c r="L90" s="2">
        <f t="shared" si="18"/>
        <v>0</v>
      </c>
      <c r="M90" s="2"/>
      <c r="N90" s="5">
        <f t="shared" si="19"/>
        <v>0</v>
      </c>
      <c r="O90" s="11"/>
      <c r="P90" s="2">
        <f>SUM(OSRRefP22_20x_0)</f>
        <v>6494</v>
      </c>
      <c r="Q90" s="2"/>
      <c r="R90" s="5">
        <f t="shared" si="20"/>
        <v>0</v>
      </c>
      <c r="S90" s="2"/>
      <c r="T90" s="2">
        <f>SUM(OSRRefT22_20x_0)</f>
        <v>881.63</v>
      </c>
      <c r="U90" s="2"/>
      <c r="V90" s="5">
        <f t="shared" si="21"/>
        <v>0</v>
      </c>
      <c r="W90" s="2"/>
      <c r="X90" s="2">
        <f t="shared" si="22"/>
        <v>5612.37</v>
      </c>
      <c r="Y90" s="2"/>
      <c r="Z90" s="5">
        <f t="shared" si="23"/>
        <v>6.3659017955378108</v>
      </c>
    </row>
    <row r="91" spans="1:26" s="69" customFormat="1" ht="15" hidden="1" customHeight="1" outlineLevel="2" x14ac:dyDescent="0.3">
      <c r="A91" s="21"/>
      <c r="B91" s="9" t="str">
        <f>CONCATENATE("          ","6376"," - ","TRAINING")</f>
        <v xml:space="preserve">          6376 - TRAINING</v>
      </c>
      <c r="C91" s="9"/>
      <c r="D91" s="6"/>
      <c r="E91" s="3"/>
      <c r="F91" s="7">
        <f t="shared" si="16"/>
        <v>0</v>
      </c>
      <c r="G91" s="3"/>
      <c r="H91" s="6"/>
      <c r="I91" s="3"/>
      <c r="J91" s="7">
        <f t="shared" si="17"/>
        <v>0</v>
      </c>
      <c r="K91" s="3"/>
      <c r="L91" s="6">
        <f t="shared" si="18"/>
        <v>0</v>
      </c>
      <c r="M91" s="3"/>
      <c r="N91" s="7">
        <f t="shared" si="19"/>
        <v>0</v>
      </c>
      <c r="O91" s="9"/>
      <c r="P91" s="6">
        <v>6494</v>
      </c>
      <c r="Q91" s="3"/>
      <c r="R91" s="7">
        <f t="shared" si="20"/>
        <v>0</v>
      </c>
      <c r="S91" s="3"/>
      <c r="T91" s="6">
        <v>881.63</v>
      </c>
      <c r="U91" s="3"/>
      <c r="V91" s="7">
        <f t="shared" si="21"/>
        <v>0</v>
      </c>
      <c r="W91" s="3"/>
      <c r="X91" s="6">
        <f t="shared" si="22"/>
        <v>5612.37</v>
      </c>
      <c r="Y91" s="3"/>
      <c r="Z91" s="7">
        <f t="shared" si="23"/>
        <v>6.3659017955378108</v>
      </c>
    </row>
    <row r="92" spans="1:26" s="68" customFormat="1" ht="15" customHeight="1" outlineLevel="1" collapsed="1" x14ac:dyDescent="0.3">
      <c r="A92" s="20"/>
      <c r="B92" s="11" t="str">
        <f>CONCATENATE("     ","Travel                                            ")</f>
        <v xml:space="preserve">     Travel                                            </v>
      </c>
      <c r="C92" s="11"/>
      <c r="D92" s="2">
        <f>SUM(OSRRefD22_21x_0)</f>
        <v>100</v>
      </c>
      <c r="E92" s="2"/>
      <c r="F92" s="5">
        <f t="shared" si="16"/>
        <v>0</v>
      </c>
      <c r="G92" s="2"/>
      <c r="H92" s="2">
        <f>SUM(OSRRefH22_21x_0)</f>
        <v>67.62</v>
      </c>
      <c r="I92" s="2"/>
      <c r="J92" s="5">
        <f t="shared" si="17"/>
        <v>0</v>
      </c>
      <c r="K92" s="2"/>
      <c r="L92" s="2">
        <f t="shared" si="18"/>
        <v>32.379999999999995</v>
      </c>
      <c r="M92" s="2"/>
      <c r="N92" s="5">
        <f t="shared" si="19"/>
        <v>0.47885241052942906</v>
      </c>
      <c r="O92" s="11"/>
      <c r="P92" s="2">
        <f>SUM(OSRRefP22_21x_0)</f>
        <v>1114.6199999999999</v>
      </c>
      <c r="Q92" s="2"/>
      <c r="R92" s="5">
        <f t="shared" si="20"/>
        <v>0</v>
      </c>
      <c r="S92" s="2"/>
      <c r="T92" s="2">
        <f>SUM(OSRRefT22_21x_0)</f>
        <v>426.51</v>
      </c>
      <c r="U92" s="2"/>
      <c r="V92" s="5">
        <f t="shared" si="21"/>
        <v>0</v>
      </c>
      <c r="W92" s="2"/>
      <c r="X92" s="2">
        <f t="shared" si="22"/>
        <v>688.1099999999999</v>
      </c>
      <c r="Y92" s="2"/>
      <c r="Z92" s="5">
        <f t="shared" si="23"/>
        <v>1.6133502145318983</v>
      </c>
    </row>
    <row r="93" spans="1:26" s="69" customFormat="1" ht="15" hidden="1" customHeight="1" outlineLevel="2" x14ac:dyDescent="0.3">
      <c r="A93" s="21"/>
      <c r="B93" s="9" t="str">
        <f>CONCATENATE("          ","6292"," - ","TRAVEL/CONFERENCE")</f>
        <v xml:space="preserve">          6292 - TRAVEL/CONFERENCE</v>
      </c>
      <c r="C93" s="9"/>
      <c r="D93" s="6"/>
      <c r="E93" s="3"/>
      <c r="F93" s="7">
        <f t="shared" si="16"/>
        <v>0</v>
      </c>
      <c r="G93" s="3"/>
      <c r="H93" s="6"/>
      <c r="I93" s="3"/>
      <c r="J93" s="7">
        <f t="shared" si="17"/>
        <v>0</v>
      </c>
      <c r="K93" s="3"/>
      <c r="L93" s="6">
        <f t="shared" si="18"/>
        <v>0</v>
      </c>
      <c r="M93" s="3"/>
      <c r="N93" s="7">
        <f t="shared" si="19"/>
        <v>0</v>
      </c>
      <c r="O93" s="9"/>
      <c r="P93" s="6">
        <v>495</v>
      </c>
      <c r="Q93" s="3"/>
      <c r="R93" s="7">
        <f t="shared" si="20"/>
        <v>0</v>
      </c>
      <c r="S93" s="3"/>
      <c r="T93" s="6">
        <v>299</v>
      </c>
      <c r="U93" s="3"/>
      <c r="V93" s="7">
        <f t="shared" si="21"/>
        <v>0</v>
      </c>
      <c r="W93" s="3"/>
      <c r="X93" s="6">
        <f t="shared" si="22"/>
        <v>196</v>
      </c>
      <c r="Y93" s="3"/>
      <c r="Z93" s="7">
        <f t="shared" si="23"/>
        <v>0.65551839464882944</v>
      </c>
    </row>
    <row r="94" spans="1:26" s="69" customFormat="1" ht="15" hidden="1" customHeight="1" outlineLevel="2" x14ac:dyDescent="0.3">
      <c r="A94" s="21"/>
      <c r="B94" s="9" t="str">
        <f>CONCATENATE("          ","6294"," - ","TRAVEL OPERATIONAL")</f>
        <v xml:space="preserve">          6294 - TRAVEL OPERATIONAL</v>
      </c>
      <c r="C94" s="9"/>
      <c r="D94" s="6"/>
      <c r="E94" s="3"/>
      <c r="F94" s="7">
        <f t="shared" si="16"/>
        <v>0</v>
      </c>
      <c r="G94" s="3"/>
      <c r="H94" s="6">
        <v>67.62</v>
      </c>
      <c r="I94" s="3"/>
      <c r="J94" s="7">
        <f t="shared" si="17"/>
        <v>0</v>
      </c>
      <c r="K94" s="3"/>
      <c r="L94" s="6">
        <f t="shared" si="18"/>
        <v>-67.62</v>
      </c>
      <c r="M94" s="3"/>
      <c r="N94" s="7">
        <f t="shared" si="19"/>
        <v>-1</v>
      </c>
      <c r="O94" s="9"/>
      <c r="P94" s="6">
        <v>20.239999999999998</v>
      </c>
      <c r="Q94" s="3"/>
      <c r="R94" s="7">
        <f t="shared" si="20"/>
        <v>0</v>
      </c>
      <c r="S94" s="3"/>
      <c r="T94" s="6">
        <v>67.62</v>
      </c>
      <c r="U94" s="3"/>
      <c r="V94" s="7">
        <f t="shared" si="21"/>
        <v>0</v>
      </c>
      <c r="W94" s="3"/>
      <c r="X94" s="6">
        <f t="shared" si="22"/>
        <v>-47.38000000000001</v>
      </c>
      <c r="Y94" s="3"/>
      <c r="Z94" s="7">
        <f t="shared" si="23"/>
        <v>-0.70068027210884365</v>
      </c>
    </row>
    <row r="95" spans="1:26" s="69" customFormat="1" ht="15" hidden="1" customHeight="1" outlineLevel="2" x14ac:dyDescent="0.3">
      <c r="A95" s="21"/>
      <c r="B95" s="9" t="str">
        <f>CONCATENATE("          ","6298"," - ","VEHICLE MILEAGE")</f>
        <v xml:space="preserve">          6298 - VEHICLE MILEAGE</v>
      </c>
      <c r="C95" s="9"/>
      <c r="D95" s="6">
        <v>100</v>
      </c>
      <c r="E95" s="3"/>
      <c r="F95" s="7">
        <f t="shared" si="16"/>
        <v>0</v>
      </c>
      <c r="G95" s="3"/>
      <c r="H95" s="6"/>
      <c r="I95" s="3"/>
      <c r="J95" s="7">
        <f t="shared" si="17"/>
        <v>0</v>
      </c>
      <c r="K95" s="3"/>
      <c r="L95" s="6">
        <f t="shared" si="18"/>
        <v>100</v>
      </c>
      <c r="M95" s="3"/>
      <c r="N95" s="7">
        <f t="shared" si="19"/>
        <v>0</v>
      </c>
      <c r="O95" s="9"/>
      <c r="P95" s="6">
        <v>599.38</v>
      </c>
      <c r="Q95" s="3"/>
      <c r="R95" s="7">
        <f t="shared" si="20"/>
        <v>0</v>
      </c>
      <c r="S95" s="3"/>
      <c r="T95" s="6">
        <v>59.89</v>
      </c>
      <c r="U95" s="3"/>
      <c r="V95" s="7">
        <f t="shared" si="21"/>
        <v>0</v>
      </c>
      <c r="W95" s="3"/>
      <c r="X95" s="6">
        <f t="shared" si="22"/>
        <v>539.49</v>
      </c>
      <c r="Y95" s="3"/>
      <c r="Z95" s="7">
        <f t="shared" si="23"/>
        <v>9.0080146936049417</v>
      </c>
    </row>
    <row r="96" spans="1:26" s="68" customFormat="1" ht="15" customHeight="1" outlineLevel="1" collapsed="1" x14ac:dyDescent="0.3">
      <c r="A96" s="20"/>
      <c r="B96" s="11" t="str">
        <f>CONCATENATE("     ","Utilities                                         ")</f>
        <v xml:space="preserve">     Utilities                                         </v>
      </c>
      <c r="C96" s="11"/>
      <c r="D96" s="2">
        <f>SUM(OSRRefD22_22x_0)</f>
        <v>7230</v>
      </c>
      <c r="E96" s="2"/>
      <c r="F96" s="5">
        <f t="shared" si="16"/>
        <v>0</v>
      </c>
      <c r="G96" s="2"/>
      <c r="H96" s="2">
        <f>SUM(OSRRefH22_22x_0)</f>
        <v>5483</v>
      </c>
      <c r="I96" s="2"/>
      <c r="J96" s="5">
        <f t="shared" si="17"/>
        <v>0</v>
      </c>
      <c r="K96" s="2"/>
      <c r="L96" s="2">
        <f t="shared" si="18"/>
        <v>1747</v>
      </c>
      <c r="M96" s="2"/>
      <c r="N96" s="5">
        <f t="shared" si="19"/>
        <v>0.31862119277767648</v>
      </c>
      <c r="O96" s="11"/>
      <c r="P96" s="2">
        <f>SUM(OSRRefP22_22x_0)</f>
        <v>90929</v>
      </c>
      <c r="Q96" s="2"/>
      <c r="R96" s="5">
        <f t="shared" si="20"/>
        <v>0</v>
      </c>
      <c r="S96" s="2"/>
      <c r="T96" s="2">
        <f>SUM(OSRRefT22_22x_0)</f>
        <v>70016</v>
      </c>
      <c r="U96" s="2"/>
      <c r="V96" s="5">
        <f t="shared" si="21"/>
        <v>0</v>
      </c>
      <c r="W96" s="2"/>
      <c r="X96" s="2">
        <f t="shared" si="22"/>
        <v>20913</v>
      </c>
      <c r="Y96" s="2"/>
      <c r="Z96" s="5">
        <f t="shared" si="23"/>
        <v>0.29868887111517367</v>
      </c>
    </row>
    <row r="97" spans="1:26" s="69" customFormat="1" ht="15" hidden="1" customHeight="1" outlineLevel="2" x14ac:dyDescent="0.3">
      <c r="A97" s="21"/>
      <c r="B97" s="9" t="str">
        <f>CONCATENATE("          ","6274"," - ","UTILITIES")</f>
        <v xml:space="preserve">          6274 - UTILITIES</v>
      </c>
      <c r="C97" s="9"/>
      <c r="D97" s="6">
        <v>7230</v>
      </c>
      <c r="E97" s="3"/>
      <c r="F97" s="7">
        <f t="shared" si="16"/>
        <v>0</v>
      </c>
      <c r="G97" s="3"/>
      <c r="H97" s="6">
        <v>5483</v>
      </c>
      <c r="I97" s="3"/>
      <c r="J97" s="7">
        <f t="shared" si="17"/>
        <v>0</v>
      </c>
      <c r="K97" s="3"/>
      <c r="L97" s="6">
        <f t="shared" si="18"/>
        <v>1747</v>
      </c>
      <c r="M97" s="3"/>
      <c r="N97" s="7">
        <f t="shared" si="19"/>
        <v>0.31862119277767648</v>
      </c>
      <c r="O97" s="9"/>
      <c r="P97" s="6">
        <v>90929</v>
      </c>
      <c r="Q97" s="3"/>
      <c r="R97" s="7">
        <f t="shared" si="20"/>
        <v>0</v>
      </c>
      <c r="S97" s="3"/>
      <c r="T97" s="6">
        <v>70016</v>
      </c>
      <c r="U97" s="3"/>
      <c r="V97" s="7">
        <f t="shared" si="21"/>
        <v>0</v>
      </c>
      <c r="W97" s="3"/>
      <c r="X97" s="6">
        <f t="shared" si="22"/>
        <v>20913</v>
      </c>
      <c r="Y97" s="3"/>
      <c r="Z97" s="7">
        <f t="shared" si="23"/>
        <v>0.29868887111517367</v>
      </c>
    </row>
    <row r="98" spans="1:26" s="64" customFormat="1" ht="15" customHeight="1" x14ac:dyDescent="0.3">
      <c r="A98" s="37"/>
      <c r="B98" s="37"/>
      <c r="C98" s="37"/>
      <c r="D98" s="2"/>
      <c r="E98" s="2"/>
      <c r="F98" s="5"/>
      <c r="G98" s="2"/>
      <c r="H98" s="2"/>
      <c r="I98" s="2"/>
      <c r="J98" s="5"/>
      <c r="K98" s="2"/>
      <c r="L98" s="2"/>
      <c r="M98" s="2"/>
      <c r="N98" s="5"/>
      <c r="O98" s="37"/>
      <c r="P98" s="2"/>
      <c r="Q98" s="2"/>
      <c r="R98" s="5"/>
      <c r="S98" s="2"/>
      <c r="T98" s="2"/>
      <c r="U98" s="2"/>
      <c r="V98" s="5"/>
      <c r="W98" s="2"/>
      <c r="X98" s="2"/>
      <c r="Y98" s="2"/>
      <c r="Z98" s="5"/>
    </row>
    <row r="99" spans="1:26" s="62" customFormat="1" ht="15" customHeight="1" collapsed="1" x14ac:dyDescent="0.3">
      <c r="A99" s="13"/>
      <c r="B99" s="27" t="s">
        <v>290</v>
      </c>
      <c r="C99" s="13"/>
      <c r="D99" s="8">
        <f>SUM(OSRRefD25x_0)</f>
        <v>4378.72</v>
      </c>
      <c r="E99" s="8"/>
      <c r="F99" s="14">
        <f>IF(D$12=0,0,D99/D$12)</f>
        <v>0</v>
      </c>
      <c r="G99" s="8"/>
      <c r="H99" s="8">
        <f>SUM(OSRRefH25x_0)</f>
        <v>3551.78</v>
      </c>
      <c r="I99" s="8"/>
      <c r="J99" s="14">
        <f>IF(H$12=0,0,H99/H$12)</f>
        <v>0</v>
      </c>
      <c r="K99" s="8"/>
      <c r="L99" s="8">
        <f>+D99-H99</f>
        <v>826.94</v>
      </c>
      <c r="M99" s="8"/>
      <c r="N99" s="14">
        <f>IF(H99=0,0,L99/H99)</f>
        <v>0.23282410509659945</v>
      </c>
      <c r="O99" s="13"/>
      <c r="P99" s="8">
        <f>SUM(OSRRefP25x_0)</f>
        <v>280232.98</v>
      </c>
      <c r="Q99" s="8"/>
      <c r="R99" s="14">
        <f>IF(P$12=0,0,P99/P$12)</f>
        <v>0</v>
      </c>
      <c r="S99" s="8"/>
      <c r="T99" s="8">
        <f>SUM(OSRRefT25x_0)</f>
        <v>235037.75</v>
      </c>
      <c r="U99" s="8"/>
      <c r="V99" s="14">
        <f>IF(T$12=0,0,T99/T$12)</f>
        <v>0</v>
      </c>
      <c r="W99" s="8"/>
      <c r="X99" s="8">
        <f>+P99-T99</f>
        <v>45195.229999999981</v>
      </c>
      <c r="Y99" s="8"/>
      <c r="Z99" s="14">
        <f>IF(T99=0,0,X99/T99)</f>
        <v>0.19228923864357952</v>
      </c>
    </row>
    <row r="100" spans="1:26" s="69" customFormat="1" ht="15" hidden="1" customHeight="1" outlineLevel="1" x14ac:dyDescent="0.3">
      <c r="A100" s="47"/>
      <c r="B100" s="9" t="str">
        <f>CONCATENATE("          ","9150"," - ","MISC. INCOME")</f>
        <v xml:space="preserve">          9150 - MISC. INCOME</v>
      </c>
      <c r="C100" s="9"/>
      <c r="D100" s="3">
        <f>--4378.72</f>
        <v>4378.72</v>
      </c>
      <c r="E100" s="3"/>
      <c r="F100" s="26">
        <f>IF(D$12=0,0,D100/D$12)</f>
        <v>0</v>
      </c>
      <c r="G100" s="3"/>
      <c r="H100" s="3">
        <f>--3551.78</f>
        <v>3551.78</v>
      </c>
      <c r="I100" s="3"/>
      <c r="J100" s="26">
        <f>IF(H$12=0,0,H100/H$12)</f>
        <v>0</v>
      </c>
      <c r="K100" s="3"/>
      <c r="L100" s="3">
        <f>+D100-H100</f>
        <v>826.94</v>
      </c>
      <c r="M100" s="3"/>
      <c r="N100" s="26">
        <f>IF(H100=0,0,L100/H100)</f>
        <v>0.23282410509659945</v>
      </c>
      <c r="O100" s="9"/>
      <c r="P100" s="3">
        <f>--280232.98</f>
        <v>280232.98</v>
      </c>
      <c r="Q100" s="3"/>
      <c r="R100" s="26">
        <f>IF(P$12=0,0,P100/P$12)</f>
        <v>0</v>
      </c>
      <c r="S100" s="3"/>
      <c r="T100" s="3">
        <f>--235037.75</f>
        <v>235037.75</v>
      </c>
      <c r="U100" s="3"/>
      <c r="V100" s="26">
        <f>IF(T$12=0,0,T100/T$12)</f>
        <v>0</v>
      </c>
      <c r="W100" s="3"/>
      <c r="X100" s="3">
        <f>+P100-T100</f>
        <v>45195.229999999981</v>
      </c>
      <c r="Y100" s="3"/>
      <c r="Z100" s="26">
        <f>IF(T100=0,0,X100/T100)</f>
        <v>0.19228923864357952</v>
      </c>
    </row>
    <row r="101" spans="1:26" ht="15" customHeight="1" x14ac:dyDescent="0.3">
      <c r="A101" s="12"/>
      <c r="B101" s="13"/>
      <c r="C101" s="13"/>
      <c r="D101" s="4"/>
      <c r="E101" s="4"/>
      <c r="F101" s="10"/>
      <c r="G101" s="4"/>
      <c r="H101" s="4"/>
      <c r="I101" s="4"/>
      <c r="J101" s="10"/>
      <c r="K101" s="4"/>
      <c r="L101" s="4"/>
      <c r="M101" s="4"/>
      <c r="N101" s="10"/>
      <c r="O101" s="13"/>
      <c r="P101" s="4"/>
      <c r="Q101" s="4"/>
      <c r="R101" s="10"/>
      <c r="S101" s="4"/>
      <c r="T101" s="4"/>
      <c r="U101" s="4"/>
      <c r="V101" s="10"/>
      <c r="W101" s="4"/>
      <c r="X101" s="4"/>
      <c r="Y101" s="4"/>
      <c r="Z101" s="10"/>
    </row>
    <row r="102" spans="1:26" s="62" customFormat="1" ht="15" customHeight="1" x14ac:dyDescent="0.3">
      <c r="A102" s="13"/>
      <c r="B102" s="28" t="s">
        <v>291</v>
      </c>
      <c r="C102" s="28"/>
      <c r="D102" s="22">
        <f>+D18-D20+D99</f>
        <v>-127001.23999999999</v>
      </c>
      <c r="E102" s="15"/>
      <c r="F102" s="24">
        <f>IF(D$12=0,0,D102/D$12)</f>
        <v>0</v>
      </c>
      <c r="G102" s="15"/>
      <c r="H102" s="22">
        <f>+H18-H20+H99</f>
        <v>-125446.13</v>
      </c>
      <c r="I102" s="15"/>
      <c r="J102" s="24">
        <f>IF(H$12=0,0,H102/H$12)</f>
        <v>0</v>
      </c>
      <c r="K102" s="17"/>
      <c r="L102" s="22">
        <f>+D102-H102</f>
        <v>-1555.109999999986</v>
      </c>
      <c r="M102" s="17"/>
      <c r="N102" s="24">
        <f>IF(H102=0,0,L102/H102)</f>
        <v>1.2396635910569628E-2</v>
      </c>
      <c r="O102" s="27"/>
      <c r="P102" s="22">
        <f>+P18-P20+P99</f>
        <v>-1415251.3799999997</v>
      </c>
      <c r="Q102" s="15"/>
      <c r="R102" s="24">
        <f>IF(P$12=0,0,P102/P$12)</f>
        <v>0</v>
      </c>
      <c r="S102" s="15"/>
      <c r="T102" s="22">
        <f>+T18-T20+T99</f>
        <v>-1202830.4099999997</v>
      </c>
      <c r="U102" s="15"/>
      <c r="V102" s="24">
        <f>IF(T$12=0,0,T102/T$12)</f>
        <v>0</v>
      </c>
      <c r="W102" s="17"/>
      <c r="X102" s="22">
        <f>+P102-T102</f>
        <v>-212420.96999999997</v>
      </c>
      <c r="Y102" s="17"/>
      <c r="Z102" s="24">
        <f>IF(T102=0,0,X102/T102)</f>
        <v>0.17660093079954639</v>
      </c>
    </row>
    <row r="103" spans="1:26" ht="15" customHeight="1" x14ac:dyDescent="0.3">
      <c r="A103" s="12"/>
      <c r="B103" s="13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2" customFormat="1" ht="15" customHeight="1" x14ac:dyDescent="0.3">
      <c r="A104" s="48"/>
      <c r="B104" s="13" t="s">
        <v>292</v>
      </c>
      <c r="C104" s="13"/>
      <c r="D104" s="8"/>
      <c r="E104" s="8"/>
      <c r="F104" s="14">
        <f>IF(D$12=0,0,D104/D$12)</f>
        <v>0</v>
      </c>
      <c r="G104" s="8"/>
      <c r="H104" s="8"/>
      <c r="I104" s="8"/>
      <c r="J104" s="14">
        <f>IF(H$12=0,0,H104/H$12)</f>
        <v>0</v>
      </c>
      <c r="K104" s="8"/>
      <c r="L104" s="8">
        <f>+D104-H104</f>
        <v>0</v>
      </c>
      <c r="M104" s="8"/>
      <c r="N104" s="14">
        <f>IF(H104=0,0,L104/H104)</f>
        <v>0</v>
      </c>
      <c r="O104" s="13"/>
      <c r="P104" s="8"/>
      <c r="Q104" s="8"/>
      <c r="R104" s="14">
        <f>IF(P$12=0,0,P104/P$12)</f>
        <v>0</v>
      </c>
      <c r="S104" s="8"/>
      <c r="T104" s="8"/>
      <c r="U104" s="8"/>
      <c r="V104" s="14">
        <f>IF(T$12=0,0,T104/T$12)</f>
        <v>0</v>
      </c>
      <c r="W104" s="8"/>
      <c r="X104" s="8">
        <f>+P104-T104</f>
        <v>0</v>
      </c>
      <c r="Y104" s="8"/>
      <c r="Z104" s="14">
        <f>IF(T104=0,0,X104/T104)</f>
        <v>0</v>
      </c>
    </row>
    <row r="105" spans="1:26" ht="15" customHeight="1" x14ac:dyDescent="0.3">
      <c r="A105" s="12"/>
      <c r="B105" s="13"/>
      <c r="C105" s="13"/>
      <c r="D105" s="4"/>
      <c r="E105" s="4"/>
      <c r="F105" s="10"/>
      <c r="G105" s="4"/>
      <c r="H105" s="4"/>
      <c r="I105" s="4"/>
      <c r="J105" s="10"/>
      <c r="K105" s="4"/>
      <c r="L105" s="4"/>
      <c r="M105" s="4"/>
      <c r="N105" s="10"/>
      <c r="O105" s="13"/>
      <c r="P105" s="4"/>
      <c r="Q105" s="4"/>
      <c r="R105" s="10"/>
      <c r="S105" s="4"/>
      <c r="T105" s="4"/>
      <c r="U105" s="4"/>
      <c r="V105" s="10"/>
      <c r="W105" s="4"/>
      <c r="X105" s="4"/>
      <c r="Y105" s="4"/>
      <c r="Z105" s="10"/>
    </row>
    <row r="106" spans="1:26" s="62" customFormat="1" ht="15" customHeight="1" x14ac:dyDescent="0.3">
      <c r="A106" s="13"/>
      <c r="B106" s="28" t="s">
        <v>293</v>
      </c>
      <c r="C106" s="28"/>
      <c r="D106" s="29">
        <f>+D102-D104</f>
        <v>-127001.23999999999</v>
      </c>
      <c r="E106" s="15"/>
      <c r="F106" s="31">
        <f>IF(D$12=0,0,D106/D$12)</f>
        <v>0</v>
      </c>
      <c r="G106" s="15"/>
      <c r="H106" s="29">
        <f>+H102-H104</f>
        <v>-125446.13</v>
      </c>
      <c r="I106" s="15"/>
      <c r="J106" s="31">
        <f>IF(H$12=0,0,H106/H$12)</f>
        <v>0</v>
      </c>
      <c r="K106" s="17"/>
      <c r="L106" s="29">
        <f>D106-H106</f>
        <v>-1555.109999999986</v>
      </c>
      <c r="M106" s="17"/>
      <c r="N106" s="31">
        <f>IF(H106=0,0,L106/H106)</f>
        <v>1.2396635910569628E-2</v>
      </c>
      <c r="O106" s="27"/>
      <c r="P106" s="29">
        <f>+P102-P104</f>
        <v>-1415251.3799999997</v>
      </c>
      <c r="Q106" s="15"/>
      <c r="R106" s="31">
        <f>IF(P$12=0,0,P106/P$12)</f>
        <v>0</v>
      </c>
      <c r="S106" s="15"/>
      <c r="T106" s="29">
        <f>+T102-T104</f>
        <v>-1202830.4099999997</v>
      </c>
      <c r="U106" s="15"/>
      <c r="V106" s="31">
        <f>IF(T$12=0,0,T106/T$12)</f>
        <v>0</v>
      </c>
      <c r="W106" s="17"/>
      <c r="X106" s="29">
        <f>P106-T106</f>
        <v>-212420.96999999997</v>
      </c>
      <c r="Y106" s="17"/>
      <c r="Z106" s="31">
        <f>IF(T106=0,0,X106/T106)</f>
        <v>0.17660093079954639</v>
      </c>
    </row>
    <row r="107" spans="1:26" ht="15" customHeight="1" x14ac:dyDescent="0.3">
      <c r="A107" s="12"/>
      <c r="B107" s="12"/>
      <c r="C107" s="12"/>
      <c r="D107" s="4"/>
      <c r="E107" s="4"/>
      <c r="F107" s="10"/>
      <c r="G107" s="4"/>
      <c r="H107" s="4"/>
      <c r="I107" s="4"/>
      <c r="J107" s="10"/>
      <c r="K107" s="4"/>
      <c r="L107" s="4"/>
      <c r="M107" s="4"/>
      <c r="N107" s="10"/>
      <c r="P107" s="4"/>
      <c r="Q107" s="4"/>
      <c r="R107" s="10"/>
      <c r="S107" s="4"/>
      <c r="T107" s="4"/>
      <c r="U107" s="4"/>
      <c r="V107" s="10"/>
      <c r="W107" s="4"/>
      <c r="X107" s="4"/>
      <c r="Y107" s="4"/>
      <c r="Z107" s="10"/>
    </row>
    <row r="108" spans="1:26" ht="15" customHeight="1" x14ac:dyDescent="0.3">
      <c r="A108" s="12"/>
      <c r="B108" s="12"/>
      <c r="C108" s="12"/>
      <c r="D108" s="4"/>
      <c r="E108" s="4"/>
      <c r="F108" s="10"/>
      <c r="G108" s="4"/>
      <c r="H108" s="4"/>
      <c r="I108" s="4"/>
      <c r="J108" s="10"/>
      <c r="K108" s="4"/>
      <c r="L108" s="4"/>
      <c r="M108" s="4"/>
      <c r="N108" s="10"/>
      <c r="P108" s="4"/>
      <c r="Q108" s="4"/>
      <c r="R108" s="10"/>
      <c r="S108" s="4"/>
      <c r="T108" s="4"/>
      <c r="U108" s="4"/>
      <c r="V108" s="10"/>
      <c r="W108" s="4"/>
      <c r="X108" s="4"/>
      <c r="Y108" s="4"/>
      <c r="Z108" s="10"/>
    </row>
    <row r="109" spans="1:26" s="62" customFormat="1" ht="15" customHeight="1" x14ac:dyDescent="0.3">
      <c r="A109" s="13"/>
      <c r="B109" s="28" t="s">
        <v>296</v>
      </c>
      <c r="C109" s="28"/>
      <c r="D109" s="30">
        <f>SUM(D106:D108)</f>
        <v>-127001.23999999999</v>
      </c>
      <c r="E109" s="15"/>
      <c r="F109" s="35">
        <f>IF(D$12=0,0,D109/D$12)</f>
        <v>0</v>
      </c>
      <c r="G109" s="15"/>
      <c r="H109" s="30">
        <f>SUM(H106:H108)</f>
        <v>-125446.13</v>
      </c>
      <c r="I109" s="15"/>
      <c r="J109" s="35">
        <f>IF(H$12=0,0,H109/H$12)</f>
        <v>0</v>
      </c>
      <c r="K109" s="17"/>
      <c r="L109" s="30">
        <f>+D109-H109</f>
        <v>-1555.109999999986</v>
      </c>
      <c r="M109" s="17"/>
      <c r="N109" s="35">
        <f>IF(H109=0,0,L109/H109)</f>
        <v>1.2396635910569628E-2</v>
      </c>
      <c r="O109" s="27"/>
      <c r="P109" s="30">
        <f>SUM(P106:P108)</f>
        <v>-1415251.3799999997</v>
      </c>
      <c r="Q109" s="15"/>
      <c r="R109" s="35">
        <f>IF(P$12=0,0,P109/P$12)</f>
        <v>0</v>
      </c>
      <c r="S109" s="15"/>
      <c r="T109" s="30">
        <f>SUM(T106:T108)</f>
        <v>-1202830.4099999997</v>
      </c>
      <c r="U109" s="15"/>
      <c r="V109" s="35">
        <f>IF(T$12=0,0,T109/T$12)</f>
        <v>0</v>
      </c>
      <c r="W109" s="17"/>
      <c r="X109" s="30">
        <f>+P109-T109</f>
        <v>-212420.96999999997</v>
      </c>
      <c r="Y109" s="17"/>
      <c r="Z109" s="35">
        <f>IF(T109=0,0,X109/T109)</f>
        <v>0.17660093079954639</v>
      </c>
    </row>
    <row r="110" spans="1:26" ht="15" customHeight="1" x14ac:dyDescent="0.3">
      <c r="A110" s="12"/>
      <c r="C110" s="12"/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A111" s="12"/>
      <c r="B111" s="54">
        <v>44767.815885219905</v>
      </c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  <row r="112" spans="1:26" ht="15" customHeight="1" x14ac:dyDescent="0.3">
      <c r="A112" s="12"/>
      <c r="B112" s="53" t="s">
        <v>297</v>
      </c>
      <c r="D112" s="19"/>
      <c r="E112" s="19"/>
      <c r="G112" s="19"/>
      <c r="H112" s="19"/>
      <c r="I112" s="19"/>
      <c r="J112" s="41"/>
      <c r="K112" s="19"/>
      <c r="L112" s="19"/>
      <c r="M112" s="19"/>
      <c r="P112" s="19"/>
      <c r="Q112" s="19"/>
      <c r="R112" s="41"/>
      <c r="S112" s="19"/>
      <c r="T112" s="19"/>
      <c r="U112" s="19"/>
      <c r="V112" s="41"/>
      <c r="W112" s="19"/>
      <c r="X112" s="19"/>
    </row>
    <row r="113" spans="1:24" ht="15" customHeight="1" x14ac:dyDescent="0.3">
      <c r="A113" s="12"/>
      <c r="B113" s="51"/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  <row r="114" spans="1:24" ht="15" customHeight="1" x14ac:dyDescent="0.3">
      <c r="D114" s="19"/>
      <c r="E114" s="19"/>
      <c r="G114" s="19"/>
      <c r="H114" s="19"/>
      <c r="I114" s="19"/>
      <c r="J114" s="41"/>
      <c r="K114" s="19"/>
      <c r="L114" s="19"/>
      <c r="M114" s="19"/>
      <c r="P114" s="19"/>
      <c r="Q114" s="19"/>
      <c r="R114" s="41"/>
      <c r="S114" s="19"/>
      <c r="T114" s="19"/>
      <c r="U114" s="19"/>
      <c r="V114" s="41"/>
      <c r="W114" s="19"/>
      <c r="X11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C807-926A-7128-39D4-18EDEFA24BF2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","306"," - ","Warehouse")</f>
        <v>Department 306 - Warehouse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0</v>
      </c>
      <c r="E18" s="23"/>
      <c r="F18" s="34">
        <f t="shared" ref="F18:F34" si="0">IF(D$12=0,0,D18/D$12)</f>
        <v>0</v>
      </c>
      <c r="G18" s="23"/>
      <c r="H18" s="23" cm="1">
        <f t="array" ref="H18">SUM(OSRRefH22x_0)</f>
        <v>0</v>
      </c>
      <c r="I18" s="23"/>
      <c r="J18" s="34">
        <f t="shared" ref="J18:J34" si="1">IF(H$12=0,0,H18/H$12)</f>
        <v>0</v>
      </c>
      <c r="K18" s="8"/>
      <c r="L18" s="23">
        <f t="shared" ref="L18:L34" si="2">+D18-H18</f>
        <v>0</v>
      </c>
      <c r="M18" s="8"/>
      <c r="N18" s="34">
        <f t="shared" ref="N18:N34" si="3">IF(H18=0,0,L18/H18)</f>
        <v>0</v>
      </c>
      <c r="O18" s="13"/>
      <c r="P18" s="23" cm="1">
        <f t="array" ref="P18">SUM(OSRRefP22x_0)</f>
        <v>0</v>
      </c>
      <c r="Q18" s="23"/>
      <c r="R18" s="34">
        <f t="shared" ref="R18:R34" si="4">IF(P$12=0,0,P18/P$12)</f>
        <v>0</v>
      </c>
      <c r="S18" s="23"/>
      <c r="T18" s="23" cm="1">
        <f t="array" ref="T18">SUM(OSRRefT22x_0)</f>
        <v>0.37000000000004318</v>
      </c>
      <c r="U18" s="23"/>
      <c r="V18" s="34">
        <f t="shared" ref="V18:V34" si="5">IF(T$12=0,0,T18/T$12)</f>
        <v>0</v>
      </c>
      <c r="W18" s="8"/>
      <c r="X18" s="23">
        <f t="shared" ref="X18:X34" si="6">+P18-T18</f>
        <v>-0.37000000000004318</v>
      </c>
      <c r="Y18" s="8"/>
      <c r="Z18" s="34">
        <f t="shared" ref="Z18:Z34" si="7">IF(T18=0,0,X18/T18)</f>
        <v>-1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0</v>
      </c>
      <c r="Q19" s="2"/>
      <c r="R19" s="5">
        <f t="shared" si="4"/>
        <v>0</v>
      </c>
      <c r="S19" s="2"/>
      <c r="T19" s="2">
        <f>SUM(OSRRefT22_0x_0)</f>
        <v>0.1400000000000432</v>
      </c>
      <c r="U19" s="2"/>
      <c r="V19" s="5">
        <f t="shared" si="5"/>
        <v>0</v>
      </c>
      <c r="W19" s="2"/>
      <c r="X19" s="2">
        <f t="shared" si="6"/>
        <v>-0.1400000000000432</v>
      </c>
      <c r="Y19" s="2"/>
      <c r="Z19" s="5">
        <f t="shared" si="7"/>
        <v>-1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/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/>
      <c r="Q20" s="3"/>
      <c r="R20" s="7">
        <f t="shared" si="4"/>
        <v>0</v>
      </c>
      <c r="S20" s="3"/>
      <c r="T20" s="6">
        <v>402.04</v>
      </c>
      <c r="U20" s="3"/>
      <c r="V20" s="7">
        <f t="shared" si="5"/>
        <v>0</v>
      </c>
      <c r="W20" s="3"/>
      <c r="X20" s="6">
        <f t="shared" si="6"/>
        <v>-402.04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1"/>
      <c r="B21" s="9" t="str">
        <f>CONCATENATE("          ","6113"," - ","GROUP INSURANCE")</f>
        <v xml:space="preserve">          6113 - GROUP INSURANCE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/>
      <c r="Q21" s="3"/>
      <c r="R21" s="7">
        <f t="shared" si="4"/>
        <v>0</v>
      </c>
      <c r="S21" s="3"/>
      <c r="T21" s="6">
        <v>0</v>
      </c>
      <c r="U21" s="3"/>
      <c r="V21" s="7">
        <f t="shared" si="5"/>
        <v>0</v>
      </c>
      <c r="W21" s="3"/>
      <c r="X21" s="6">
        <f t="shared" si="6"/>
        <v>0</v>
      </c>
      <c r="Y21" s="3"/>
      <c r="Z21" s="7">
        <f t="shared" si="7"/>
        <v>0</v>
      </c>
    </row>
    <row r="22" spans="1:26" s="69" customFormat="1" ht="15" hidden="1" customHeight="1" outlineLevel="2" x14ac:dyDescent="0.3">
      <c r="A22" s="21"/>
      <c r="B22" s="9" t="str">
        <f>CONCATENATE("          ","6115"," - ","P.E.R.S.")</f>
        <v xml:space="preserve">          6115 - P.E.R.S.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0</v>
      </c>
      <c r="U22" s="3"/>
      <c r="V22" s="7">
        <f t="shared" si="5"/>
        <v>0</v>
      </c>
      <c r="W22" s="3"/>
      <c r="X22" s="6">
        <f t="shared" si="6"/>
        <v>0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1"/>
      <c r="B23" s="9" t="str">
        <f>CONCATENATE("          ","6116"," - ","EDUCATIONAL BENEFITS")</f>
        <v xml:space="preserve">          6116 - EDUCATIONAL BENEFITS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/>
      <c r="Q23" s="3"/>
      <c r="R23" s="7">
        <f t="shared" si="4"/>
        <v>0</v>
      </c>
      <c r="S23" s="3"/>
      <c r="T23" s="6">
        <v>-401.9</v>
      </c>
      <c r="U23" s="3"/>
      <c r="V23" s="7">
        <f t="shared" si="5"/>
        <v>0</v>
      </c>
      <c r="W23" s="3"/>
      <c r="X23" s="6">
        <f t="shared" si="6"/>
        <v>401.9</v>
      </c>
      <c r="Y23" s="3"/>
      <c r="Z23" s="7">
        <f t="shared" si="7"/>
        <v>-1</v>
      </c>
    </row>
    <row r="24" spans="1:26" s="68" customFormat="1" ht="15" customHeight="1" outlineLevel="1" collapsed="1" x14ac:dyDescent="0.3">
      <c r="A24" s="20"/>
      <c r="B24" s="11" t="str">
        <f>CONCATENATE("     ","*Payroll                                          ")</f>
        <v xml:space="preserve">     *Payroll                                          </v>
      </c>
      <c r="C24" s="11"/>
      <c r="D24" s="2">
        <f>SUM(OSRRefD22_1x_0)</f>
        <v>0</v>
      </c>
      <c r="E24" s="2"/>
      <c r="F24" s="5">
        <f t="shared" si="0"/>
        <v>0</v>
      </c>
      <c r="G24" s="2"/>
      <c r="H24" s="2">
        <f>SUM(OSRRefH22_1x_0)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SUM(OSRRefP22_1x_0)</f>
        <v>0</v>
      </c>
      <c r="Q24" s="2"/>
      <c r="R24" s="5">
        <f t="shared" si="4"/>
        <v>0</v>
      </c>
      <c r="S24" s="2"/>
      <c r="T24" s="2">
        <f>SUM(OSRRefT22_1x_0)</f>
        <v>0.23</v>
      </c>
      <c r="U24" s="2"/>
      <c r="V24" s="5">
        <f t="shared" si="5"/>
        <v>0</v>
      </c>
      <c r="W24" s="2"/>
      <c r="X24" s="2">
        <f t="shared" si="6"/>
        <v>-0.23</v>
      </c>
      <c r="Y24" s="2"/>
      <c r="Z24" s="5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","6004"," - ","STAFF HOURLY")</f>
        <v xml:space="preserve">          6004 - STAFF HOURLY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0.23</v>
      </c>
      <c r="U25" s="3"/>
      <c r="V25" s="7">
        <f t="shared" si="5"/>
        <v>0</v>
      </c>
      <c r="W25" s="3"/>
      <c r="X25" s="6">
        <f t="shared" si="6"/>
        <v>-0.23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1"/>
      <c r="B26" s="9" t="str">
        <f>CONCATENATE("          ","6005"," - ","TEMPORARY WAGES-HOURLY")</f>
        <v xml:space="preserve">          6005 - TEMPORARY WAGES-HOURLY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0</v>
      </c>
      <c r="Y26" s="3"/>
      <c r="Z26" s="7">
        <f t="shared" si="7"/>
        <v>0</v>
      </c>
    </row>
    <row r="27" spans="1:26" s="68" customFormat="1" ht="15" customHeight="1" outlineLevel="1" collapsed="1" x14ac:dyDescent="0.3">
      <c r="A27" s="20"/>
      <c r="B27" s="11" t="str">
        <f>CONCATENATE("     ","Equipment Rental                                  ")</f>
        <v xml:space="preserve">     Equipment Rental                                  </v>
      </c>
      <c r="C27" s="11"/>
      <c r="D27" s="2">
        <f>SUM(OSRRefD22_2x_0)</f>
        <v>0</v>
      </c>
      <c r="E27" s="2"/>
      <c r="F27" s="5">
        <f t="shared" si="0"/>
        <v>0</v>
      </c>
      <c r="G27" s="2"/>
      <c r="H27" s="2">
        <f>SUM(OSRRefH22_2x_0)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SUM(OSRRefP22_2x_0)</f>
        <v>0</v>
      </c>
      <c r="Q27" s="2"/>
      <c r="R27" s="5">
        <f t="shared" si="4"/>
        <v>0</v>
      </c>
      <c r="S27" s="2"/>
      <c r="T27" s="2">
        <f>SUM(OSRRefT22_2x_0)</f>
        <v>0</v>
      </c>
      <c r="U27" s="2"/>
      <c r="V27" s="5">
        <f t="shared" si="5"/>
        <v>0</v>
      </c>
      <c r="W27" s="2"/>
      <c r="X27" s="2">
        <f t="shared" si="6"/>
        <v>0</v>
      </c>
      <c r="Y27" s="2"/>
      <c r="Z27" s="5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","6351"," - ","EQUIPMENT RENTAL")</f>
        <v xml:space="preserve">          6351 - EQUIPMENT RENTAL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0</v>
      </c>
      <c r="U28" s="3"/>
      <c r="V28" s="7">
        <f t="shared" si="5"/>
        <v>0</v>
      </c>
      <c r="W28" s="3"/>
      <c r="X28" s="6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0"/>
      <c r="B29" s="11" t="str">
        <f>CONCATENATE("     ","Freight out/Postage                               ")</f>
        <v xml:space="preserve">     Freight out/Postage                               </v>
      </c>
      <c r="C29" s="11"/>
      <c r="D29" s="2">
        <f>SUM(OSRRefD22_3x_0)</f>
        <v>0</v>
      </c>
      <c r="E29" s="2"/>
      <c r="F29" s="5">
        <f t="shared" si="0"/>
        <v>0</v>
      </c>
      <c r="G29" s="2"/>
      <c r="H29" s="2">
        <f>SUM(OSRRefH22_3x_0)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SUM(OSRRefP22_3x_0)</f>
        <v>0</v>
      </c>
      <c r="Q29" s="2"/>
      <c r="R29" s="5">
        <f t="shared" si="4"/>
        <v>0</v>
      </c>
      <c r="S29" s="2"/>
      <c r="T29" s="2">
        <f>SUM(OSRRefT22_3x_0)</f>
        <v>0</v>
      </c>
      <c r="U29" s="2"/>
      <c r="V29" s="5">
        <f t="shared" si="5"/>
        <v>0</v>
      </c>
      <c r="W29" s="2"/>
      <c r="X29" s="2">
        <f t="shared" si="6"/>
        <v>0</v>
      </c>
      <c r="Y29" s="2"/>
      <c r="Z29" s="5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","6307"," - ","POSTAGE")</f>
        <v xml:space="preserve">          6307 - POSTAGE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0"/>
      <c r="B31" s="11" t="str">
        <f>CONCATENATE("     ","Repair and Maintenance                            ")</f>
        <v xml:space="preserve">     Repair and Maintenance                            </v>
      </c>
      <c r="C31" s="11"/>
      <c r="D31" s="2">
        <f>SUM(OSRRefD22_4x_0)</f>
        <v>0</v>
      </c>
      <c r="E31" s="2"/>
      <c r="F31" s="5">
        <f t="shared" si="0"/>
        <v>0</v>
      </c>
      <c r="G31" s="2"/>
      <c r="H31" s="2">
        <f>SUM(OSRRefH22_4x_0)</f>
        <v>0</v>
      </c>
      <c r="I31" s="2"/>
      <c r="J31" s="5">
        <f t="shared" si="1"/>
        <v>0</v>
      </c>
      <c r="K31" s="2"/>
      <c r="L31" s="2">
        <f t="shared" si="2"/>
        <v>0</v>
      </c>
      <c r="M31" s="2"/>
      <c r="N31" s="5">
        <f t="shared" si="3"/>
        <v>0</v>
      </c>
      <c r="O31" s="11"/>
      <c r="P31" s="2">
        <f>SUM(OSRRefP22_4x_0)</f>
        <v>0</v>
      </c>
      <c r="Q31" s="2"/>
      <c r="R31" s="5">
        <f t="shared" si="4"/>
        <v>0</v>
      </c>
      <c r="S31" s="2"/>
      <c r="T31" s="2">
        <f>SUM(OSRRefT22_4x_0)</f>
        <v>0</v>
      </c>
      <c r="U31" s="2"/>
      <c r="V31" s="5">
        <f t="shared" si="5"/>
        <v>0</v>
      </c>
      <c r="W31" s="2"/>
      <c r="X31" s="2">
        <f t="shared" si="6"/>
        <v>0</v>
      </c>
      <c r="Y31" s="2"/>
      <c r="Z31" s="5">
        <f t="shared" si="7"/>
        <v>0</v>
      </c>
    </row>
    <row r="32" spans="1:26" s="69" customFormat="1" ht="15" hidden="1" customHeight="1" outlineLevel="2" x14ac:dyDescent="0.3">
      <c r="A32" s="21"/>
      <c r="B32" s="9" t="str">
        <f>CONCATENATE("          ","6373"," - ","MAINTENANCE CONTRACTS")</f>
        <v xml:space="preserve">          6373 - MAINTENANCE CONTRACTS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0"/>
      <c r="B33" s="11" t="str">
        <f>CONCATENATE("     ","Telephone/Data Lines                              ")</f>
        <v xml:space="preserve">     Telephone/Data Lines                              </v>
      </c>
      <c r="C33" s="11"/>
      <c r="D33" s="2">
        <f>SUM(OSRRefD22_5x_0)</f>
        <v>0</v>
      </c>
      <c r="E33" s="2"/>
      <c r="F33" s="5">
        <f t="shared" si="0"/>
        <v>0</v>
      </c>
      <c r="G33" s="2"/>
      <c r="H33" s="2">
        <f>SUM(OSRRefH22_5x_0)</f>
        <v>0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SUM(OSRRefP22_5x_0)</f>
        <v>0</v>
      </c>
      <c r="Q33" s="2"/>
      <c r="R33" s="5">
        <f t="shared" si="4"/>
        <v>0</v>
      </c>
      <c r="S33" s="2"/>
      <c r="T33" s="2">
        <f>SUM(OSRRefT22_5x_0)</f>
        <v>0</v>
      </c>
      <c r="U33" s="2"/>
      <c r="V33" s="5">
        <f t="shared" si="5"/>
        <v>0</v>
      </c>
      <c r="W33" s="2"/>
      <c r="X33" s="2">
        <f t="shared" si="6"/>
        <v>0</v>
      </c>
      <c r="Y33" s="2"/>
      <c r="Z33" s="5">
        <f t="shared" si="7"/>
        <v>0</v>
      </c>
    </row>
    <row r="34" spans="1:26" s="69" customFormat="1" ht="15" hidden="1" customHeight="1" outlineLevel="2" x14ac:dyDescent="0.3">
      <c r="A34" s="21"/>
      <c r="B34" s="9" t="str">
        <f>CONCATENATE("          ","6309"," - ","TELEPHONE")</f>
        <v xml:space="preserve">          6309 - TELEPHONE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64" customFormat="1" ht="15" customHeight="1" x14ac:dyDescent="0.3">
      <c r="A35" s="37"/>
      <c r="B35" s="37"/>
      <c r="C35" s="37"/>
      <c r="D35" s="2"/>
      <c r="E35" s="2"/>
      <c r="F35" s="5"/>
      <c r="G35" s="2"/>
      <c r="H35" s="2"/>
      <c r="I35" s="2"/>
      <c r="J35" s="5"/>
      <c r="K35" s="2"/>
      <c r="L35" s="2"/>
      <c r="M35" s="2"/>
      <c r="N35" s="5"/>
      <c r="O35" s="37"/>
      <c r="P35" s="2"/>
      <c r="Q35" s="2"/>
      <c r="R35" s="5"/>
      <c r="S35" s="2"/>
      <c r="T35" s="2"/>
      <c r="U35" s="2"/>
      <c r="V35" s="5"/>
      <c r="W35" s="2"/>
      <c r="X35" s="2"/>
      <c r="Y35" s="2"/>
      <c r="Z35" s="5"/>
    </row>
    <row r="36" spans="1:26" s="62" customFormat="1" ht="15" customHeight="1" x14ac:dyDescent="0.3">
      <c r="A36" s="13"/>
      <c r="B36" s="27" t="s">
        <v>290</v>
      </c>
      <c r="C36" s="13"/>
      <c r="D36" s="8">
        <f>SUM(0)</f>
        <v>0</v>
      </c>
      <c r="E36" s="8"/>
      <c r="F36" s="14">
        <f>IF(D$12=0,0,D36/D$12)</f>
        <v>0</v>
      </c>
      <c r="G36" s="8"/>
      <c r="H36" s="8">
        <f>SUM(0)</f>
        <v>0</v>
      </c>
      <c r="I36" s="8"/>
      <c r="J36" s="14">
        <f>IF(H$12=0,0,H36/H$12)</f>
        <v>0</v>
      </c>
      <c r="K36" s="8"/>
      <c r="L36" s="8">
        <f>+D36-H36</f>
        <v>0</v>
      </c>
      <c r="M36" s="8"/>
      <c r="N36" s="14">
        <f>IF(H36=0,0,L36/H36)</f>
        <v>0</v>
      </c>
      <c r="O36" s="13"/>
      <c r="P36" s="8">
        <f>SUM(0)</f>
        <v>0</v>
      </c>
      <c r="Q36" s="8"/>
      <c r="R36" s="14">
        <f>IF(P$12=0,0,P36/P$12)</f>
        <v>0</v>
      </c>
      <c r="S36" s="8"/>
      <c r="T36" s="8">
        <f>SUM(0)</f>
        <v>0</v>
      </c>
      <c r="U36" s="8"/>
      <c r="V36" s="14">
        <f>IF(T$12=0,0,T36/T$12)</f>
        <v>0</v>
      </c>
      <c r="W36" s="8"/>
      <c r="X36" s="8">
        <f>+P36-T36</f>
        <v>0</v>
      </c>
      <c r="Y36" s="8"/>
      <c r="Z36" s="14">
        <f>IF(T36=0,0,X36/T36)</f>
        <v>0</v>
      </c>
    </row>
    <row r="37" spans="1:26" ht="15" customHeight="1" x14ac:dyDescent="0.3">
      <c r="A37" s="12"/>
      <c r="B37" s="13"/>
      <c r="C37" s="13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O37" s="13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x14ac:dyDescent="0.3">
      <c r="A38" s="13"/>
      <c r="B38" s="28" t="s">
        <v>291</v>
      </c>
      <c r="C38" s="28"/>
      <c r="D38" s="22">
        <f>+D16-D18+D36</f>
        <v>0</v>
      </c>
      <c r="E38" s="15"/>
      <c r="F38" s="24">
        <f>IF(D$12=0,0,D38/D$12)</f>
        <v>0</v>
      </c>
      <c r="G38" s="15"/>
      <c r="H38" s="22">
        <f>+H16-H18+H36</f>
        <v>0</v>
      </c>
      <c r="I38" s="15"/>
      <c r="J38" s="24">
        <f>IF(H$12=0,0,H38/H$12)</f>
        <v>0</v>
      </c>
      <c r="K38" s="17"/>
      <c r="L38" s="22">
        <f>+D38-H38</f>
        <v>0</v>
      </c>
      <c r="M38" s="17"/>
      <c r="N38" s="24">
        <f>IF(H38=0,0,L38/H38)</f>
        <v>0</v>
      </c>
      <c r="O38" s="27"/>
      <c r="P38" s="22">
        <f>+P16-P18+P36</f>
        <v>0</v>
      </c>
      <c r="Q38" s="15"/>
      <c r="R38" s="24">
        <f>IF(P$12=0,0,P38/P$12)</f>
        <v>0</v>
      </c>
      <c r="S38" s="15"/>
      <c r="T38" s="22">
        <f>+T16-T18+T36</f>
        <v>-0.37000000000004318</v>
      </c>
      <c r="U38" s="15"/>
      <c r="V38" s="24">
        <f>IF(T$12=0,0,T38/T$12)</f>
        <v>0</v>
      </c>
      <c r="W38" s="17"/>
      <c r="X38" s="22">
        <f>+P38-T38</f>
        <v>0.37000000000004318</v>
      </c>
      <c r="Y38" s="17"/>
      <c r="Z38" s="24">
        <f>IF(T38=0,0,X38/T38)</f>
        <v>-1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2" customFormat="1" ht="15" customHeight="1" x14ac:dyDescent="0.3">
      <c r="A40" s="48"/>
      <c r="B40" s="13" t="s">
        <v>292</v>
      </c>
      <c r="C40" s="13"/>
      <c r="D40" s="8"/>
      <c r="E40" s="8"/>
      <c r="F40" s="14">
        <f>IF(D$12=0,0,D40/D$12)</f>
        <v>0</v>
      </c>
      <c r="G40" s="8"/>
      <c r="H40" s="8"/>
      <c r="I40" s="8"/>
      <c r="J40" s="14">
        <f>IF(H$12=0,0,H40/H$12)</f>
        <v>0</v>
      </c>
      <c r="K40" s="8"/>
      <c r="L40" s="8">
        <f>+D40-H40</f>
        <v>0</v>
      </c>
      <c r="M40" s="8"/>
      <c r="N40" s="14">
        <f>IF(H40=0,0,L40/H40)</f>
        <v>0</v>
      </c>
      <c r="O40" s="13"/>
      <c r="P40" s="8"/>
      <c r="Q40" s="8"/>
      <c r="R40" s="14">
        <f>IF(P$12=0,0,P40/P$12)</f>
        <v>0</v>
      </c>
      <c r="S40" s="8"/>
      <c r="T40" s="8"/>
      <c r="U40" s="8"/>
      <c r="V40" s="14">
        <f>IF(T$12=0,0,T40/T$12)</f>
        <v>0</v>
      </c>
      <c r="W40" s="8"/>
      <c r="X40" s="8">
        <f>+P40-T40</f>
        <v>0</v>
      </c>
      <c r="Y40" s="8"/>
      <c r="Z40" s="14">
        <f>IF(T40=0,0,X40/T40)</f>
        <v>0</v>
      </c>
    </row>
    <row r="41" spans="1:26" ht="15" customHeight="1" x14ac:dyDescent="0.3">
      <c r="A41" s="12"/>
      <c r="B41" s="13"/>
      <c r="C41" s="13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O41" s="13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s="62" customFormat="1" ht="15" customHeight="1" x14ac:dyDescent="0.3">
      <c r="A42" s="13"/>
      <c r="B42" s="28" t="s">
        <v>293</v>
      </c>
      <c r="C42" s="28"/>
      <c r="D42" s="29">
        <f>+D38-D40</f>
        <v>0</v>
      </c>
      <c r="E42" s="15"/>
      <c r="F42" s="31">
        <f>IF(D$12=0,0,D42/D$12)</f>
        <v>0</v>
      </c>
      <c r="G42" s="15"/>
      <c r="H42" s="29">
        <f>+H38-H40</f>
        <v>0</v>
      </c>
      <c r="I42" s="15"/>
      <c r="J42" s="31">
        <f>IF(H$12=0,0,H42/H$12)</f>
        <v>0</v>
      </c>
      <c r="K42" s="17"/>
      <c r="L42" s="29">
        <f>D42-H42</f>
        <v>0</v>
      </c>
      <c r="M42" s="17"/>
      <c r="N42" s="31">
        <f>IF(H42=0,0,L42/H42)</f>
        <v>0</v>
      </c>
      <c r="O42" s="27"/>
      <c r="P42" s="29">
        <f>+P38-P40</f>
        <v>0</v>
      </c>
      <c r="Q42" s="15"/>
      <c r="R42" s="31">
        <f>IF(P$12=0,0,P42/P$12)</f>
        <v>0</v>
      </c>
      <c r="S42" s="15"/>
      <c r="T42" s="29">
        <f>+T38-T40</f>
        <v>-0.37000000000004318</v>
      </c>
      <c r="U42" s="15"/>
      <c r="V42" s="31">
        <f>IF(T$12=0,0,T42/T$12)</f>
        <v>0</v>
      </c>
      <c r="W42" s="17"/>
      <c r="X42" s="29">
        <f>P42-T42</f>
        <v>0.37000000000004318</v>
      </c>
      <c r="Y42" s="17"/>
      <c r="Z42" s="31">
        <f>IF(T42=0,0,X42/T42)</f>
        <v>-1</v>
      </c>
    </row>
    <row r="43" spans="1:26" ht="15" customHeight="1" x14ac:dyDescent="0.3">
      <c r="A43" s="12"/>
      <c r="B43" s="12"/>
      <c r="C43" s="12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ht="15" customHeight="1" x14ac:dyDescent="0.3">
      <c r="A44" s="12"/>
      <c r="B44" s="12"/>
      <c r="C44" s="12"/>
      <c r="D44" s="4"/>
      <c r="E44" s="4"/>
      <c r="F44" s="10"/>
      <c r="G44" s="4"/>
      <c r="H44" s="4"/>
      <c r="I44" s="4"/>
      <c r="J44" s="10"/>
      <c r="K44" s="4"/>
      <c r="L44" s="4"/>
      <c r="M44" s="4"/>
      <c r="N44" s="10"/>
      <c r="P44" s="4"/>
      <c r="Q44" s="4"/>
      <c r="R44" s="10"/>
      <c r="S44" s="4"/>
      <c r="T44" s="4"/>
      <c r="U44" s="4"/>
      <c r="V44" s="10"/>
      <c r="W44" s="4"/>
      <c r="X44" s="4"/>
      <c r="Y44" s="4"/>
      <c r="Z44" s="10"/>
    </row>
    <row r="45" spans="1:26" s="62" customFormat="1" ht="15" customHeight="1" x14ac:dyDescent="0.3">
      <c r="A45" s="13"/>
      <c r="B45" s="28" t="s">
        <v>296</v>
      </c>
      <c r="C45" s="28"/>
      <c r="D45" s="30">
        <f>SUM(D42:D44)</f>
        <v>0</v>
      </c>
      <c r="E45" s="15"/>
      <c r="F45" s="35">
        <f>IF(D$12=0,0,D45/D$12)</f>
        <v>0</v>
      </c>
      <c r="G45" s="15"/>
      <c r="H45" s="30">
        <f>SUM(H42:H44)</f>
        <v>0</v>
      </c>
      <c r="I45" s="15"/>
      <c r="J45" s="35">
        <f>IF(H$12=0,0,H45/H$12)</f>
        <v>0</v>
      </c>
      <c r="K45" s="17"/>
      <c r="L45" s="30">
        <f>+D45-H45</f>
        <v>0</v>
      </c>
      <c r="M45" s="17"/>
      <c r="N45" s="35">
        <f>IF(H45=0,0,L45/H45)</f>
        <v>0</v>
      </c>
      <c r="O45" s="27"/>
      <c r="P45" s="30">
        <f>SUM(P42:P44)</f>
        <v>0</v>
      </c>
      <c r="Q45" s="15"/>
      <c r="R45" s="35">
        <f>IF(P$12=0,0,P45/P$12)</f>
        <v>0</v>
      </c>
      <c r="S45" s="15"/>
      <c r="T45" s="30">
        <f>SUM(T42:T44)</f>
        <v>-0.37000000000004318</v>
      </c>
      <c r="U45" s="15"/>
      <c r="V45" s="35">
        <f>IF(T$12=0,0,T45/T$12)</f>
        <v>0</v>
      </c>
      <c r="W45" s="17"/>
      <c r="X45" s="30">
        <f>+P45-T45</f>
        <v>0.37000000000004318</v>
      </c>
      <c r="Y45" s="17"/>
      <c r="Z45" s="35">
        <f>IF(T45=0,0,X45/T45)</f>
        <v>-1</v>
      </c>
    </row>
    <row r="46" spans="1:26" ht="15" customHeight="1" x14ac:dyDescent="0.3">
      <c r="A46" s="12"/>
      <c r="C46" s="12"/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4">
        <v>44767.815885219905</v>
      </c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3" t="s">
        <v>297</v>
      </c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1:24" ht="15" customHeight="1" x14ac:dyDescent="0.3">
      <c r="A49" s="12"/>
      <c r="B49" s="51"/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  <row r="50" spans="1:24" ht="15" customHeight="1" x14ac:dyDescent="0.3">
      <c r="D50" s="19"/>
      <c r="E50" s="19"/>
      <c r="G50" s="19"/>
      <c r="H50" s="19"/>
      <c r="I50" s="19"/>
      <c r="J50" s="41"/>
      <c r="K50" s="19"/>
      <c r="L50" s="19"/>
      <c r="M50" s="19"/>
      <c r="P50" s="19"/>
      <c r="Q50" s="19"/>
      <c r="R50" s="41"/>
      <c r="S50" s="19"/>
      <c r="T50" s="19"/>
      <c r="U50" s="19"/>
      <c r="V50" s="41"/>
      <c r="W50" s="19"/>
      <c r="X5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C7031-3F2E-57B3-C45A-DF6C7927566B}">
  <sheetPr>
    <tabColor rgb="FFFFFF0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462.00000000000017</v>
      </c>
      <c r="E12" s="8"/>
      <c r="F12" s="14"/>
      <c r="G12" s="8"/>
      <c r="H12" s="8">
        <f>SUM(OSRRefH13x_0)</f>
        <v>4051.7399999999975</v>
      </c>
      <c r="I12" s="8"/>
      <c r="J12" s="14"/>
      <c r="K12" s="8"/>
      <c r="L12" s="8">
        <f t="shared" ref="L12:L38" si="0">+D12-H12</f>
        <v>-3589.7399999999975</v>
      </c>
      <c r="M12" s="8"/>
      <c r="N12" s="14">
        <f t="shared" ref="N12:N38" si="1">IF(H12=0,0,L12/H12)</f>
        <v>-0.88597491448118582</v>
      </c>
      <c r="O12" s="13"/>
      <c r="P12" s="8">
        <f>SUM(OSRRefP13x_0)</f>
        <v>2235825.7499999995</v>
      </c>
      <c r="Q12" s="8"/>
      <c r="R12" s="14"/>
      <c r="S12" s="8"/>
      <c r="T12" s="8">
        <f>SUM(OSRRefT13x_0)</f>
        <v>2747382.1500000004</v>
      </c>
      <c r="U12" s="8"/>
      <c r="V12" s="14"/>
      <c r="W12" s="8"/>
      <c r="X12" s="8">
        <f t="shared" ref="X12:X38" si="2">+P12-T12</f>
        <v>-511556.40000000084</v>
      </c>
      <c r="Y12" s="8"/>
      <c r="Z12" s="14">
        <f t="shared" ref="Z12:Z38" si="3">IF(T12=0,0,X12/T12)</f>
        <v>-0.18619775920142773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--12329.17</f>
        <v>12329.17</v>
      </c>
      <c r="E13" s="3"/>
      <c r="F13" s="26"/>
      <c r="G13" s="3"/>
      <c r="H13" s="3">
        <f>-260.84</f>
        <v>-260.83999999999997</v>
      </c>
      <c r="I13" s="3"/>
      <c r="J13" s="26"/>
      <c r="K13" s="3"/>
      <c r="L13" s="3">
        <f t="shared" si="0"/>
        <v>12590.01</v>
      </c>
      <c r="M13" s="3"/>
      <c r="N13" s="26">
        <f t="shared" si="1"/>
        <v>-48.267175279865057</v>
      </c>
      <c r="O13" s="9"/>
      <c r="P13" s="3">
        <f>--1708346.63</f>
        <v>1708346.63</v>
      </c>
      <c r="Q13" s="3"/>
      <c r="R13" s="26"/>
      <c r="S13" s="3"/>
      <c r="T13" s="3">
        <f>-9541.2</f>
        <v>-9541.2000000000007</v>
      </c>
      <c r="U13" s="3"/>
      <c r="V13" s="26"/>
      <c r="W13" s="3"/>
      <c r="X13" s="3">
        <f t="shared" si="2"/>
        <v>1717887.8299999998</v>
      </c>
      <c r="Y13" s="3"/>
      <c r="Z13" s="26">
        <f t="shared" si="3"/>
        <v>-180.04945185092018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--9691.34</f>
        <v>9691.34</v>
      </c>
      <c r="I14" s="3"/>
      <c r="J14" s="26"/>
      <c r="K14" s="3"/>
      <c r="L14" s="3">
        <f t="shared" si="0"/>
        <v>-9691.34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--1308779.9</f>
        <v>1308779.8999999999</v>
      </c>
      <c r="U14" s="3"/>
      <c r="V14" s="26"/>
      <c r="W14" s="3"/>
      <c r="X14" s="3">
        <f t="shared" si="2"/>
        <v>-1308779.8999999999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--6642.8</f>
        <v>6642.8</v>
      </c>
      <c r="I15" s="3"/>
      <c r="J15" s="26"/>
      <c r="K15" s="3"/>
      <c r="L15" s="3">
        <f t="shared" si="0"/>
        <v>-6642.8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--596913.27</f>
        <v>596913.27</v>
      </c>
      <c r="U15" s="3"/>
      <c r="V15" s="26"/>
      <c r="W15" s="3"/>
      <c r="X15" s="3">
        <f t="shared" si="2"/>
        <v>-596913.27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","4100"," - ","NON-TAXABLE SALES")</f>
        <v xml:space="preserve">          4100 - NON-TAXABLE SALES</v>
      </c>
      <c r="C21" s="9"/>
      <c r="D21" s="3">
        <f>-9090.5</f>
        <v>-9090.5</v>
      </c>
      <c r="E21" s="3"/>
      <c r="F21" s="26"/>
      <c r="G21" s="3"/>
      <c r="H21" s="3">
        <f>-14487.2</f>
        <v>-14487.2</v>
      </c>
      <c r="I21" s="3"/>
      <c r="J21" s="26"/>
      <c r="K21" s="3"/>
      <c r="L21" s="3">
        <f t="shared" si="0"/>
        <v>5396.7000000000007</v>
      </c>
      <c r="M21" s="3"/>
      <c r="N21" s="26">
        <f t="shared" si="1"/>
        <v>-0.37251504776630406</v>
      </c>
      <c r="O21" s="9"/>
      <c r="P21" s="3">
        <f>--635096.23</f>
        <v>635096.23</v>
      </c>
      <c r="Q21" s="3"/>
      <c r="R21" s="26"/>
      <c r="S21" s="3"/>
      <c r="T21" s="3">
        <f>--262897.78</f>
        <v>262897.78000000003</v>
      </c>
      <c r="U21" s="3"/>
      <c r="V21" s="26"/>
      <c r="W21" s="3"/>
      <c r="X21" s="3">
        <f t="shared" si="2"/>
        <v>372198.44999999995</v>
      </c>
      <c r="Y21" s="3"/>
      <c r="Z21" s="26">
        <f t="shared" si="3"/>
        <v>1.4157534917183399</v>
      </c>
    </row>
    <row r="22" spans="1:26" s="69" customFormat="1" ht="15" hidden="1" customHeight="1" outlineLevel="1" x14ac:dyDescent="0.3">
      <c r="A22" s="47"/>
      <c r="B22" s="9" t="str">
        <f>CONCATENATE("          ","4101"," - ","NON-TAXABLE SALES-NEW TEXT")</f>
        <v xml:space="preserve">          4101 - NON-TAXABLE SALES-NEW TEXT</v>
      </c>
      <c r="C22" s="9"/>
      <c r="D22" s="3">
        <f>0</f>
        <v>0</v>
      </c>
      <c r="E22" s="3"/>
      <c r="F22" s="26"/>
      <c r="G22" s="3"/>
      <c r="H22" s="3">
        <f>--1301.39</f>
        <v>1301.3900000000001</v>
      </c>
      <c r="I22" s="3"/>
      <c r="J22" s="26"/>
      <c r="K22" s="3"/>
      <c r="L22" s="3">
        <f t="shared" si="0"/>
        <v>-1301.3900000000001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--120548.46</f>
        <v>120548.46</v>
      </c>
      <c r="U22" s="3"/>
      <c r="V22" s="26"/>
      <c r="W22" s="3"/>
      <c r="X22" s="3">
        <f t="shared" si="2"/>
        <v>-120548.46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","4102"," - ","NON-TAXABLE SALES-USED TEXT")</f>
        <v xml:space="preserve">          4102 - NON-TAXABLE SALES-USED TEXT</v>
      </c>
      <c r="C23" s="9"/>
      <c r="D23" s="3">
        <f>0</f>
        <v>0</v>
      </c>
      <c r="E23" s="3"/>
      <c r="F23" s="26"/>
      <c r="G23" s="3"/>
      <c r="H23" s="3">
        <f>--540.91</f>
        <v>540.91</v>
      </c>
      <c r="I23" s="3"/>
      <c r="J23" s="26"/>
      <c r="K23" s="3"/>
      <c r="L23" s="3">
        <f t="shared" si="0"/>
        <v>-540.91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--51587.64</f>
        <v>51587.64</v>
      </c>
      <c r="U23" s="3"/>
      <c r="V23" s="26"/>
      <c r="W23" s="3"/>
      <c r="X23" s="3">
        <f t="shared" si="2"/>
        <v>-51587.64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","4103"," - ","NON-TAXABLE SALES-RENTAL TEXT")</f>
        <v xml:space="preserve">          4103 - NON-TAXABLE SALES-RENTAL TEXT</v>
      </c>
      <c r="C24" s="9"/>
      <c r="D24" s="3">
        <f>0</f>
        <v>0</v>
      </c>
      <c r="E24" s="3"/>
      <c r="F24" s="26"/>
      <c r="G24" s="3"/>
      <c r="H24" s="3">
        <f>0</f>
        <v>0</v>
      </c>
      <c r="I24" s="3"/>
      <c r="J24" s="26"/>
      <c r="K24" s="3"/>
      <c r="L24" s="3">
        <f t="shared" si="0"/>
        <v>0</v>
      </c>
      <c r="M24" s="3"/>
      <c r="N24" s="26">
        <f t="shared" si="1"/>
        <v>0</v>
      </c>
      <c r="O24" s="9"/>
      <c r="P24" s="3">
        <f>0</f>
        <v>0</v>
      </c>
      <c r="Q24" s="3"/>
      <c r="R24" s="26"/>
      <c r="S24" s="3"/>
      <c r="T24" s="3">
        <f>--1138.95</f>
        <v>1138.95</v>
      </c>
      <c r="U24" s="3"/>
      <c r="V24" s="26"/>
      <c r="W24" s="3"/>
      <c r="X24" s="3">
        <f t="shared" si="2"/>
        <v>-1138.95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","4104"," - ","NON-TAXABLE SALES-DIGITAL TEXT")</f>
        <v xml:space="preserve">          4104 - NON-TAXABLE SALES-DIGITAL TEXT</v>
      </c>
      <c r="C25" s="9"/>
      <c r="D25" s="3">
        <f>0</f>
        <v>0</v>
      </c>
      <c r="E25" s="3"/>
      <c r="F25" s="26"/>
      <c r="G25" s="3"/>
      <c r="H25" s="3">
        <f>--695.53</f>
        <v>695.53</v>
      </c>
      <c r="I25" s="3"/>
      <c r="J25" s="26"/>
      <c r="K25" s="3"/>
      <c r="L25" s="3">
        <f t="shared" si="0"/>
        <v>-695.53</v>
      </c>
      <c r="M25" s="3"/>
      <c r="N25" s="26">
        <f t="shared" si="1"/>
        <v>-1</v>
      </c>
      <c r="O25" s="9"/>
      <c r="P25" s="3">
        <f>0</f>
        <v>0</v>
      </c>
      <c r="Q25" s="3"/>
      <c r="R25" s="26"/>
      <c r="S25" s="3"/>
      <c r="T25" s="3">
        <f>--491583.26</f>
        <v>491583.26</v>
      </c>
      <c r="U25" s="3"/>
      <c r="V25" s="26"/>
      <c r="W25" s="3"/>
      <c r="X25" s="3">
        <f t="shared" si="2"/>
        <v>-491583.26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","4113"," - ","NON-TAXABLE SALES-TRADE BOOKS")</f>
        <v xml:space="preserve">          4113 - NON-TAXABLE SALES-TRADE BOOKS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--12127.25</f>
        <v>12127.25</v>
      </c>
      <c r="U26" s="3"/>
      <c r="V26" s="26"/>
      <c r="W26" s="3"/>
      <c r="X26" s="3">
        <f t="shared" si="2"/>
        <v>-12127.25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","4118"," - ","NON-TAXABLE SALES-STUDY GUIDES")</f>
        <v xml:space="preserve">          4118 - NON-TAXABLE SALES-STUDY GUIDES</v>
      </c>
      <c r="C27" s="9"/>
      <c r="D27" s="3">
        <f>0</f>
        <v>0</v>
      </c>
      <c r="E27" s="3"/>
      <c r="F27" s="26"/>
      <c r="G27" s="3"/>
      <c r="H27" s="3">
        <f>--594.22</f>
        <v>594.22</v>
      </c>
      <c r="I27" s="3"/>
      <c r="J27" s="26"/>
      <c r="K27" s="3"/>
      <c r="L27" s="3">
        <f t="shared" si="0"/>
        <v>-594.22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--1365.95</f>
        <v>1365.95</v>
      </c>
      <c r="U27" s="3"/>
      <c r="V27" s="26"/>
      <c r="W27" s="3"/>
      <c r="X27" s="3">
        <f t="shared" si="2"/>
        <v>-1365.95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","4200"," - ","TAXABLE RETURNS")</f>
        <v xml:space="preserve">          4200 - TAXABLE RETURNS</v>
      </c>
      <c r="C28" s="9"/>
      <c r="D28" s="3">
        <f>-1412.75</f>
        <v>-1412.75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-1412.75</v>
      </c>
      <c r="M28" s="3"/>
      <c r="N28" s="26">
        <f t="shared" si="1"/>
        <v>0</v>
      </c>
      <c r="O28" s="9"/>
      <c r="P28" s="3">
        <f>-60219.77</f>
        <v>-60219.77</v>
      </c>
      <c r="Q28" s="3"/>
      <c r="R28" s="26"/>
      <c r="S28" s="3"/>
      <c r="T28" s="3">
        <f>0</f>
        <v>0</v>
      </c>
      <c r="U28" s="3"/>
      <c r="V28" s="26"/>
      <c r="W28" s="3"/>
      <c r="X28" s="3">
        <f t="shared" si="2"/>
        <v>-60219.77</v>
      </c>
      <c r="Y28" s="3"/>
      <c r="Z28" s="26">
        <f t="shared" si="3"/>
        <v>0</v>
      </c>
    </row>
    <row r="29" spans="1:26" s="69" customFormat="1" ht="15" hidden="1" customHeight="1" outlineLevel="1" x14ac:dyDescent="0.3">
      <c r="A29" s="47"/>
      <c r="B29" s="9" t="str">
        <f>CONCATENATE("          ","4201"," - ","SALES RETURN TAXABLE-NEW TEXT")</f>
        <v xml:space="preserve">          4201 - SALES RETURN TAXABLE-NEW TEXT</v>
      </c>
      <c r="C29" s="9"/>
      <c r="D29" s="3">
        <f>0</f>
        <v>0</v>
      </c>
      <c r="E29" s="3"/>
      <c r="F29" s="26"/>
      <c r="G29" s="3"/>
      <c r="H29" s="3">
        <f>-1101.25</f>
        <v>-1101.25</v>
      </c>
      <c r="I29" s="3"/>
      <c r="J29" s="26"/>
      <c r="K29" s="3"/>
      <c r="L29" s="3">
        <f t="shared" si="0"/>
        <v>1101.25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-53397.67</f>
        <v>-53397.67</v>
      </c>
      <c r="U29" s="3"/>
      <c r="V29" s="26"/>
      <c r="W29" s="3"/>
      <c r="X29" s="3">
        <f t="shared" si="2"/>
        <v>53397.67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","4202"," - ","SALES RETURN TAXABLE-USED TEXT")</f>
        <v xml:space="preserve">          4202 - SALES RETURN TAXABLE-USED TEXT</v>
      </c>
      <c r="C30" s="9"/>
      <c r="D30" s="3">
        <f>0</f>
        <v>0</v>
      </c>
      <c r="E30" s="3"/>
      <c r="F30" s="26"/>
      <c r="G30" s="3"/>
      <c r="H30" s="3">
        <f>-433.75</f>
        <v>-433.75</v>
      </c>
      <c r="I30" s="3"/>
      <c r="J30" s="26"/>
      <c r="K30" s="3"/>
      <c r="L30" s="3">
        <f t="shared" si="0"/>
        <v>433.75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-20889.41</f>
        <v>-20889.41</v>
      </c>
      <c r="U30" s="3"/>
      <c r="V30" s="26"/>
      <c r="W30" s="3"/>
      <c r="X30" s="3">
        <f t="shared" si="2"/>
        <v>20889.41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","4204"," - ","SALES RETURN TAXABLE-DIGITAL T")</f>
        <v xml:space="preserve">          4204 - SALES RETURN TAXABLE-DIGITAL T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0</f>
        <v>0</v>
      </c>
      <c r="Q31" s="3"/>
      <c r="R31" s="26"/>
      <c r="S31" s="3"/>
      <c r="T31" s="3">
        <f>-1763.1</f>
        <v>-1763.1</v>
      </c>
      <c r="U31" s="3"/>
      <c r="V31" s="26"/>
      <c r="W31" s="3"/>
      <c r="X31" s="3">
        <f t="shared" si="2"/>
        <v>1763.1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","4213"," - ","NON-TAXABLE SALES-TRADE BOOKS")</f>
        <v xml:space="preserve">          4213 - NON-TAXABLE SALES-TRADE BOOKS</v>
      </c>
      <c r="C32" s="9"/>
      <c r="D32" s="3">
        <f>0</f>
        <v>0</v>
      </c>
      <c r="E32" s="3"/>
      <c r="F32" s="26"/>
      <c r="G32" s="3"/>
      <c r="H32" s="3">
        <f>-25</f>
        <v>-25</v>
      </c>
      <c r="I32" s="3"/>
      <c r="J32" s="26"/>
      <c r="K32" s="3"/>
      <c r="L32" s="3">
        <f t="shared" si="0"/>
        <v>25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-103.92</f>
        <v>-103.92</v>
      </c>
      <c r="U32" s="3"/>
      <c r="V32" s="26"/>
      <c r="W32" s="3"/>
      <c r="X32" s="3">
        <f t="shared" si="2"/>
        <v>103.92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","4218"," - ","SALES RETURN TAXABLE-STUDY GUI")</f>
        <v xml:space="preserve">          4218 - SALES RETURN TAXABLE-STUDY GUI</v>
      </c>
      <c r="C33" s="9"/>
      <c r="D33" s="3">
        <f>0</f>
        <v>0</v>
      </c>
      <c r="E33" s="3"/>
      <c r="F33" s="26"/>
      <c r="G33" s="3"/>
      <c r="H33" s="3">
        <f>-23.44</f>
        <v>-23.44</v>
      </c>
      <c r="I33" s="3"/>
      <c r="J33" s="26"/>
      <c r="K33" s="3"/>
      <c r="L33" s="3">
        <f t="shared" si="0"/>
        <v>23.44</v>
      </c>
      <c r="M33" s="3"/>
      <c r="N33" s="26">
        <f t="shared" si="1"/>
        <v>-1</v>
      </c>
      <c r="O33" s="9"/>
      <c r="P33" s="3">
        <f>0</f>
        <v>0</v>
      </c>
      <c r="Q33" s="3"/>
      <c r="R33" s="26"/>
      <c r="S33" s="3"/>
      <c r="T33" s="3">
        <f>-28.65</f>
        <v>-28.65</v>
      </c>
      <c r="U33" s="3"/>
      <c r="V33" s="26"/>
      <c r="W33" s="3"/>
      <c r="X33" s="3">
        <f t="shared" si="2"/>
        <v>28.65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","4300"," - ","NON-TAX RETURNS")</f>
        <v xml:space="preserve">          4300 - NON-TAX RETURNS</v>
      </c>
      <c r="C34" s="9"/>
      <c r="D34" s="3">
        <f>-1149.62</f>
        <v>-1149.6199999999999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-1149.6199999999999</v>
      </c>
      <c r="M34" s="3"/>
      <c r="N34" s="26">
        <f t="shared" si="1"/>
        <v>0</v>
      </c>
      <c r="O34" s="9"/>
      <c r="P34" s="3">
        <f>-39423.99</f>
        <v>-39423.99</v>
      </c>
      <c r="Q34" s="3"/>
      <c r="R34" s="26"/>
      <c r="S34" s="3"/>
      <c r="T34" s="3">
        <f>0</f>
        <v>0</v>
      </c>
      <c r="U34" s="3"/>
      <c r="V34" s="26"/>
      <c r="W34" s="3"/>
      <c r="X34" s="3">
        <f t="shared" si="2"/>
        <v>-39423.99</v>
      </c>
      <c r="Y34" s="3"/>
      <c r="Z34" s="26">
        <f t="shared" si="3"/>
        <v>0</v>
      </c>
    </row>
    <row r="35" spans="1:26" s="69" customFormat="1" ht="15" hidden="1" customHeight="1" outlineLevel="1" x14ac:dyDescent="0.3">
      <c r="A35" s="47"/>
      <c r="B35" s="9" t="str">
        <f>CONCATENATE("          ","4301"," - ","SALES RETURN NON TAXABLE-NEW T")</f>
        <v xml:space="preserve">          4301 - SALES RETURN NON TAXABLE-NEW T</v>
      </c>
      <c r="C35" s="9"/>
      <c r="D35" s="3">
        <f>0</f>
        <v>0</v>
      </c>
      <c r="E35" s="3"/>
      <c r="F35" s="26"/>
      <c r="G35" s="3"/>
      <c r="H35" s="3">
        <f>-169.32</f>
        <v>-169.32</v>
      </c>
      <c r="I35" s="3"/>
      <c r="J35" s="26"/>
      <c r="K35" s="3"/>
      <c r="L35" s="3">
        <f t="shared" si="0"/>
        <v>169.32</v>
      </c>
      <c r="M35" s="3"/>
      <c r="N35" s="26">
        <f t="shared" si="1"/>
        <v>-1</v>
      </c>
      <c r="O35" s="9"/>
      <c r="P35" s="3">
        <f>0</f>
        <v>0</v>
      </c>
      <c r="Q35" s="3"/>
      <c r="R35" s="26"/>
      <c r="S35" s="3"/>
      <c r="T35" s="3">
        <f>-4965.68</f>
        <v>-4965.68</v>
      </c>
      <c r="U35" s="3"/>
      <c r="V35" s="26"/>
      <c r="W35" s="3"/>
      <c r="X35" s="3">
        <f t="shared" si="2"/>
        <v>4965.68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","4302"," - ","SALES RETURN NON TAXABLE-TEXT")</f>
        <v xml:space="preserve">          4302 - SALES RETURN NON TAXABLE-TEXT</v>
      </c>
      <c r="C36" s="9"/>
      <c r="D36" s="3">
        <f>0</f>
        <v>0</v>
      </c>
      <c r="E36" s="3"/>
      <c r="F36" s="26"/>
      <c r="G36" s="3"/>
      <c r="H36" s="3">
        <f>-111.43</f>
        <v>-111.43</v>
      </c>
      <c r="I36" s="3"/>
      <c r="J36" s="26"/>
      <c r="K36" s="3"/>
      <c r="L36" s="3">
        <f t="shared" si="0"/>
        <v>111.43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-2688.97</f>
        <v>-2688.97</v>
      </c>
      <c r="U36" s="3"/>
      <c r="V36" s="26"/>
      <c r="W36" s="3"/>
      <c r="X36" s="3">
        <f t="shared" si="2"/>
        <v>2688.97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","4304"," - ","SALES RETURN NON TAXABLE-DIGIT")</f>
        <v xml:space="preserve">          4304 - SALES RETURN NON TAXABLE-DIGIT</v>
      </c>
      <c r="C37" s="9"/>
      <c r="D37" s="3">
        <f>0</f>
        <v>0</v>
      </c>
      <c r="E37" s="3"/>
      <c r="F37" s="26"/>
      <c r="G37" s="3"/>
      <c r="H37" s="3">
        <f>-144.89</f>
        <v>-144.88999999999999</v>
      </c>
      <c r="I37" s="3"/>
      <c r="J37" s="26"/>
      <c r="K37" s="3"/>
      <c r="L37" s="3">
        <f t="shared" si="0"/>
        <v>144.88999999999999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-31026.87</f>
        <v>-31026.87</v>
      </c>
      <c r="U37" s="3"/>
      <c r="V37" s="26"/>
      <c r="W37" s="3"/>
      <c r="X37" s="3">
        <f t="shared" si="2"/>
        <v>31026.87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","4500"," - ","SALES DISCOUNT")</f>
        <v xml:space="preserve">          4500 - SALES DISCOUNT</v>
      </c>
      <c r="C38" s="9"/>
      <c r="D38" s="3">
        <f>-214.3</f>
        <v>-214.3</v>
      </c>
      <c r="E38" s="3"/>
      <c r="F38" s="26"/>
      <c r="G38" s="3"/>
      <c r="H38" s="3">
        <f>0</f>
        <v>0</v>
      </c>
      <c r="I38" s="3"/>
      <c r="J38" s="26"/>
      <c r="K38" s="3"/>
      <c r="L38" s="3">
        <f t="shared" si="0"/>
        <v>-214.3</v>
      </c>
      <c r="M38" s="3"/>
      <c r="N38" s="26">
        <f t="shared" si="1"/>
        <v>0</v>
      </c>
      <c r="O38" s="9"/>
      <c r="P38" s="3">
        <f>-7973.35</f>
        <v>-7973.35</v>
      </c>
      <c r="Q38" s="3"/>
      <c r="R38" s="26"/>
      <c r="S38" s="3"/>
      <c r="T38" s="3">
        <f>0</f>
        <v>0</v>
      </c>
      <c r="U38" s="3"/>
      <c r="V38" s="26"/>
      <c r="W38" s="3"/>
      <c r="X38" s="3">
        <f t="shared" si="2"/>
        <v>-7973.35</v>
      </c>
      <c r="Y38" s="3"/>
      <c r="Z38" s="26">
        <f t="shared" si="3"/>
        <v>0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2" customFormat="1" ht="15" customHeight="1" collapsed="1" x14ac:dyDescent="0.3">
      <c r="A40" s="13"/>
      <c r="B40" s="27" t="s">
        <v>287</v>
      </c>
      <c r="C40" s="13"/>
      <c r="D40" s="8">
        <f>SUM(OSRRefD16x_0)</f>
        <v>151107.86000000002</v>
      </c>
      <c r="E40" s="8"/>
      <c r="F40" s="14">
        <f t="shared" ref="F40:F57" si="4">IF(D$12=0,0,D40/D$12)</f>
        <v>327.07329004328994</v>
      </c>
      <c r="G40" s="8"/>
      <c r="H40" s="8">
        <f>SUM(OSRRefH16x_0)</f>
        <v>72505.529999999955</v>
      </c>
      <c r="I40" s="8"/>
      <c r="J40" s="14">
        <f t="shared" ref="J40:J57" si="5">IF(H$12=0,0,H40/H$12)</f>
        <v>17.894911815664383</v>
      </c>
      <c r="K40" s="8"/>
      <c r="L40" s="8">
        <f t="shared" ref="L40:L57" si="6">+D40-H40</f>
        <v>78602.33000000006</v>
      </c>
      <c r="M40" s="8"/>
      <c r="N40" s="14">
        <f t="shared" ref="N40:N57" si="7">IF(H40=0,0,L40/H40)</f>
        <v>1.0840873792661072</v>
      </c>
      <c r="O40" s="13"/>
      <c r="P40" s="8">
        <f>SUM(OSRRefP16x_0)</f>
        <v>1856399.9800000002</v>
      </c>
      <c r="Q40" s="8"/>
      <c r="R40" s="14">
        <f t="shared" ref="R40:R57" si="8">IF(P$12=0,0,P40/P$12)</f>
        <v>0.83029725371040231</v>
      </c>
      <c r="S40" s="8"/>
      <c r="T40" s="8">
        <f>SUM(OSRRefT16x_0)</f>
        <v>2029969.2899999998</v>
      </c>
      <c r="U40" s="8"/>
      <c r="V40" s="14">
        <f t="shared" ref="V40:V57" si="9">IF(T$12=0,0,T40/T$12)</f>
        <v>0.7388740186726479</v>
      </c>
      <c r="W40" s="8"/>
      <c r="X40" s="8">
        <f t="shared" ref="X40:X57" si="10">+P40-T40</f>
        <v>-173569.30999999959</v>
      </c>
      <c r="Y40" s="8"/>
      <c r="Z40" s="14">
        <f t="shared" ref="Z40:Z57" si="11">IF(T40=0,0,X40/T40)</f>
        <v>-8.5503416655135514E-2</v>
      </c>
    </row>
    <row r="41" spans="1:26" s="69" customFormat="1" ht="15" hidden="1" customHeight="1" outlineLevel="1" x14ac:dyDescent="0.3">
      <c r="A41" s="47"/>
      <c r="B41" s="9" t="str">
        <f>CONCATENATE("          ","5000"," - ","PURCHASES @ COST")</f>
        <v xml:space="preserve">          5000 - PURCHASES @ COST</v>
      </c>
      <c r="C41" s="9"/>
      <c r="D41" s="3">
        <v>139295.32</v>
      </c>
      <c r="E41" s="3"/>
      <c r="F41" s="26">
        <f t="shared" si="4"/>
        <v>301.50502164502154</v>
      </c>
      <c r="G41" s="3"/>
      <c r="H41" s="3"/>
      <c r="I41" s="3"/>
      <c r="J41" s="26">
        <f t="shared" si="5"/>
        <v>0</v>
      </c>
      <c r="K41" s="3"/>
      <c r="L41" s="3">
        <f t="shared" si="6"/>
        <v>139295.32</v>
      </c>
      <c r="M41" s="3"/>
      <c r="N41" s="26">
        <f t="shared" si="7"/>
        <v>0</v>
      </c>
      <c r="O41" s="9"/>
      <c r="P41" s="3">
        <v>1652258.87</v>
      </c>
      <c r="Q41" s="3"/>
      <c r="R41" s="26">
        <f t="shared" si="8"/>
        <v>0.73899268312837008</v>
      </c>
      <c r="S41" s="3"/>
      <c r="T41" s="3">
        <v>0</v>
      </c>
      <c r="U41" s="3"/>
      <c r="V41" s="26">
        <f t="shared" si="9"/>
        <v>0</v>
      </c>
      <c r="W41" s="3"/>
      <c r="X41" s="3">
        <f t="shared" si="10"/>
        <v>1652258.87</v>
      </c>
      <c r="Y41" s="3"/>
      <c r="Z41" s="26">
        <f t="shared" si="11"/>
        <v>0</v>
      </c>
    </row>
    <row r="42" spans="1:26" s="69" customFormat="1" ht="15" hidden="1" customHeight="1" outlineLevel="1" x14ac:dyDescent="0.3">
      <c r="A42" s="47"/>
      <c r="B42" s="9" t="str">
        <f>CONCATENATE("          ","5001"," - ","PURCHASES @ COST-NEW TEXT")</f>
        <v xml:space="preserve">          5001 - PURCHASES @ COST-NEW TEXT</v>
      </c>
      <c r="C42" s="9"/>
      <c r="D42" s="3"/>
      <c r="E42" s="3"/>
      <c r="F42" s="26">
        <f t="shared" si="4"/>
        <v>0</v>
      </c>
      <c r="G42" s="3"/>
      <c r="H42" s="3">
        <v>142777.26</v>
      </c>
      <c r="I42" s="3"/>
      <c r="J42" s="26">
        <f t="shared" si="5"/>
        <v>35.238504938618988</v>
      </c>
      <c r="K42" s="3"/>
      <c r="L42" s="3">
        <f t="shared" si="6"/>
        <v>-142777.26</v>
      </c>
      <c r="M42" s="3"/>
      <c r="N42" s="26">
        <f t="shared" si="7"/>
        <v>-1</v>
      </c>
      <c r="O42" s="9"/>
      <c r="P42" s="3">
        <v>0</v>
      </c>
      <c r="Q42" s="3"/>
      <c r="R42" s="26">
        <f t="shared" si="8"/>
        <v>0</v>
      </c>
      <c r="S42" s="3"/>
      <c r="T42" s="3">
        <v>1214343.74</v>
      </c>
      <c r="U42" s="3"/>
      <c r="V42" s="26">
        <f t="shared" si="9"/>
        <v>0.44200030199657514</v>
      </c>
      <c r="W42" s="3"/>
      <c r="X42" s="3">
        <f t="shared" si="10"/>
        <v>-1214343.74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","5002"," - ","PURCHASES @ COST-USED TEXT")</f>
        <v xml:space="preserve">          5002 - PURCHASES @ COST-USED TEXT</v>
      </c>
      <c r="C43" s="9"/>
      <c r="D43" s="3"/>
      <c r="E43" s="3"/>
      <c r="F43" s="26">
        <f t="shared" si="4"/>
        <v>0</v>
      </c>
      <c r="G43" s="3"/>
      <c r="H43" s="3">
        <v>-17366.759999999998</v>
      </c>
      <c r="I43" s="3"/>
      <c r="J43" s="26">
        <f t="shared" si="5"/>
        <v>-4.28624739001022</v>
      </c>
      <c r="K43" s="3"/>
      <c r="L43" s="3">
        <f t="shared" si="6"/>
        <v>17366.759999999998</v>
      </c>
      <c r="M43" s="3"/>
      <c r="N43" s="26">
        <f t="shared" si="7"/>
        <v>-1</v>
      </c>
      <c r="O43" s="9"/>
      <c r="P43" s="3">
        <v>0</v>
      </c>
      <c r="Q43" s="3"/>
      <c r="R43" s="26">
        <f t="shared" si="8"/>
        <v>0</v>
      </c>
      <c r="S43" s="3"/>
      <c r="T43" s="3">
        <v>262546.52</v>
      </c>
      <c r="U43" s="3"/>
      <c r="V43" s="26">
        <f t="shared" si="9"/>
        <v>9.5562432040988535E-2</v>
      </c>
      <c r="W43" s="3"/>
      <c r="X43" s="3">
        <f t="shared" si="10"/>
        <v>-262546.52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","5003"," - ","PURCHASES @ COST-RENTAL TEXT")</f>
        <v xml:space="preserve">          5003 - PURCHASES @ COST-RENTAL TEXT</v>
      </c>
      <c r="C44" s="9"/>
      <c r="D44" s="3"/>
      <c r="E44" s="3"/>
      <c r="F44" s="26">
        <f t="shared" si="4"/>
        <v>0</v>
      </c>
      <c r="G44" s="3"/>
      <c r="H44" s="3">
        <v>6024.36</v>
      </c>
      <c r="I44" s="3"/>
      <c r="J44" s="26">
        <f t="shared" si="5"/>
        <v>1.4868574982600076</v>
      </c>
      <c r="K44" s="3"/>
      <c r="L44" s="3">
        <f t="shared" si="6"/>
        <v>-6024.36</v>
      </c>
      <c r="M44" s="3"/>
      <c r="N44" s="26">
        <f t="shared" si="7"/>
        <v>-1</v>
      </c>
      <c r="O44" s="9"/>
      <c r="P44" s="3"/>
      <c r="Q44" s="3"/>
      <c r="R44" s="26">
        <f t="shared" si="8"/>
        <v>0</v>
      </c>
      <c r="S44" s="3"/>
      <c r="T44" s="3">
        <v>13236.44</v>
      </c>
      <c r="U44" s="3"/>
      <c r="V44" s="26">
        <f t="shared" si="9"/>
        <v>4.8178372273402154E-3</v>
      </c>
      <c r="W44" s="3"/>
      <c r="X44" s="3">
        <f t="shared" si="10"/>
        <v>-13236.44</v>
      </c>
      <c r="Y44" s="3"/>
      <c r="Z44" s="26">
        <f t="shared" si="11"/>
        <v>-1</v>
      </c>
    </row>
    <row r="45" spans="1:26" s="69" customFormat="1" ht="15" hidden="1" customHeight="1" outlineLevel="1" x14ac:dyDescent="0.3">
      <c r="A45" s="47"/>
      <c r="B45" s="9" t="str">
        <f>CONCATENATE("          ","5004"," - ","PURCHASES @ COST-DIGITAL TEXT")</f>
        <v xml:space="preserve">          5004 - PURCHASES @ COST-DIGITAL TEXT</v>
      </c>
      <c r="C45" s="9"/>
      <c r="D45" s="3"/>
      <c r="E45" s="3"/>
      <c r="F45" s="26">
        <f t="shared" si="4"/>
        <v>0</v>
      </c>
      <c r="G45" s="3"/>
      <c r="H45" s="3">
        <v>178285.37</v>
      </c>
      <c r="I45" s="3"/>
      <c r="J45" s="26">
        <f t="shared" si="5"/>
        <v>44.002174374466307</v>
      </c>
      <c r="K45" s="3"/>
      <c r="L45" s="3">
        <f t="shared" si="6"/>
        <v>-178285.37</v>
      </c>
      <c r="M45" s="3"/>
      <c r="N45" s="26">
        <f t="shared" si="7"/>
        <v>-1</v>
      </c>
      <c r="O45" s="9"/>
      <c r="P45" s="3">
        <v>0</v>
      </c>
      <c r="Q45" s="3"/>
      <c r="R45" s="26">
        <f t="shared" si="8"/>
        <v>0</v>
      </c>
      <c r="S45" s="3"/>
      <c r="T45" s="3">
        <v>377891.8</v>
      </c>
      <c r="U45" s="3"/>
      <c r="V45" s="26">
        <f t="shared" si="9"/>
        <v>0.13754613641935468</v>
      </c>
      <c r="W45" s="3"/>
      <c r="X45" s="3">
        <f t="shared" si="10"/>
        <v>-377891.8</v>
      </c>
      <c r="Y45" s="3"/>
      <c r="Z45" s="26">
        <f t="shared" si="11"/>
        <v>-1</v>
      </c>
    </row>
    <row r="46" spans="1:26" s="69" customFormat="1" ht="15" hidden="1" customHeight="1" outlineLevel="1" x14ac:dyDescent="0.3">
      <c r="A46" s="47"/>
      <c r="B46" s="9" t="str">
        <f>CONCATENATE("          ","5011"," - ","PURCHASES @ COST-NO VALUE TEXT")</f>
        <v xml:space="preserve">          5011 - PURCHASES @ COST-NO VALUE TEXT</v>
      </c>
      <c r="C46" s="9"/>
      <c r="D46" s="3"/>
      <c r="E46" s="3"/>
      <c r="F46" s="26">
        <f t="shared" si="4"/>
        <v>0</v>
      </c>
      <c r="G46" s="3"/>
      <c r="H46" s="3">
        <v>63.17</v>
      </c>
      <c r="I46" s="3"/>
      <c r="J46" s="26">
        <f t="shared" si="5"/>
        <v>1.5590832580570332E-2</v>
      </c>
      <c r="K46" s="3"/>
      <c r="L46" s="3">
        <f t="shared" si="6"/>
        <v>-63.17</v>
      </c>
      <c r="M46" s="3"/>
      <c r="N46" s="26">
        <f t="shared" si="7"/>
        <v>-1</v>
      </c>
      <c r="O46" s="9"/>
      <c r="P46" s="3"/>
      <c r="Q46" s="3"/>
      <c r="R46" s="26">
        <f t="shared" si="8"/>
        <v>0</v>
      </c>
      <c r="S46" s="3"/>
      <c r="T46" s="3">
        <v>130.34</v>
      </c>
      <c r="U46" s="3"/>
      <c r="V46" s="26">
        <f t="shared" si="9"/>
        <v>4.744152538080659E-5</v>
      </c>
      <c r="W46" s="3"/>
      <c r="X46" s="3">
        <f t="shared" si="10"/>
        <v>-130.34</v>
      </c>
      <c r="Y46" s="3"/>
      <c r="Z46" s="26">
        <f t="shared" si="11"/>
        <v>-1</v>
      </c>
    </row>
    <row r="47" spans="1:26" s="69" customFormat="1" ht="15" hidden="1" customHeight="1" outlineLevel="1" x14ac:dyDescent="0.3">
      <c r="A47" s="47"/>
      <c r="B47" s="9" t="str">
        <f>CONCATENATE("          ","5013"," - ","PURCHASES @ COST-TRADE BOOKS")</f>
        <v xml:space="preserve">          5013 - PURCHASES @ COST-TRADE BOOKS</v>
      </c>
      <c r="C47" s="9"/>
      <c r="D47" s="3"/>
      <c r="E47" s="3"/>
      <c r="F47" s="26">
        <f t="shared" si="4"/>
        <v>0</v>
      </c>
      <c r="G47" s="3"/>
      <c r="H47" s="3">
        <v>1964.92</v>
      </c>
      <c r="I47" s="3"/>
      <c r="J47" s="26">
        <f t="shared" si="5"/>
        <v>0.48495708016802691</v>
      </c>
      <c r="K47" s="3"/>
      <c r="L47" s="3">
        <f t="shared" si="6"/>
        <v>-1964.92</v>
      </c>
      <c r="M47" s="3"/>
      <c r="N47" s="26">
        <f t="shared" si="7"/>
        <v>-1</v>
      </c>
      <c r="O47" s="9"/>
      <c r="P47" s="3"/>
      <c r="Q47" s="3"/>
      <c r="R47" s="26">
        <f t="shared" si="8"/>
        <v>0</v>
      </c>
      <c r="S47" s="3"/>
      <c r="T47" s="3">
        <v>11634.94</v>
      </c>
      <c r="U47" s="3"/>
      <c r="V47" s="26">
        <f t="shared" si="9"/>
        <v>4.2349186843191793E-3</v>
      </c>
      <c r="W47" s="3"/>
      <c r="X47" s="3">
        <f t="shared" si="10"/>
        <v>-11634.94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","5014"," - ","PURCHASES @ COST-REMAINDERS")</f>
        <v xml:space="preserve">          5014 - PURCHASES @ COST-REMAINDERS</v>
      </c>
      <c r="C48" s="9"/>
      <c r="D48" s="3"/>
      <c r="E48" s="3"/>
      <c r="F48" s="26">
        <f t="shared" si="4"/>
        <v>0</v>
      </c>
      <c r="G48" s="3"/>
      <c r="H48" s="3">
        <v>-161.43</v>
      </c>
      <c r="I48" s="3"/>
      <c r="J48" s="26">
        <f t="shared" si="5"/>
        <v>-3.9842141894593459E-2</v>
      </c>
      <c r="K48" s="3"/>
      <c r="L48" s="3">
        <f t="shared" si="6"/>
        <v>161.43</v>
      </c>
      <c r="M48" s="3"/>
      <c r="N48" s="26">
        <f t="shared" si="7"/>
        <v>-1</v>
      </c>
      <c r="O48" s="9"/>
      <c r="P48" s="3"/>
      <c r="Q48" s="3"/>
      <c r="R48" s="26">
        <f t="shared" si="8"/>
        <v>0</v>
      </c>
      <c r="S48" s="3"/>
      <c r="T48" s="3">
        <v>-49.86</v>
      </c>
      <c r="U48" s="3"/>
      <c r="V48" s="26">
        <f t="shared" si="9"/>
        <v>-1.8148185173293054E-5</v>
      </c>
      <c r="W48" s="3"/>
      <c r="X48" s="3">
        <f t="shared" si="10"/>
        <v>49.86</v>
      </c>
      <c r="Y48" s="3"/>
      <c r="Z48" s="26">
        <f t="shared" si="11"/>
        <v>-1</v>
      </c>
    </row>
    <row r="49" spans="1:26" s="69" customFormat="1" ht="15" hidden="1" customHeight="1" outlineLevel="1" x14ac:dyDescent="0.3">
      <c r="A49" s="47"/>
      <c r="B49" s="9" t="str">
        <f>CONCATENATE("          ","5018"," - ","PURCHASES @ COST-STUDY GUIDES")</f>
        <v xml:space="preserve">          5018 - PURCHASES @ COST-STUDY GUIDES</v>
      </c>
      <c r="C49" s="9"/>
      <c r="D49" s="3"/>
      <c r="E49" s="3"/>
      <c r="F49" s="26">
        <f t="shared" si="4"/>
        <v>0</v>
      </c>
      <c r="G49" s="3"/>
      <c r="H49" s="3">
        <v>476.17</v>
      </c>
      <c r="I49" s="3"/>
      <c r="J49" s="26">
        <f t="shared" si="5"/>
        <v>0.11752234842314667</v>
      </c>
      <c r="K49" s="3"/>
      <c r="L49" s="3">
        <f t="shared" si="6"/>
        <v>-476.17</v>
      </c>
      <c r="M49" s="3"/>
      <c r="N49" s="26">
        <f t="shared" si="7"/>
        <v>-1</v>
      </c>
      <c r="O49" s="9"/>
      <c r="P49" s="3"/>
      <c r="Q49" s="3"/>
      <c r="R49" s="26">
        <f t="shared" si="8"/>
        <v>0</v>
      </c>
      <c r="S49" s="3"/>
      <c r="T49" s="3">
        <v>1443.38</v>
      </c>
      <c r="U49" s="3"/>
      <c r="V49" s="26">
        <f t="shared" si="9"/>
        <v>5.2536557391551805E-4</v>
      </c>
      <c r="W49" s="3"/>
      <c r="X49" s="3">
        <f t="shared" si="10"/>
        <v>-1443.38</v>
      </c>
      <c r="Y49" s="3"/>
      <c r="Z49" s="26">
        <f t="shared" si="11"/>
        <v>-1</v>
      </c>
    </row>
    <row r="50" spans="1:26" s="69" customFormat="1" ht="15" hidden="1" customHeight="1" outlineLevel="1" x14ac:dyDescent="0.3">
      <c r="A50" s="47"/>
      <c r="B50" s="9" t="str">
        <f>CONCATENATE("          ","5200"," - ","PURCHASES OFFSET")</f>
        <v xml:space="preserve">          5200 - PURCHASES OFFSET</v>
      </c>
      <c r="C50" s="9"/>
      <c r="D50" s="3">
        <v>-1500.2</v>
      </c>
      <c r="E50" s="3"/>
      <c r="F50" s="26">
        <f t="shared" si="4"/>
        <v>-3.2471861471861461</v>
      </c>
      <c r="G50" s="3"/>
      <c r="H50" s="3">
        <v>-250433.46</v>
      </c>
      <c r="I50" s="3"/>
      <c r="J50" s="26">
        <f t="shared" si="5"/>
        <v>-61.808867301455706</v>
      </c>
      <c r="K50" s="3"/>
      <c r="L50" s="3">
        <f t="shared" si="6"/>
        <v>248933.25999999998</v>
      </c>
      <c r="M50" s="3"/>
      <c r="N50" s="26">
        <f t="shared" si="7"/>
        <v>-0.99400958641868375</v>
      </c>
      <c r="O50" s="9"/>
      <c r="P50" s="3">
        <v>-1290287.46</v>
      </c>
      <c r="Q50" s="3"/>
      <c r="R50" s="26">
        <f t="shared" si="8"/>
        <v>-0.57709660960832943</v>
      </c>
      <c r="S50" s="3"/>
      <c r="T50" s="3">
        <v>-1338935.1499999999</v>
      </c>
      <c r="U50" s="3"/>
      <c r="V50" s="26">
        <f t="shared" si="9"/>
        <v>-0.48734943917430623</v>
      </c>
      <c r="W50" s="3"/>
      <c r="X50" s="3">
        <f t="shared" si="10"/>
        <v>48647.689999999944</v>
      </c>
      <c r="Y50" s="3"/>
      <c r="Z50" s="26">
        <f t="shared" si="11"/>
        <v>-3.6333118896759074E-2</v>
      </c>
    </row>
    <row r="51" spans="1:26" s="69" customFormat="1" ht="15" hidden="1" customHeight="1" outlineLevel="1" x14ac:dyDescent="0.3">
      <c r="A51" s="47"/>
      <c r="B51" s="9" t="str">
        <f>CONCATENATE("          ","5300"," - ","COG$ OFFSET")</f>
        <v xml:space="preserve">          5300 - COG$ OFFSET</v>
      </c>
      <c r="C51" s="9"/>
      <c r="D51" s="3">
        <v>12278.45</v>
      </c>
      <c r="E51" s="3"/>
      <c r="F51" s="26">
        <f t="shared" si="4"/>
        <v>26.576731601731595</v>
      </c>
      <c r="G51" s="3"/>
      <c r="H51" s="3">
        <v>9156</v>
      </c>
      <c r="I51" s="3"/>
      <c r="J51" s="26">
        <f t="shared" si="5"/>
        <v>2.2597698766455907</v>
      </c>
      <c r="K51" s="3"/>
      <c r="L51" s="3">
        <f t="shared" si="6"/>
        <v>3122.4500000000007</v>
      </c>
      <c r="M51" s="3"/>
      <c r="N51" s="26">
        <f t="shared" si="7"/>
        <v>0.34102774137177816</v>
      </c>
      <c r="O51" s="9"/>
      <c r="P51" s="3">
        <v>1412686.75</v>
      </c>
      <c r="Q51" s="3"/>
      <c r="R51" s="26">
        <f t="shared" si="8"/>
        <v>0.63184116651308819</v>
      </c>
      <c r="S51" s="3"/>
      <c r="T51" s="3">
        <v>1416064</v>
      </c>
      <c r="U51" s="3"/>
      <c r="V51" s="26">
        <f t="shared" si="9"/>
        <v>0.51542301823574121</v>
      </c>
      <c r="W51" s="3"/>
      <c r="X51" s="3">
        <f t="shared" si="10"/>
        <v>-3377.25</v>
      </c>
      <c r="Y51" s="3"/>
      <c r="Z51" s="26">
        <f t="shared" si="11"/>
        <v>-2.3849557647111995E-3</v>
      </c>
    </row>
    <row r="52" spans="1:26" s="69" customFormat="1" ht="15" hidden="1" customHeight="1" outlineLevel="1" x14ac:dyDescent="0.3">
      <c r="A52" s="47"/>
      <c r="B52" s="9" t="str">
        <f>CONCATENATE("          ","5500"," - ","FREIGHT-IN")</f>
        <v xml:space="preserve">          5500 - FREIGHT-IN</v>
      </c>
      <c r="C52" s="9"/>
      <c r="D52" s="3">
        <v>1034.29</v>
      </c>
      <c r="E52" s="3"/>
      <c r="F52" s="26">
        <f t="shared" si="4"/>
        <v>2.238722943722943</v>
      </c>
      <c r="G52" s="3"/>
      <c r="H52" s="3"/>
      <c r="I52" s="3"/>
      <c r="J52" s="26">
        <f t="shared" si="5"/>
        <v>0</v>
      </c>
      <c r="K52" s="3"/>
      <c r="L52" s="3">
        <f t="shared" si="6"/>
        <v>1034.29</v>
      </c>
      <c r="M52" s="3"/>
      <c r="N52" s="26">
        <f t="shared" si="7"/>
        <v>0</v>
      </c>
      <c r="O52" s="9"/>
      <c r="P52" s="3">
        <v>81741.820000000007</v>
      </c>
      <c r="Q52" s="3"/>
      <c r="R52" s="26">
        <f t="shared" si="8"/>
        <v>3.6560013677273386E-2</v>
      </c>
      <c r="S52" s="3"/>
      <c r="T52" s="3">
        <v>0</v>
      </c>
      <c r="U52" s="3"/>
      <c r="V52" s="26">
        <f t="shared" si="9"/>
        <v>0</v>
      </c>
      <c r="W52" s="3"/>
      <c r="X52" s="3">
        <f t="shared" si="10"/>
        <v>81741.820000000007</v>
      </c>
      <c r="Y52" s="3"/>
      <c r="Z52" s="26">
        <f t="shared" si="11"/>
        <v>0</v>
      </c>
    </row>
    <row r="53" spans="1:26" s="69" customFormat="1" ht="15" hidden="1" customHeight="1" outlineLevel="1" x14ac:dyDescent="0.3">
      <c r="A53" s="47"/>
      <c r="B53" s="9" t="str">
        <f>CONCATENATE("          ","5501"," - ","FREIGHT-IN-NEW TEXT")</f>
        <v xml:space="preserve">          5501 - FREIGHT-IN-NEW TEXT</v>
      </c>
      <c r="C53" s="9"/>
      <c r="D53" s="3"/>
      <c r="E53" s="3"/>
      <c r="F53" s="26">
        <f t="shared" si="4"/>
        <v>0</v>
      </c>
      <c r="G53" s="3"/>
      <c r="H53" s="3">
        <v>1565.85</v>
      </c>
      <c r="I53" s="3"/>
      <c r="J53" s="26">
        <f t="shared" si="5"/>
        <v>0.38646359341912384</v>
      </c>
      <c r="K53" s="3"/>
      <c r="L53" s="3">
        <f t="shared" si="6"/>
        <v>-1565.85</v>
      </c>
      <c r="M53" s="3"/>
      <c r="N53" s="26">
        <f t="shared" si="7"/>
        <v>-1</v>
      </c>
      <c r="O53" s="9"/>
      <c r="P53" s="3">
        <v>0</v>
      </c>
      <c r="Q53" s="3"/>
      <c r="R53" s="26">
        <f t="shared" si="8"/>
        <v>0</v>
      </c>
      <c r="S53" s="3"/>
      <c r="T53" s="3">
        <v>53401.99</v>
      </c>
      <c r="U53" s="3"/>
      <c r="V53" s="26">
        <f t="shared" si="9"/>
        <v>1.9437408807507901E-2</v>
      </c>
      <c r="W53" s="3"/>
      <c r="X53" s="3">
        <f t="shared" si="10"/>
        <v>-53401.99</v>
      </c>
      <c r="Y53" s="3"/>
      <c r="Z53" s="26">
        <f t="shared" si="11"/>
        <v>-1</v>
      </c>
    </row>
    <row r="54" spans="1:26" s="69" customFormat="1" ht="15" hidden="1" customHeight="1" outlineLevel="1" x14ac:dyDescent="0.3">
      <c r="A54" s="47"/>
      <c r="B54" s="9" t="str">
        <f>CONCATENATE("          ","5502"," - ","FREIGHT-IN-USED TEXT")</f>
        <v xml:space="preserve">          5502 - FREIGHT-IN-USED TEXT</v>
      </c>
      <c r="C54" s="9"/>
      <c r="D54" s="3"/>
      <c r="E54" s="3"/>
      <c r="F54" s="26">
        <f t="shared" si="4"/>
        <v>0</v>
      </c>
      <c r="G54" s="3"/>
      <c r="H54" s="3">
        <v>149.80000000000001</v>
      </c>
      <c r="I54" s="3"/>
      <c r="J54" s="26">
        <f t="shared" si="5"/>
        <v>3.6971770153070065E-2</v>
      </c>
      <c r="K54" s="3"/>
      <c r="L54" s="3">
        <f t="shared" si="6"/>
        <v>-149.80000000000001</v>
      </c>
      <c r="M54" s="3"/>
      <c r="N54" s="26">
        <f t="shared" si="7"/>
        <v>-1</v>
      </c>
      <c r="O54" s="9"/>
      <c r="P54" s="3">
        <v>0</v>
      </c>
      <c r="Q54" s="3"/>
      <c r="R54" s="26">
        <f t="shared" si="8"/>
        <v>0</v>
      </c>
      <c r="S54" s="3"/>
      <c r="T54" s="3">
        <v>18142.669999999998</v>
      </c>
      <c r="U54" s="3"/>
      <c r="V54" s="26">
        <f t="shared" si="9"/>
        <v>6.6036208322893834E-3</v>
      </c>
      <c r="W54" s="3"/>
      <c r="X54" s="3">
        <f t="shared" si="10"/>
        <v>-18142.669999999998</v>
      </c>
      <c r="Y54" s="3"/>
      <c r="Z54" s="26">
        <f t="shared" si="11"/>
        <v>-1</v>
      </c>
    </row>
    <row r="55" spans="1:26" s="69" customFormat="1" ht="15" hidden="1" customHeight="1" outlineLevel="1" x14ac:dyDescent="0.3">
      <c r="A55" s="47"/>
      <c r="B55" s="9" t="str">
        <f>CONCATENATE("          ","5504"," - ","FREIGHT-IN-DIGITAL TEXT")</f>
        <v xml:space="preserve">          5504 - FREIGHT-IN-DIGITAL TEXT</v>
      </c>
      <c r="C55" s="9"/>
      <c r="D55" s="3"/>
      <c r="E55" s="3"/>
      <c r="F55" s="26">
        <f t="shared" si="4"/>
        <v>0</v>
      </c>
      <c r="G55" s="3"/>
      <c r="H55" s="3">
        <v>4.28</v>
      </c>
      <c r="I55" s="3"/>
      <c r="J55" s="26">
        <f t="shared" si="5"/>
        <v>1.0563362900877162E-3</v>
      </c>
      <c r="K55" s="3"/>
      <c r="L55" s="3">
        <f t="shared" si="6"/>
        <v>-4.28</v>
      </c>
      <c r="M55" s="3"/>
      <c r="N55" s="26">
        <f t="shared" si="7"/>
        <v>-1</v>
      </c>
      <c r="O55" s="9"/>
      <c r="P55" s="3"/>
      <c r="Q55" s="3"/>
      <c r="R55" s="26">
        <f t="shared" si="8"/>
        <v>0</v>
      </c>
      <c r="S55" s="3"/>
      <c r="T55" s="3">
        <v>33.200000000000003</v>
      </c>
      <c r="U55" s="3"/>
      <c r="V55" s="26">
        <f t="shared" si="9"/>
        <v>1.2084230801310257E-5</v>
      </c>
      <c r="W55" s="3"/>
      <c r="X55" s="3">
        <f t="shared" si="10"/>
        <v>-33.200000000000003</v>
      </c>
      <c r="Y55" s="3"/>
      <c r="Z55" s="26">
        <f t="shared" si="11"/>
        <v>-1</v>
      </c>
    </row>
    <row r="56" spans="1:26" s="69" customFormat="1" ht="15" hidden="1" customHeight="1" outlineLevel="1" x14ac:dyDescent="0.3">
      <c r="A56" s="47"/>
      <c r="B56" s="9" t="str">
        <f>CONCATENATE("          ","5513"," - ","FREIGHT-IN-TRADE BOOKS")</f>
        <v xml:space="preserve">          5513 - FREIGHT-IN-TRADE BOOKS</v>
      </c>
      <c r="C56" s="9"/>
      <c r="D56" s="3"/>
      <c r="E56" s="3"/>
      <c r="F56" s="26">
        <f t="shared" si="4"/>
        <v>0</v>
      </c>
      <c r="G56" s="3"/>
      <c r="H56" s="3"/>
      <c r="I56" s="3"/>
      <c r="J56" s="26">
        <f t="shared" si="5"/>
        <v>0</v>
      </c>
      <c r="K56" s="3"/>
      <c r="L56" s="3">
        <f t="shared" si="6"/>
        <v>0</v>
      </c>
      <c r="M56" s="3"/>
      <c r="N56" s="26">
        <f t="shared" si="7"/>
        <v>0</v>
      </c>
      <c r="O56" s="9"/>
      <c r="P56" s="3"/>
      <c r="Q56" s="3"/>
      <c r="R56" s="26">
        <f t="shared" si="8"/>
        <v>0</v>
      </c>
      <c r="S56" s="3"/>
      <c r="T56" s="3">
        <v>85.28</v>
      </c>
      <c r="U56" s="3"/>
      <c r="V56" s="26">
        <f t="shared" si="9"/>
        <v>3.1040457913727072E-5</v>
      </c>
      <c r="W56" s="3"/>
      <c r="X56" s="3">
        <f t="shared" si="10"/>
        <v>-85.28</v>
      </c>
      <c r="Y56" s="3"/>
      <c r="Z56" s="26">
        <f t="shared" si="11"/>
        <v>-1</v>
      </c>
    </row>
    <row r="57" spans="1:26" s="69" customFormat="1" ht="15" hidden="1" customHeight="1" outlineLevel="1" x14ac:dyDescent="0.3">
      <c r="A57" s="47"/>
      <c r="B57" s="9" t="str">
        <f>CONCATENATE("          ","5518"," - ","FREIGHT-IN-STUDY GUIDES")</f>
        <v xml:space="preserve">          5518 - FREIGHT-IN-STUDY GUIDES</v>
      </c>
      <c r="C57" s="9"/>
      <c r="D57" s="3"/>
      <c r="E57" s="3"/>
      <c r="F57" s="26">
        <f t="shared" si="4"/>
        <v>0</v>
      </c>
      <c r="G57" s="3"/>
      <c r="H57" s="3"/>
      <c r="I57" s="3"/>
      <c r="J57" s="26">
        <f t="shared" si="5"/>
        <v>0</v>
      </c>
      <c r="K57" s="3"/>
      <c r="L57" s="3">
        <f t="shared" si="6"/>
        <v>0</v>
      </c>
      <c r="M57" s="3"/>
      <c r="N57" s="26">
        <f t="shared" si="7"/>
        <v>0</v>
      </c>
      <c r="O57" s="9"/>
      <c r="P57" s="3">
        <v>0</v>
      </c>
      <c r="Q57" s="3"/>
      <c r="R57" s="26">
        <f t="shared" si="8"/>
        <v>0</v>
      </c>
      <c r="S57" s="3"/>
      <c r="T57" s="3"/>
      <c r="U57" s="3"/>
      <c r="V57" s="26">
        <f t="shared" si="9"/>
        <v>0</v>
      </c>
      <c r="W57" s="3"/>
      <c r="X57" s="3">
        <f t="shared" si="10"/>
        <v>0</v>
      </c>
      <c r="Y57" s="3"/>
      <c r="Z57" s="26">
        <f t="shared" si="11"/>
        <v>0</v>
      </c>
    </row>
    <row r="58" spans="1:26" ht="15" customHeight="1" x14ac:dyDescent="0.3">
      <c r="A58" s="12"/>
      <c r="B58" s="13"/>
      <c r="C58" s="13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O58" s="13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2" customFormat="1" ht="15" customHeight="1" x14ac:dyDescent="0.3">
      <c r="A59" s="13"/>
      <c r="B59" s="28" t="s">
        <v>288</v>
      </c>
      <c r="C59" s="28"/>
      <c r="D59" s="22">
        <f>D12-D40</f>
        <v>-150645.86000000002</v>
      </c>
      <c r="E59" s="15"/>
      <c r="F59" s="24">
        <f>IF(D$12=0,0,D59/D$12)</f>
        <v>-326.07329004328994</v>
      </c>
      <c r="G59" s="15"/>
      <c r="H59" s="22">
        <f>H12-H40</f>
        <v>-68453.789999999964</v>
      </c>
      <c r="I59" s="15"/>
      <c r="J59" s="24">
        <f>IF(H$12=0,0,H59/H$12)</f>
        <v>-16.894911815664383</v>
      </c>
      <c r="K59" s="17"/>
      <c r="L59" s="22">
        <f>+D59-H59</f>
        <v>-82192.070000000051</v>
      </c>
      <c r="M59" s="17"/>
      <c r="N59" s="24">
        <f>IF(H59=0,0,L59/H59)</f>
        <v>1.2006942201447151</v>
      </c>
      <c r="O59" s="27"/>
      <c r="P59" s="22">
        <f>P12-P40</f>
        <v>379425.76999999932</v>
      </c>
      <c r="Q59" s="15"/>
      <c r="R59" s="24">
        <f>IF(P$12=0,0,P59/P$12)</f>
        <v>0.16970274628959767</v>
      </c>
      <c r="S59" s="15"/>
      <c r="T59" s="22">
        <f>T12-T40</f>
        <v>717412.86000000057</v>
      </c>
      <c r="U59" s="15"/>
      <c r="V59" s="24">
        <f>IF(T$12=0,0,T59/T$12)</f>
        <v>0.2611259813273521</v>
      </c>
      <c r="W59" s="17"/>
      <c r="X59" s="22">
        <f>+P59-T59</f>
        <v>-337987.09000000125</v>
      </c>
      <c r="Y59" s="17"/>
      <c r="Z59" s="24">
        <f>IF(T59=0,0,X59/T59)</f>
        <v>-0.47111936354193734</v>
      </c>
    </row>
    <row r="60" spans="1:26" ht="15" customHeight="1" x14ac:dyDescent="0.3">
      <c r="A60" s="12"/>
      <c r="B60" s="13"/>
      <c r="C60" s="12"/>
      <c r="D60" s="2"/>
      <c r="E60" s="2"/>
      <c r="F60" s="5"/>
      <c r="G60" s="2"/>
      <c r="H60" s="2"/>
      <c r="I60" s="2"/>
      <c r="J60" s="5"/>
      <c r="K60" s="2"/>
      <c r="L60" s="2"/>
      <c r="M60" s="2"/>
      <c r="N60" s="5"/>
      <c r="O60" s="37"/>
      <c r="P60" s="2"/>
      <c r="Q60" s="2"/>
      <c r="R60" s="5"/>
      <c r="S60" s="2"/>
      <c r="T60" s="2"/>
      <c r="U60" s="2"/>
      <c r="V60" s="5"/>
      <c r="W60" s="2"/>
      <c r="X60" s="2"/>
      <c r="Y60" s="2"/>
      <c r="Z60" s="5"/>
    </row>
    <row r="61" spans="1:26" s="62" customFormat="1" ht="15" customHeight="1" x14ac:dyDescent="0.3">
      <c r="A61" s="13"/>
      <c r="B61" s="27" t="s">
        <v>289</v>
      </c>
      <c r="C61" s="13"/>
      <c r="D61" s="23" cm="1">
        <f t="array" ref="D61">SUM(OSRRefD22x_0)</f>
        <v>20932.970000000005</v>
      </c>
      <c r="E61" s="23"/>
      <c r="F61" s="34">
        <f t="shared" ref="F61:F92" si="12">IF(D$12=0,0,D61/D$12)</f>
        <v>45.309458874458869</v>
      </c>
      <c r="G61" s="23"/>
      <c r="H61" s="23" cm="1">
        <f t="array" ref="H61">SUM(OSRRefH22x_0)</f>
        <v>21334.860000000008</v>
      </c>
      <c r="I61" s="23"/>
      <c r="J61" s="34">
        <f t="shared" ref="J61:J92" si="13">IF(H$12=0,0,H61/H$12)</f>
        <v>5.2656044069955179</v>
      </c>
      <c r="K61" s="8"/>
      <c r="L61" s="23">
        <f t="shared" ref="L61:L92" si="14">+D61-H61</f>
        <v>-401.89000000000306</v>
      </c>
      <c r="M61" s="8"/>
      <c r="N61" s="34">
        <f t="shared" ref="N61:N92" si="15">IF(H61=0,0,L61/H61)</f>
        <v>-1.8837245709604041E-2</v>
      </c>
      <c r="O61" s="13"/>
      <c r="P61" s="23" cm="1">
        <f t="array" ref="P61">SUM(OSRRefP22x_0)</f>
        <v>503706.05999999994</v>
      </c>
      <c r="Q61" s="23"/>
      <c r="R61" s="34">
        <f t="shared" ref="R61:R92" si="16">IF(P$12=0,0,P61/P$12)</f>
        <v>0.22528860310335008</v>
      </c>
      <c r="S61" s="23"/>
      <c r="T61" s="23" cm="1">
        <f t="array" ref="T61">SUM(OSRRefT22x_0)</f>
        <v>528742.40000000002</v>
      </c>
      <c r="U61" s="23"/>
      <c r="V61" s="34">
        <f t="shared" ref="V61:V92" si="17">IF(T$12=0,0,T61/T$12)</f>
        <v>0.19245316855538278</v>
      </c>
      <c r="W61" s="8"/>
      <c r="X61" s="23">
        <f t="shared" ref="X61:X92" si="18">+P61-T61</f>
        <v>-25036.340000000084</v>
      </c>
      <c r="Y61" s="8"/>
      <c r="Z61" s="34">
        <f t="shared" ref="Z61:Z92" si="19">IF(T61=0,0,X61/T61)</f>
        <v>-4.7350732606274967E-2</v>
      </c>
    </row>
    <row r="62" spans="1:26" s="68" customFormat="1" ht="15" customHeight="1" outlineLevel="1" collapsed="1" x14ac:dyDescent="0.3">
      <c r="A62" s="20"/>
      <c r="B62" s="11" t="str">
        <f>CONCATENATE("     ","*Benefits                                         ")</f>
        <v xml:space="preserve">     *Benefits                                         </v>
      </c>
      <c r="C62" s="11"/>
      <c r="D62" s="2">
        <f>SUM(OSRRefD22_0x_0)</f>
        <v>10024.030000000001</v>
      </c>
      <c r="E62" s="2"/>
      <c r="F62" s="5">
        <f t="shared" si="12"/>
        <v>21.697034632034626</v>
      </c>
      <c r="G62" s="2"/>
      <c r="H62" s="2">
        <f>SUM(OSRRefH22_0x_0)</f>
        <v>12433.619999999999</v>
      </c>
      <c r="I62" s="2"/>
      <c r="J62" s="5">
        <f t="shared" si="13"/>
        <v>3.0687112203645857</v>
      </c>
      <c r="K62" s="2"/>
      <c r="L62" s="2">
        <f t="shared" si="14"/>
        <v>-2409.5899999999983</v>
      </c>
      <c r="M62" s="2"/>
      <c r="N62" s="5">
        <f t="shared" si="15"/>
        <v>-0.19379633606302898</v>
      </c>
      <c r="O62" s="11"/>
      <c r="P62" s="2">
        <f>SUM(OSRRefP22_0x_0)</f>
        <v>127769.86000000002</v>
      </c>
      <c r="Q62" s="2"/>
      <c r="R62" s="5">
        <f t="shared" si="16"/>
        <v>5.7146609032479409E-2</v>
      </c>
      <c r="S62" s="2"/>
      <c r="T62" s="2">
        <f>SUM(OSRRefT22_0x_0)</f>
        <v>144311.99</v>
      </c>
      <c r="U62" s="2"/>
      <c r="V62" s="5">
        <f t="shared" si="17"/>
        <v>5.2527090197481252E-2</v>
      </c>
      <c r="W62" s="2"/>
      <c r="X62" s="2">
        <f t="shared" si="18"/>
        <v>-16542.129999999976</v>
      </c>
      <c r="Y62" s="2"/>
      <c r="Z62" s="5">
        <f t="shared" si="19"/>
        <v>-0.11462755104409535</v>
      </c>
    </row>
    <row r="63" spans="1:26" s="69" customFormat="1" ht="15" hidden="1" customHeight="1" outlineLevel="2" x14ac:dyDescent="0.3">
      <c r="A63" s="21"/>
      <c r="B63" s="9" t="str">
        <f>CONCATENATE("          ","6111"," - ","F.I.C.A.")</f>
        <v xml:space="preserve">          6111 - F.I.C.A.</v>
      </c>
      <c r="C63" s="9"/>
      <c r="D63" s="6">
        <v>1695.53</v>
      </c>
      <c r="E63" s="3"/>
      <c r="F63" s="7">
        <f t="shared" si="12"/>
        <v>3.6699783549783538</v>
      </c>
      <c r="G63" s="3"/>
      <c r="H63" s="6">
        <v>2190.84</v>
      </c>
      <c r="I63" s="3"/>
      <c r="J63" s="7">
        <f t="shared" si="13"/>
        <v>0.54071584060181588</v>
      </c>
      <c r="K63" s="3"/>
      <c r="L63" s="6">
        <f t="shared" si="14"/>
        <v>-495.31000000000017</v>
      </c>
      <c r="M63" s="3"/>
      <c r="N63" s="7">
        <f t="shared" si="15"/>
        <v>-0.22608223329864352</v>
      </c>
      <c r="O63" s="9"/>
      <c r="P63" s="6">
        <v>25120.240000000002</v>
      </c>
      <c r="Q63" s="3"/>
      <c r="R63" s="7">
        <f t="shared" si="16"/>
        <v>1.1235329944652444E-2</v>
      </c>
      <c r="S63" s="3"/>
      <c r="T63" s="6">
        <v>26197.69</v>
      </c>
      <c r="U63" s="3"/>
      <c r="V63" s="7">
        <f t="shared" si="17"/>
        <v>9.5355100126860749E-3</v>
      </c>
      <c r="W63" s="3"/>
      <c r="X63" s="6">
        <f t="shared" si="18"/>
        <v>-1077.4499999999971</v>
      </c>
      <c r="Y63" s="3"/>
      <c r="Z63" s="7">
        <f t="shared" si="19"/>
        <v>-4.1127671943594915E-2</v>
      </c>
    </row>
    <row r="64" spans="1:26" s="69" customFormat="1" ht="15" hidden="1" customHeight="1" outlineLevel="2" x14ac:dyDescent="0.3">
      <c r="A64" s="21"/>
      <c r="B64" s="9" t="str">
        <f>CONCATENATE("          ","6112"," - ","COMPENSATION INSURANCE")</f>
        <v xml:space="preserve">          6112 - COMPENSATION INSURANCE</v>
      </c>
      <c r="C64" s="9"/>
      <c r="D64" s="6">
        <v>-945.08</v>
      </c>
      <c r="E64" s="3"/>
      <c r="F64" s="7">
        <f t="shared" si="12"/>
        <v>-2.0456277056277048</v>
      </c>
      <c r="G64" s="3"/>
      <c r="H64" s="6">
        <v>129.68</v>
      </c>
      <c r="I64" s="3"/>
      <c r="J64" s="7">
        <f t="shared" si="13"/>
        <v>3.2006002359480146E-2</v>
      </c>
      <c r="K64" s="3"/>
      <c r="L64" s="6">
        <f t="shared" si="14"/>
        <v>-1074.76</v>
      </c>
      <c r="M64" s="3"/>
      <c r="N64" s="7">
        <f t="shared" si="15"/>
        <v>-8.2877853177051204</v>
      </c>
      <c r="O64" s="9"/>
      <c r="P64" s="6">
        <v>3520.31</v>
      </c>
      <c r="Q64" s="3"/>
      <c r="R64" s="7">
        <f t="shared" si="16"/>
        <v>1.5745010540289201E-3</v>
      </c>
      <c r="S64" s="3"/>
      <c r="T64" s="6">
        <v>1501.57</v>
      </c>
      <c r="U64" s="3"/>
      <c r="V64" s="7">
        <f t="shared" si="17"/>
        <v>5.4654573627480247E-4</v>
      </c>
      <c r="W64" s="3"/>
      <c r="X64" s="6">
        <f t="shared" si="18"/>
        <v>2018.74</v>
      </c>
      <c r="Y64" s="3"/>
      <c r="Z64" s="7">
        <f t="shared" si="19"/>
        <v>1.3444195075820642</v>
      </c>
    </row>
    <row r="65" spans="1:26" s="69" customFormat="1" ht="15" hidden="1" customHeight="1" outlineLevel="2" x14ac:dyDescent="0.3">
      <c r="A65" s="21"/>
      <c r="B65" s="9" t="str">
        <f>CONCATENATE("          ","6113"," - ","GROUP INSURANCE")</f>
        <v xml:space="preserve">          6113 - GROUP INSURANCE</v>
      </c>
      <c r="C65" s="9"/>
      <c r="D65" s="6">
        <v>4226.1400000000003</v>
      </c>
      <c r="E65" s="3"/>
      <c r="F65" s="7">
        <f t="shared" si="12"/>
        <v>9.1474891774891756</v>
      </c>
      <c r="G65" s="3"/>
      <c r="H65" s="6">
        <v>4943.91</v>
      </c>
      <c r="I65" s="3"/>
      <c r="J65" s="7">
        <f t="shared" si="13"/>
        <v>1.2201942868989626</v>
      </c>
      <c r="K65" s="3"/>
      <c r="L65" s="6">
        <f t="shared" si="14"/>
        <v>-717.76999999999953</v>
      </c>
      <c r="M65" s="3"/>
      <c r="N65" s="7">
        <f t="shared" si="15"/>
        <v>-0.14518265906944089</v>
      </c>
      <c r="O65" s="9"/>
      <c r="P65" s="6">
        <v>52049.97</v>
      </c>
      <c r="Q65" s="3"/>
      <c r="R65" s="7">
        <f t="shared" si="16"/>
        <v>2.3279976089371011E-2</v>
      </c>
      <c r="S65" s="3"/>
      <c r="T65" s="6">
        <v>55051.68</v>
      </c>
      <c r="U65" s="3"/>
      <c r="V65" s="7">
        <f t="shared" si="17"/>
        <v>2.0037867684333608E-2</v>
      </c>
      <c r="W65" s="3"/>
      <c r="X65" s="6">
        <f t="shared" si="18"/>
        <v>-3001.7099999999991</v>
      </c>
      <c r="Y65" s="3"/>
      <c r="Z65" s="7">
        <f t="shared" si="19"/>
        <v>-5.4525311489131652E-2</v>
      </c>
    </row>
    <row r="66" spans="1:26" s="69" customFormat="1" ht="15" hidden="1" customHeight="1" outlineLevel="2" x14ac:dyDescent="0.3">
      <c r="A66" s="21"/>
      <c r="B66" s="9" t="str">
        <f>CONCATENATE("          ","6114"," - ","STATE UNEMPLOYMENT INSURANCE")</f>
        <v xml:space="preserve">          6114 - STATE UNEMPLOYMENT INSURANCE</v>
      </c>
      <c r="C66" s="9"/>
      <c r="D66" s="6"/>
      <c r="E66" s="3"/>
      <c r="F66" s="7">
        <f t="shared" si="12"/>
        <v>0</v>
      </c>
      <c r="G66" s="3"/>
      <c r="H66" s="6">
        <v>78.42</v>
      </c>
      <c r="I66" s="3"/>
      <c r="J66" s="7">
        <f t="shared" si="13"/>
        <v>1.9354647632868854E-2</v>
      </c>
      <c r="K66" s="3"/>
      <c r="L66" s="6">
        <f t="shared" si="14"/>
        <v>-78.42</v>
      </c>
      <c r="M66" s="3"/>
      <c r="N66" s="7">
        <f t="shared" si="15"/>
        <v>-1</v>
      </c>
      <c r="O66" s="9"/>
      <c r="P66" s="6">
        <v>885.1</v>
      </c>
      <c r="Q66" s="3"/>
      <c r="R66" s="7">
        <f t="shared" si="16"/>
        <v>3.9587163713451291E-4</v>
      </c>
      <c r="S66" s="3"/>
      <c r="T66" s="6">
        <v>953.93</v>
      </c>
      <c r="U66" s="3"/>
      <c r="V66" s="7">
        <f t="shared" si="17"/>
        <v>3.4721416531005702E-4</v>
      </c>
      <c r="W66" s="3"/>
      <c r="X66" s="6">
        <f t="shared" si="18"/>
        <v>-68.829999999999927</v>
      </c>
      <c r="Y66" s="3"/>
      <c r="Z66" s="7">
        <f t="shared" si="19"/>
        <v>-7.2154141289193049E-2</v>
      </c>
    </row>
    <row r="67" spans="1:26" s="69" customFormat="1" ht="15" hidden="1" customHeight="1" outlineLevel="2" x14ac:dyDescent="0.3">
      <c r="A67" s="21"/>
      <c r="B67" s="9" t="str">
        <f>CONCATENATE("          ","6115"," - ","P.E.R.S.")</f>
        <v xml:space="preserve">          6115 - P.E.R.S.</v>
      </c>
      <c r="C67" s="9"/>
      <c r="D67" s="6">
        <v>1504.18</v>
      </c>
      <c r="E67" s="3"/>
      <c r="F67" s="7">
        <f t="shared" si="12"/>
        <v>3.2558008658008646</v>
      </c>
      <c r="G67" s="3"/>
      <c r="H67" s="6">
        <v>2644.54</v>
      </c>
      <c r="I67" s="3"/>
      <c r="J67" s="7">
        <f t="shared" si="13"/>
        <v>0.65269242350200196</v>
      </c>
      <c r="K67" s="3"/>
      <c r="L67" s="6">
        <f t="shared" si="14"/>
        <v>-1140.3599999999999</v>
      </c>
      <c r="M67" s="3"/>
      <c r="N67" s="7">
        <f t="shared" si="15"/>
        <v>-0.4312129897827221</v>
      </c>
      <c r="O67" s="9"/>
      <c r="P67" s="6">
        <v>21652.19</v>
      </c>
      <c r="Q67" s="3"/>
      <c r="R67" s="7">
        <f t="shared" si="16"/>
        <v>9.6842028051604655E-3</v>
      </c>
      <c r="S67" s="3"/>
      <c r="T67" s="6">
        <v>22892.11</v>
      </c>
      <c r="U67" s="3"/>
      <c r="V67" s="7">
        <f t="shared" si="17"/>
        <v>8.3323355653307993E-3</v>
      </c>
      <c r="W67" s="3"/>
      <c r="X67" s="6">
        <f t="shared" si="18"/>
        <v>-1239.9200000000019</v>
      </c>
      <c r="Y67" s="3"/>
      <c r="Z67" s="7">
        <f t="shared" si="19"/>
        <v>-5.4163639786808722E-2</v>
      </c>
    </row>
    <row r="68" spans="1:26" s="69" customFormat="1" ht="15" hidden="1" customHeight="1" outlineLevel="2" x14ac:dyDescent="0.3">
      <c r="A68" s="21"/>
      <c r="B68" s="9" t="str">
        <f>CONCATENATE("          ","6117"," - ","RETIREMENT STAFF HOURLY")</f>
        <v xml:space="preserve">          6117 - RETIREMENT STAFF HOURLY</v>
      </c>
      <c r="C68" s="9"/>
      <c r="D68" s="6">
        <v>162.22</v>
      </c>
      <c r="E68" s="3"/>
      <c r="F68" s="7">
        <f t="shared" si="12"/>
        <v>0.35112554112554101</v>
      </c>
      <c r="G68" s="3"/>
      <c r="H68" s="6">
        <v>246.25</v>
      </c>
      <c r="I68" s="3"/>
      <c r="J68" s="7">
        <f t="shared" si="13"/>
        <v>6.0776357811705622E-2</v>
      </c>
      <c r="K68" s="3"/>
      <c r="L68" s="6">
        <f t="shared" si="14"/>
        <v>-84.03</v>
      </c>
      <c r="M68" s="3"/>
      <c r="N68" s="7">
        <f t="shared" si="15"/>
        <v>-0.34123857868020308</v>
      </c>
      <c r="O68" s="9"/>
      <c r="P68" s="6">
        <v>3538.66</v>
      </c>
      <c r="Q68" s="3"/>
      <c r="R68" s="7">
        <f t="shared" si="16"/>
        <v>1.5827083125775792E-3</v>
      </c>
      <c r="S68" s="3"/>
      <c r="T68" s="6">
        <v>3247.65</v>
      </c>
      <c r="U68" s="3"/>
      <c r="V68" s="7">
        <f t="shared" si="17"/>
        <v>1.1820889205384113E-3</v>
      </c>
      <c r="W68" s="3"/>
      <c r="X68" s="6">
        <f t="shared" si="18"/>
        <v>291.00999999999976</v>
      </c>
      <c r="Y68" s="3"/>
      <c r="Z68" s="7">
        <f t="shared" si="19"/>
        <v>8.9606330731451897E-2</v>
      </c>
    </row>
    <row r="69" spans="1:26" s="69" customFormat="1" ht="15" hidden="1" customHeight="1" outlineLevel="2" x14ac:dyDescent="0.3">
      <c r="A69" s="21"/>
      <c r="B69" s="9" t="str">
        <f>CONCATENATE("          ","6118"," - ","VACATION")</f>
        <v xml:space="preserve">          6118 - VACATION</v>
      </c>
      <c r="C69" s="9"/>
      <c r="D69" s="6">
        <v>1393.84</v>
      </c>
      <c r="E69" s="3"/>
      <c r="F69" s="7">
        <f t="shared" si="12"/>
        <v>3.0169696969696957</v>
      </c>
      <c r="G69" s="3"/>
      <c r="H69" s="6">
        <v>1512.33</v>
      </c>
      <c r="I69" s="3"/>
      <c r="J69" s="7">
        <f t="shared" si="13"/>
        <v>0.37325445364213916</v>
      </c>
      <c r="K69" s="3"/>
      <c r="L69" s="6">
        <f t="shared" si="14"/>
        <v>-118.49000000000001</v>
      </c>
      <c r="M69" s="3"/>
      <c r="N69" s="7">
        <f t="shared" si="15"/>
        <v>-7.8349302070315346E-2</v>
      </c>
      <c r="O69" s="9"/>
      <c r="P69" s="6">
        <v>22008.02</v>
      </c>
      <c r="Q69" s="3"/>
      <c r="R69" s="7">
        <f t="shared" si="16"/>
        <v>9.8433520590770571E-3</v>
      </c>
      <c r="S69" s="3"/>
      <c r="T69" s="6">
        <v>17657.46</v>
      </c>
      <c r="U69" s="3"/>
      <c r="V69" s="7">
        <f t="shared" si="17"/>
        <v>6.4270127109910778E-3</v>
      </c>
      <c r="W69" s="3"/>
      <c r="X69" s="6">
        <f t="shared" si="18"/>
        <v>4350.5600000000013</v>
      </c>
      <c r="Y69" s="3"/>
      <c r="Z69" s="7">
        <f t="shared" si="19"/>
        <v>0.24638651312249901</v>
      </c>
    </row>
    <row r="70" spans="1:26" s="69" customFormat="1" ht="15" hidden="1" customHeight="1" outlineLevel="2" x14ac:dyDescent="0.3">
      <c r="A70" s="21"/>
      <c r="B70" s="9" t="str">
        <f>CONCATENATE("          ","6119"," - ","SICK LEAVE")</f>
        <v xml:space="preserve">          6119 - SICK LEAVE</v>
      </c>
      <c r="C70" s="9"/>
      <c r="D70" s="6">
        <v>892.48</v>
      </c>
      <c r="E70" s="3"/>
      <c r="F70" s="7">
        <f t="shared" si="12"/>
        <v>1.9317748917748911</v>
      </c>
      <c r="G70" s="3"/>
      <c r="H70" s="6">
        <v>284.64</v>
      </c>
      <c r="I70" s="3"/>
      <c r="J70" s="7">
        <f t="shared" si="13"/>
        <v>7.0251299441721371E-2</v>
      </c>
      <c r="K70" s="3"/>
      <c r="L70" s="6">
        <f t="shared" si="14"/>
        <v>607.84</v>
      </c>
      <c r="M70" s="3"/>
      <c r="N70" s="7">
        <f t="shared" si="15"/>
        <v>2.135469364811692</v>
      </c>
      <c r="O70" s="9"/>
      <c r="P70" s="6">
        <v>-12117.86</v>
      </c>
      <c r="Q70" s="3"/>
      <c r="R70" s="7">
        <f t="shared" si="16"/>
        <v>-5.4198588597523774E-3</v>
      </c>
      <c r="S70" s="3"/>
      <c r="T70" s="6">
        <v>11746.18</v>
      </c>
      <c r="U70" s="3"/>
      <c r="V70" s="7">
        <f t="shared" si="17"/>
        <v>4.2754081371606783E-3</v>
      </c>
      <c r="W70" s="3"/>
      <c r="X70" s="6">
        <f t="shared" si="18"/>
        <v>-23864.04</v>
      </c>
      <c r="Y70" s="3"/>
      <c r="Z70" s="7">
        <f t="shared" si="19"/>
        <v>-2.0316426276457538</v>
      </c>
    </row>
    <row r="71" spans="1:26" s="69" customFormat="1" ht="15" hidden="1" customHeight="1" outlineLevel="2" x14ac:dyDescent="0.3">
      <c r="A71" s="21"/>
      <c r="B71" s="9" t="str">
        <f>CONCATENATE("          ","6156"," - ","EMPLOYEE MEALS")</f>
        <v xml:space="preserve">          6156 - EMPLOYEE MEALS</v>
      </c>
      <c r="C71" s="9"/>
      <c r="D71" s="6">
        <v>1094.72</v>
      </c>
      <c r="E71" s="3"/>
      <c r="F71" s="7">
        <f t="shared" si="12"/>
        <v>2.3695238095238089</v>
      </c>
      <c r="G71" s="3"/>
      <c r="H71" s="6">
        <v>403.01</v>
      </c>
      <c r="I71" s="3"/>
      <c r="J71" s="7">
        <f t="shared" si="13"/>
        <v>9.9465908473890294E-2</v>
      </c>
      <c r="K71" s="3"/>
      <c r="L71" s="6">
        <f t="shared" si="14"/>
        <v>691.71</v>
      </c>
      <c r="M71" s="3"/>
      <c r="N71" s="7">
        <f t="shared" si="15"/>
        <v>1.7163593955484977</v>
      </c>
      <c r="O71" s="9"/>
      <c r="P71" s="6">
        <v>11113.23</v>
      </c>
      <c r="Q71" s="3"/>
      <c r="R71" s="7">
        <f t="shared" si="16"/>
        <v>4.9705259902297853E-3</v>
      </c>
      <c r="S71" s="3"/>
      <c r="T71" s="6">
        <v>5063.72</v>
      </c>
      <c r="U71" s="3"/>
      <c r="V71" s="7">
        <f t="shared" si="17"/>
        <v>1.8431072648557464E-3</v>
      </c>
      <c r="W71" s="3"/>
      <c r="X71" s="6">
        <f t="shared" si="18"/>
        <v>6049.5099999999993</v>
      </c>
      <c r="Y71" s="3"/>
      <c r="Z71" s="7">
        <f t="shared" si="19"/>
        <v>1.1946770358550629</v>
      </c>
    </row>
    <row r="72" spans="1:26" s="68" customFormat="1" ht="15" customHeight="1" outlineLevel="1" collapsed="1" x14ac:dyDescent="0.3">
      <c r="A72" s="20"/>
      <c r="B72" s="11" t="str">
        <f>CONCATENATE("     ","*Payroll                                          ")</f>
        <v xml:space="preserve">     *Payroll                                          </v>
      </c>
      <c r="C72" s="11"/>
      <c r="D72" s="2">
        <f>SUM(OSRRefD22_1x_0)</f>
        <v>16568.189999999999</v>
      </c>
      <c r="E72" s="2"/>
      <c r="F72" s="5">
        <f t="shared" si="12"/>
        <v>35.861883116883099</v>
      </c>
      <c r="G72" s="2"/>
      <c r="H72" s="2">
        <f>SUM(OSRRefH22_1x_0)</f>
        <v>28142.829999999998</v>
      </c>
      <c r="I72" s="2"/>
      <c r="J72" s="5">
        <f t="shared" si="13"/>
        <v>6.9458627651330085</v>
      </c>
      <c r="K72" s="2"/>
      <c r="L72" s="2">
        <f t="shared" si="14"/>
        <v>-11574.64</v>
      </c>
      <c r="M72" s="2"/>
      <c r="N72" s="5">
        <f t="shared" si="15"/>
        <v>-0.41128202103342132</v>
      </c>
      <c r="O72" s="11"/>
      <c r="P72" s="2">
        <f>SUM(OSRRefP22_1x_0)</f>
        <v>330338.53999999992</v>
      </c>
      <c r="Q72" s="2"/>
      <c r="R72" s="5">
        <f t="shared" si="16"/>
        <v>0.14774789135512909</v>
      </c>
      <c r="S72" s="2"/>
      <c r="T72" s="2">
        <f>SUM(OSRRefT22_1x_0)</f>
        <v>338965.84999999992</v>
      </c>
      <c r="U72" s="2"/>
      <c r="V72" s="5">
        <f t="shared" si="17"/>
        <v>0.12337775798681661</v>
      </c>
      <c r="W72" s="2"/>
      <c r="X72" s="2">
        <f t="shared" si="18"/>
        <v>-8627.3099999999977</v>
      </c>
      <c r="Y72" s="2"/>
      <c r="Z72" s="5">
        <f t="shared" si="19"/>
        <v>-2.5451855990802612E-2</v>
      </c>
    </row>
    <row r="73" spans="1:26" s="69" customFormat="1" ht="15" hidden="1" customHeight="1" outlineLevel="2" x14ac:dyDescent="0.3">
      <c r="A73" s="21"/>
      <c r="B73" s="9" t="str">
        <f>CONCATENATE("          ","6001"," - ","ADMINISTRATIVE SALARIES")</f>
        <v xml:space="preserve">          6001 - ADMINISTRATIVE SALARIES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-311.32</v>
      </c>
      <c r="U73" s="3"/>
      <c r="V73" s="7">
        <f t="shared" si="17"/>
        <v>-1.1331514256216594E-4</v>
      </c>
      <c r="W73" s="3"/>
      <c r="X73" s="6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1"/>
      <c r="B74" s="9" t="str">
        <f>CONCATENATE("          ","6002"," - ","STAFF SALARIES")</f>
        <v xml:space="preserve">          6002 - STAFF SALARIES</v>
      </c>
      <c r="C74" s="9"/>
      <c r="D74" s="6">
        <v>12053.48</v>
      </c>
      <c r="E74" s="3"/>
      <c r="F74" s="7">
        <f t="shared" si="12"/>
        <v>26.08978354978354</v>
      </c>
      <c r="G74" s="3"/>
      <c r="H74" s="6">
        <v>18030.77</v>
      </c>
      <c r="I74" s="3"/>
      <c r="J74" s="7">
        <f t="shared" si="13"/>
        <v>4.4501300675759081</v>
      </c>
      <c r="K74" s="3"/>
      <c r="L74" s="6">
        <f t="shared" si="14"/>
        <v>-5977.2900000000009</v>
      </c>
      <c r="M74" s="3"/>
      <c r="N74" s="7">
        <f t="shared" si="15"/>
        <v>-0.331504977324873</v>
      </c>
      <c r="O74" s="9"/>
      <c r="P74" s="6">
        <v>215099.65</v>
      </c>
      <c r="Q74" s="3"/>
      <c r="R74" s="7">
        <f t="shared" si="16"/>
        <v>9.6205909606327786E-2</v>
      </c>
      <c r="S74" s="3"/>
      <c r="T74" s="6">
        <v>210246.3</v>
      </c>
      <c r="U74" s="3"/>
      <c r="V74" s="7">
        <f t="shared" si="17"/>
        <v>7.6526048624142057E-2</v>
      </c>
      <c r="W74" s="3"/>
      <c r="X74" s="6">
        <f t="shared" si="18"/>
        <v>4853.3500000000058</v>
      </c>
      <c r="Y74" s="3"/>
      <c r="Z74" s="7">
        <f t="shared" si="19"/>
        <v>2.3084116105729358E-2</v>
      </c>
    </row>
    <row r="75" spans="1:26" s="69" customFormat="1" ht="15" hidden="1" customHeight="1" outlineLevel="2" x14ac:dyDescent="0.3">
      <c r="A75" s="21"/>
      <c r="B75" s="9" t="str">
        <f>CONCATENATE("          ","6004"," - ","STAFF HOURLY")</f>
        <v xml:space="preserve">          6004 - STAFF HOURLY</v>
      </c>
      <c r="C75" s="9"/>
      <c r="D75" s="6">
        <v>2910.87</v>
      </c>
      <c r="E75" s="3"/>
      <c r="F75" s="7">
        <f t="shared" si="12"/>
        <v>6.3005844155844128</v>
      </c>
      <c r="G75" s="3"/>
      <c r="H75" s="6">
        <v>6138.5</v>
      </c>
      <c r="I75" s="3"/>
      <c r="J75" s="7">
        <f t="shared" si="13"/>
        <v>1.5150281113793096</v>
      </c>
      <c r="K75" s="3"/>
      <c r="L75" s="6">
        <f t="shared" si="14"/>
        <v>-3227.63</v>
      </c>
      <c r="M75" s="3"/>
      <c r="N75" s="7">
        <f t="shared" si="15"/>
        <v>-0.52580109147185794</v>
      </c>
      <c r="O75" s="9"/>
      <c r="P75" s="6">
        <v>68101.929999999993</v>
      </c>
      <c r="Q75" s="3"/>
      <c r="R75" s="7">
        <f t="shared" si="16"/>
        <v>3.0459408565269457E-2</v>
      </c>
      <c r="S75" s="3"/>
      <c r="T75" s="6">
        <v>80583.929999999993</v>
      </c>
      <c r="U75" s="3"/>
      <c r="V75" s="7">
        <f t="shared" si="17"/>
        <v>2.9331168945681614E-2</v>
      </c>
      <c r="W75" s="3"/>
      <c r="X75" s="6">
        <f t="shared" si="18"/>
        <v>-12482</v>
      </c>
      <c r="Y75" s="3"/>
      <c r="Z75" s="7">
        <f t="shared" si="19"/>
        <v>-0.1548944063661328</v>
      </c>
    </row>
    <row r="76" spans="1:26" s="69" customFormat="1" ht="15" hidden="1" customHeight="1" outlineLevel="2" x14ac:dyDescent="0.3">
      <c r="A76" s="21"/>
      <c r="B76" s="9" t="str">
        <f>CONCATENATE("          ","6005"," - ","TEMPORARY WAGES-HOURLY")</f>
        <v xml:space="preserve">          6005 - TEMPORARY WAGES-HOURLY</v>
      </c>
      <c r="C76" s="9"/>
      <c r="D76" s="6"/>
      <c r="E76" s="3"/>
      <c r="F76" s="7">
        <f t="shared" si="12"/>
        <v>0</v>
      </c>
      <c r="G76" s="3"/>
      <c r="H76" s="6">
        <v>3881.44</v>
      </c>
      <c r="I76" s="3"/>
      <c r="J76" s="7">
        <f t="shared" si="13"/>
        <v>0.95796867518646367</v>
      </c>
      <c r="K76" s="3"/>
      <c r="L76" s="6">
        <f t="shared" si="14"/>
        <v>-3881.44</v>
      </c>
      <c r="M76" s="3"/>
      <c r="N76" s="7">
        <f t="shared" si="15"/>
        <v>-1</v>
      </c>
      <c r="O76" s="9"/>
      <c r="P76" s="6">
        <v>14698.31</v>
      </c>
      <c r="Q76" s="3"/>
      <c r="R76" s="7">
        <f t="shared" si="16"/>
        <v>6.5739962069942181E-3</v>
      </c>
      <c r="S76" s="3"/>
      <c r="T76" s="6">
        <v>21436.6</v>
      </c>
      <c r="U76" s="3"/>
      <c r="V76" s="7">
        <f t="shared" si="17"/>
        <v>7.8025548793785367E-3</v>
      </c>
      <c r="W76" s="3"/>
      <c r="X76" s="6">
        <f t="shared" si="18"/>
        <v>-6738.2899999999991</v>
      </c>
      <c r="Y76" s="3"/>
      <c r="Z76" s="7">
        <f t="shared" si="19"/>
        <v>-0.31433576220109533</v>
      </c>
    </row>
    <row r="77" spans="1:26" s="69" customFormat="1" ht="15" hidden="1" customHeight="1" outlineLevel="2" x14ac:dyDescent="0.3">
      <c r="A77" s="21"/>
      <c r="B77" s="9" t="str">
        <f>CONCATENATE("          ","6006"," - ","TEMPORARY PART TIME")</f>
        <v xml:space="preserve">          6006 - TEMPORARY PART TIME</v>
      </c>
      <c r="C77" s="9"/>
      <c r="D77" s="6"/>
      <c r="E77" s="3"/>
      <c r="F77" s="7">
        <f t="shared" si="12"/>
        <v>0</v>
      </c>
      <c r="G77" s="3"/>
      <c r="H77" s="6"/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/>
      <c r="Q77" s="3"/>
      <c r="R77" s="7">
        <f t="shared" si="16"/>
        <v>0</v>
      </c>
      <c r="S77" s="3"/>
      <c r="T77" s="6">
        <v>914.04</v>
      </c>
      <c r="U77" s="3"/>
      <c r="V77" s="7">
        <f t="shared" si="17"/>
        <v>3.3269488920571164E-4</v>
      </c>
      <c r="W77" s="3"/>
      <c r="X77" s="6">
        <f t="shared" si="18"/>
        <v>-914.04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1"/>
      <c r="B78" s="9" t="str">
        <f>CONCATENATE("          ","6007"," - ","STUDENT HOURLY")</f>
        <v xml:space="preserve">          6007 - STUDENT HOURLY</v>
      </c>
      <c r="C78" s="9"/>
      <c r="D78" s="6">
        <v>1603.84</v>
      </c>
      <c r="E78" s="3"/>
      <c r="F78" s="7">
        <f t="shared" si="12"/>
        <v>3.4715151515151499</v>
      </c>
      <c r="G78" s="3"/>
      <c r="H78" s="6">
        <v>92.12</v>
      </c>
      <c r="I78" s="3"/>
      <c r="J78" s="7">
        <f t="shared" si="13"/>
        <v>2.2735910991327199E-2</v>
      </c>
      <c r="K78" s="3"/>
      <c r="L78" s="6">
        <f t="shared" si="14"/>
        <v>1511.7199999999998</v>
      </c>
      <c r="M78" s="3"/>
      <c r="N78" s="7">
        <f t="shared" si="15"/>
        <v>16.410334346504555</v>
      </c>
      <c r="O78" s="9"/>
      <c r="P78" s="6">
        <v>28472.17</v>
      </c>
      <c r="Q78" s="3"/>
      <c r="R78" s="7">
        <f t="shared" si="16"/>
        <v>1.2734521015334045E-2</v>
      </c>
      <c r="S78" s="3"/>
      <c r="T78" s="6">
        <v>25129.040000000001</v>
      </c>
      <c r="U78" s="3"/>
      <c r="V78" s="7">
        <f t="shared" si="17"/>
        <v>9.1465397341975157E-3</v>
      </c>
      <c r="W78" s="3"/>
      <c r="X78" s="6">
        <f t="shared" si="18"/>
        <v>3343.1299999999974</v>
      </c>
      <c r="Y78" s="3"/>
      <c r="Z78" s="7">
        <f t="shared" si="19"/>
        <v>0.13303850843486251</v>
      </c>
    </row>
    <row r="79" spans="1:26" s="69" customFormat="1" ht="15" hidden="1" customHeight="1" outlineLevel="2" x14ac:dyDescent="0.3">
      <c r="A79" s="21"/>
      <c r="B79" s="9" t="str">
        <f>CONCATENATE("          ","6008"," - ","STUDENT HOURLY-FICA EXEMPT")</f>
        <v xml:space="preserve">          6008 - STUDENT HOURLY-FICA EXEMPT</v>
      </c>
      <c r="C79" s="9"/>
      <c r="D79" s="6"/>
      <c r="E79" s="3"/>
      <c r="F79" s="7">
        <f t="shared" si="12"/>
        <v>0</v>
      </c>
      <c r="G79" s="3"/>
      <c r="H79" s="6"/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>
        <v>3966.48</v>
      </c>
      <c r="Q79" s="3"/>
      <c r="R79" s="7">
        <f t="shared" si="16"/>
        <v>1.774055961203596E-3</v>
      </c>
      <c r="S79" s="3"/>
      <c r="T79" s="6">
        <v>967.26</v>
      </c>
      <c r="U79" s="3"/>
      <c r="V79" s="7">
        <f t="shared" si="17"/>
        <v>3.5206605677335419E-4</v>
      </c>
      <c r="W79" s="3"/>
      <c r="X79" s="6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0"/>
      <c r="B80" s="11" t="str">
        <f>CONCATENATE("     ","Advertising/Promo                                 ")</f>
        <v xml:space="preserve">     Advertising/Promo                                 </v>
      </c>
      <c r="C80" s="11"/>
      <c r="D80" s="2">
        <f>SUM(OSRRefD22_2x_0)</f>
        <v>82.68</v>
      </c>
      <c r="E80" s="2"/>
      <c r="F80" s="5">
        <f t="shared" si="12"/>
        <v>0.1789610389610389</v>
      </c>
      <c r="G80" s="2"/>
      <c r="H80" s="2">
        <f>SUM(OSRRefH22_2x_0)</f>
        <v>0</v>
      </c>
      <c r="I80" s="2"/>
      <c r="J80" s="5">
        <f t="shared" si="13"/>
        <v>0</v>
      </c>
      <c r="K80" s="2"/>
      <c r="L80" s="2">
        <f t="shared" si="14"/>
        <v>82.68</v>
      </c>
      <c r="M80" s="2"/>
      <c r="N80" s="5">
        <f t="shared" si="15"/>
        <v>0</v>
      </c>
      <c r="O80" s="11"/>
      <c r="P80" s="2">
        <f>SUM(OSRRefP22_2x_0)</f>
        <v>1047.68</v>
      </c>
      <c r="Q80" s="2"/>
      <c r="R80" s="5">
        <f t="shared" si="16"/>
        <v>4.6858750061358777E-4</v>
      </c>
      <c r="S80" s="2"/>
      <c r="T80" s="2">
        <f>SUM(OSRRefT22_2x_0)</f>
        <v>2380.9899999999998</v>
      </c>
      <c r="U80" s="2"/>
      <c r="V80" s="5">
        <f t="shared" si="17"/>
        <v>8.6663953902444898E-4</v>
      </c>
      <c r="W80" s="2"/>
      <c r="X80" s="2">
        <f t="shared" si="18"/>
        <v>-1333.3099999999997</v>
      </c>
      <c r="Y80" s="2"/>
      <c r="Z80" s="5">
        <f t="shared" si="19"/>
        <v>-0.55998135229463364</v>
      </c>
    </row>
    <row r="81" spans="1:26" s="69" customFormat="1" ht="15" hidden="1" customHeight="1" outlineLevel="2" x14ac:dyDescent="0.3">
      <c r="A81" s="21"/>
      <c r="B81" s="9" t="str">
        <f>CONCATENATE("          ","6362"," - ","ADVERTISING EXPENSE")</f>
        <v xml:space="preserve">          6362 - ADVERTISING EXPENSE</v>
      </c>
      <c r="C81" s="9"/>
      <c r="D81" s="6">
        <v>82.68</v>
      </c>
      <c r="E81" s="3"/>
      <c r="F81" s="7">
        <f t="shared" si="12"/>
        <v>0.1789610389610389</v>
      </c>
      <c r="G81" s="3"/>
      <c r="H81" s="6"/>
      <c r="I81" s="3"/>
      <c r="J81" s="7">
        <f t="shared" si="13"/>
        <v>0</v>
      </c>
      <c r="K81" s="3"/>
      <c r="L81" s="6">
        <f t="shared" si="14"/>
        <v>82.68</v>
      </c>
      <c r="M81" s="3"/>
      <c r="N81" s="7">
        <f t="shared" si="15"/>
        <v>0</v>
      </c>
      <c r="O81" s="9"/>
      <c r="P81" s="6">
        <v>1047.68</v>
      </c>
      <c r="Q81" s="3"/>
      <c r="R81" s="7">
        <f t="shared" si="16"/>
        <v>4.6858750061358777E-4</v>
      </c>
      <c r="S81" s="3"/>
      <c r="T81" s="6">
        <v>2380.9899999999998</v>
      </c>
      <c r="U81" s="3"/>
      <c r="V81" s="7">
        <f t="shared" si="17"/>
        <v>8.6663953902444898E-4</v>
      </c>
      <c r="W81" s="3"/>
      <c r="X81" s="6">
        <f t="shared" si="18"/>
        <v>-1333.3099999999997</v>
      </c>
      <c r="Y81" s="3"/>
      <c r="Z81" s="7">
        <f t="shared" si="19"/>
        <v>-0.55998135229463364</v>
      </c>
    </row>
    <row r="82" spans="1:26" s="68" customFormat="1" ht="15" customHeight="1" outlineLevel="1" collapsed="1" x14ac:dyDescent="0.3">
      <c r="A82" s="20"/>
      <c r="B82" s="11" t="str">
        <f>CONCATENATE("     ","Discounts and Markdowns                           ")</f>
        <v xml:space="preserve">     Discounts and Markdowns                           </v>
      </c>
      <c r="C82" s="11"/>
      <c r="D82" s="2">
        <f>SUM(OSRRefD22_3x_0)</f>
        <v>0</v>
      </c>
      <c r="E82" s="2"/>
      <c r="F82" s="5">
        <f t="shared" si="12"/>
        <v>0</v>
      </c>
      <c r="G82" s="2"/>
      <c r="H82" s="2">
        <f>SUM(OSRRefH22_3x_0)</f>
        <v>0</v>
      </c>
      <c r="I82" s="2"/>
      <c r="J82" s="5">
        <f t="shared" si="13"/>
        <v>0</v>
      </c>
      <c r="K82" s="2"/>
      <c r="L82" s="2">
        <f t="shared" si="14"/>
        <v>0</v>
      </c>
      <c r="M82" s="2"/>
      <c r="N82" s="5">
        <f t="shared" si="15"/>
        <v>0</v>
      </c>
      <c r="O82" s="11"/>
      <c r="P82" s="2">
        <f>SUM(OSRRefP22_3x_0)</f>
        <v>1.35</v>
      </c>
      <c r="Q82" s="2"/>
      <c r="R82" s="5">
        <f t="shared" si="16"/>
        <v>6.0380376243542251E-7</v>
      </c>
      <c r="S82" s="2"/>
      <c r="T82" s="2">
        <f>SUM(OSRRefT22_3x_0)</f>
        <v>0</v>
      </c>
      <c r="U82" s="2"/>
      <c r="V82" s="5">
        <f t="shared" si="17"/>
        <v>0</v>
      </c>
      <c r="W82" s="2"/>
      <c r="X82" s="2">
        <f t="shared" si="18"/>
        <v>1.35</v>
      </c>
      <c r="Y82" s="2"/>
      <c r="Z82" s="5">
        <f t="shared" si="19"/>
        <v>0</v>
      </c>
    </row>
    <row r="83" spans="1:26" s="69" customFormat="1" ht="15" hidden="1" customHeight="1" outlineLevel="2" x14ac:dyDescent="0.3">
      <c r="A83" s="21"/>
      <c r="B83" s="9" t="str">
        <f>CONCATENATE("          ","6382"," - ","DISCOUNTS/MARK DOWNS")</f>
        <v xml:space="preserve">          6382 - DISCOUNTS/MARK DOWNS</v>
      </c>
      <c r="C83" s="9"/>
      <c r="D83" s="6"/>
      <c r="E83" s="3"/>
      <c r="F83" s="7">
        <f t="shared" si="12"/>
        <v>0</v>
      </c>
      <c r="G83" s="3"/>
      <c r="H83" s="6">
        <v>0</v>
      </c>
      <c r="I83" s="3"/>
      <c r="J83" s="7">
        <f t="shared" si="13"/>
        <v>0</v>
      </c>
      <c r="K83" s="3"/>
      <c r="L83" s="6">
        <f t="shared" si="14"/>
        <v>0</v>
      </c>
      <c r="M83" s="3"/>
      <c r="N83" s="7">
        <f t="shared" si="15"/>
        <v>0</v>
      </c>
      <c r="O83" s="9"/>
      <c r="P83" s="6">
        <v>1.35</v>
      </c>
      <c r="Q83" s="3"/>
      <c r="R83" s="7">
        <f t="shared" si="16"/>
        <v>6.0380376243542251E-7</v>
      </c>
      <c r="S83" s="3"/>
      <c r="T83" s="6">
        <v>0</v>
      </c>
      <c r="U83" s="3"/>
      <c r="V83" s="7">
        <f t="shared" si="17"/>
        <v>0</v>
      </c>
      <c r="W83" s="3"/>
      <c r="X83" s="6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1"/>
      <c r="B84" s="9" t="str">
        <f>CONCATENATE("          ","9175"," - ","EARNED DISCOUNTS")</f>
        <v xml:space="preserve">          9175 - EARNED DISCOUNTS</v>
      </c>
      <c r="C84" s="9"/>
      <c r="D84" s="6"/>
      <c r="E84" s="3"/>
      <c r="F84" s="7">
        <f t="shared" si="12"/>
        <v>0</v>
      </c>
      <c r="G84" s="3"/>
      <c r="H84" s="6"/>
      <c r="I84" s="3"/>
      <c r="J84" s="7">
        <f t="shared" si="13"/>
        <v>0</v>
      </c>
      <c r="K84" s="3"/>
      <c r="L84" s="6">
        <f t="shared" si="14"/>
        <v>0</v>
      </c>
      <c r="M84" s="3"/>
      <c r="N84" s="7">
        <f t="shared" si="15"/>
        <v>0</v>
      </c>
      <c r="O84" s="9"/>
      <c r="P84" s="6"/>
      <c r="Q84" s="3"/>
      <c r="R84" s="7">
        <f t="shared" si="16"/>
        <v>0</v>
      </c>
      <c r="S84" s="3"/>
      <c r="T84" s="6">
        <v>0</v>
      </c>
      <c r="U84" s="3"/>
      <c r="V84" s="7">
        <f t="shared" si="17"/>
        <v>0</v>
      </c>
      <c r="W84" s="3"/>
      <c r="X84" s="6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0"/>
      <c r="B85" s="11" t="str">
        <f>CONCATENATE("     ","Employees' Appreciation                           ")</f>
        <v xml:space="preserve">     Employees' Appreciation                           </v>
      </c>
      <c r="C85" s="11"/>
      <c r="D85" s="2">
        <f>SUM(OSRRefD22_4x_0)</f>
        <v>0</v>
      </c>
      <c r="E85" s="2"/>
      <c r="F85" s="5">
        <f t="shared" si="12"/>
        <v>0</v>
      </c>
      <c r="G85" s="2"/>
      <c r="H85" s="2">
        <f>SUM(OSRRefH22_4x_0)</f>
        <v>0</v>
      </c>
      <c r="I85" s="2"/>
      <c r="J85" s="5">
        <f t="shared" si="13"/>
        <v>0</v>
      </c>
      <c r="K85" s="2"/>
      <c r="L85" s="2">
        <f t="shared" si="14"/>
        <v>0</v>
      </c>
      <c r="M85" s="2"/>
      <c r="N85" s="5">
        <f t="shared" si="15"/>
        <v>0</v>
      </c>
      <c r="O85" s="11"/>
      <c r="P85" s="2">
        <f>SUM(OSRRefP22_4x_0)</f>
        <v>0</v>
      </c>
      <c r="Q85" s="2"/>
      <c r="R85" s="5">
        <f t="shared" si="16"/>
        <v>0</v>
      </c>
      <c r="S85" s="2"/>
      <c r="T85" s="2">
        <f>SUM(OSRRefT22_4x_0)</f>
        <v>107.7</v>
      </c>
      <c r="U85" s="2"/>
      <c r="V85" s="5">
        <f t="shared" si="17"/>
        <v>3.9200953533166106E-5</v>
      </c>
      <c r="W85" s="2"/>
      <c r="X85" s="2">
        <f t="shared" si="18"/>
        <v>-107.7</v>
      </c>
      <c r="Y85" s="2"/>
      <c r="Z85" s="5">
        <f t="shared" si="19"/>
        <v>-1</v>
      </c>
    </row>
    <row r="86" spans="1:26" s="69" customFormat="1" ht="15" hidden="1" customHeight="1" outlineLevel="2" x14ac:dyDescent="0.3">
      <c r="A86" s="21"/>
      <c r="B86" s="9" t="str">
        <f>CONCATENATE("          ","6277"," - ","EMPLOYEE APPRECIATION")</f>
        <v xml:space="preserve">          6277 - EMPLOYEE APPRECIATION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/>
      <c r="Q86" s="3"/>
      <c r="R86" s="7">
        <f t="shared" si="16"/>
        <v>0</v>
      </c>
      <c r="S86" s="3"/>
      <c r="T86" s="6">
        <v>107.7</v>
      </c>
      <c r="U86" s="3"/>
      <c r="V86" s="7">
        <f t="shared" si="17"/>
        <v>3.9200953533166106E-5</v>
      </c>
      <c r="W86" s="3"/>
      <c r="X86" s="6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0"/>
      <c r="B87" s="11" t="str">
        <f>CONCATENATE("     ","Equipment Rental                                  ")</f>
        <v xml:space="preserve">     Equipment Rental                                  </v>
      </c>
      <c r="C87" s="11"/>
      <c r="D87" s="2">
        <f>SUM(OSRRefD22_5x_0)</f>
        <v>-11.92</v>
      </c>
      <c r="E87" s="2"/>
      <c r="F87" s="5">
        <f t="shared" si="12"/>
        <v>-2.580086580086579E-2</v>
      </c>
      <c r="G87" s="2"/>
      <c r="H87" s="2">
        <f>SUM(OSRRefH22_5x_0)</f>
        <v>91.26</v>
      </c>
      <c r="I87" s="2"/>
      <c r="J87" s="5">
        <f t="shared" si="13"/>
        <v>2.2523656503132004E-2</v>
      </c>
      <c r="K87" s="2"/>
      <c r="L87" s="2">
        <f t="shared" si="14"/>
        <v>-103.18</v>
      </c>
      <c r="M87" s="2"/>
      <c r="N87" s="5">
        <f t="shared" si="15"/>
        <v>-1.1306158229235153</v>
      </c>
      <c r="O87" s="11"/>
      <c r="P87" s="2">
        <f>SUM(OSRRefP22_5x_0)</f>
        <v>991.94</v>
      </c>
      <c r="Q87" s="2"/>
      <c r="R87" s="5">
        <f t="shared" si="16"/>
        <v>4.4365711415569854E-4</v>
      </c>
      <c r="S87" s="2"/>
      <c r="T87" s="2">
        <f>SUM(OSRRefT22_5x_0)</f>
        <v>1095.1199999999999</v>
      </c>
      <c r="U87" s="2"/>
      <c r="V87" s="5">
        <f t="shared" si="17"/>
        <v>3.9860490467261709E-4</v>
      </c>
      <c r="W87" s="2"/>
      <c r="X87" s="2">
        <f t="shared" si="18"/>
        <v>-103.17999999999984</v>
      </c>
      <c r="Y87" s="2"/>
      <c r="Z87" s="5">
        <f t="shared" si="19"/>
        <v>-9.4217985243626123E-2</v>
      </c>
    </row>
    <row r="88" spans="1:26" s="69" customFormat="1" ht="15" hidden="1" customHeight="1" outlineLevel="2" x14ac:dyDescent="0.3">
      <c r="A88" s="21"/>
      <c r="B88" s="9" t="str">
        <f>CONCATENATE("          ","6351"," - ","EQUIPMENT RENTAL")</f>
        <v xml:space="preserve">          6351 - EQUIPMENT RENTAL</v>
      </c>
      <c r="C88" s="9"/>
      <c r="D88" s="6">
        <v>-11.92</v>
      </c>
      <c r="E88" s="3"/>
      <c r="F88" s="7">
        <f t="shared" si="12"/>
        <v>-2.580086580086579E-2</v>
      </c>
      <c r="G88" s="3"/>
      <c r="H88" s="6">
        <v>91.26</v>
      </c>
      <c r="I88" s="3"/>
      <c r="J88" s="7">
        <f t="shared" si="13"/>
        <v>2.2523656503132004E-2</v>
      </c>
      <c r="K88" s="3"/>
      <c r="L88" s="6">
        <f t="shared" si="14"/>
        <v>-103.18</v>
      </c>
      <c r="M88" s="3"/>
      <c r="N88" s="7">
        <f t="shared" si="15"/>
        <v>-1.1306158229235153</v>
      </c>
      <c r="O88" s="9"/>
      <c r="P88" s="6">
        <v>991.94</v>
      </c>
      <c r="Q88" s="3"/>
      <c r="R88" s="7">
        <f t="shared" si="16"/>
        <v>4.4365711415569854E-4</v>
      </c>
      <c r="S88" s="3"/>
      <c r="T88" s="6">
        <v>1095.1199999999999</v>
      </c>
      <c r="U88" s="3"/>
      <c r="V88" s="7">
        <f t="shared" si="17"/>
        <v>3.9860490467261709E-4</v>
      </c>
      <c r="W88" s="3"/>
      <c r="X88" s="6">
        <f t="shared" si="18"/>
        <v>-103.17999999999984</v>
      </c>
      <c r="Y88" s="3"/>
      <c r="Z88" s="7">
        <f t="shared" si="19"/>
        <v>-9.4217985243626123E-2</v>
      </c>
    </row>
    <row r="89" spans="1:26" s="68" customFormat="1" ht="15" customHeight="1" outlineLevel="1" collapsed="1" x14ac:dyDescent="0.3">
      <c r="A89" s="20"/>
      <c r="B89" s="11" t="str">
        <f>CONCATENATE("     ","Freight out/Postage                               ")</f>
        <v xml:space="preserve">     Freight out/Postage                               </v>
      </c>
      <c r="C89" s="11"/>
      <c r="D89" s="2">
        <f>SUM(OSRRefD22_6x_0)</f>
        <v>7559.75</v>
      </c>
      <c r="E89" s="2"/>
      <c r="F89" s="5">
        <f t="shared" si="12"/>
        <v>16.363095238095234</v>
      </c>
      <c r="G89" s="2"/>
      <c r="H89" s="2">
        <f>SUM(OSRRefH22_6x_0)</f>
        <v>0</v>
      </c>
      <c r="I89" s="2"/>
      <c r="J89" s="5">
        <f t="shared" si="13"/>
        <v>0</v>
      </c>
      <c r="K89" s="2"/>
      <c r="L89" s="2">
        <f t="shared" si="14"/>
        <v>7559.75</v>
      </c>
      <c r="M89" s="2"/>
      <c r="N89" s="5">
        <f t="shared" si="15"/>
        <v>0</v>
      </c>
      <c r="O89" s="11"/>
      <c r="P89" s="2">
        <f>SUM(OSRRefP22_6x_0)</f>
        <v>20765.87</v>
      </c>
      <c r="Q89" s="2"/>
      <c r="R89" s="5">
        <f t="shared" si="16"/>
        <v>9.287785508329531E-3</v>
      </c>
      <c r="S89" s="2"/>
      <c r="T89" s="2">
        <f>SUM(OSRRefT22_6x_0)</f>
        <v>26453.74</v>
      </c>
      <c r="U89" s="2"/>
      <c r="V89" s="5">
        <f t="shared" si="17"/>
        <v>9.6287078228269041E-3</v>
      </c>
      <c r="W89" s="2"/>
      <c r="X89" s="2">
        <f t="shared" si="18"/>
        <v>-5687.8700000000026</v>
      </c>
      <c r="Y89" s="2"/>
      <c r="Z89" s="5">
        <f t="shared" si="19"/>
        <v>-0.21501194160069625</v>
      </c>
    </row>
    <row r="90" spans="1:26" s="69" customFormat="1" ht="15" hidden="1" customHeight="1" outlineLevel="2" x14ac:dyDescent="0.3">
      <c r="A90" s="21"/>
      <c r="B90" s="9" t="str">
        <f>CONCATENATE("          ","6305"," - ","FREIGHT OUT")</f>
        <v xml:space="preserve">          6305 - FREIGHT OUT</v>
      </c>
      <c r="C90" s="9"/>
      <c r="D90" s="6">
        <v>7559.75</v>
      </c>
      <c r="E90" s="3"/>
      <c r="F90" s="7">
        <f t="shared" si="12"/>
        <v>16.363095238095234</v>
      </c>
      <c r="G90" s="3"/>
      <c r="H90" s="6"/>
      <c r="I90" s="3"/>
      <c r="J90" s="7">
        <f t="shared" si="13"/>
        <v>0</v>
      </c>
      <c r="K90" s="3"/>
      <c r="L90" s="6">
        <f t="shared" si="14"/>
        <v>7559.75</v>
      </c>
      <c r="M90" s="3"/>
      <c r="N90" s="7">
        <f t="shared" si="15"/>
        <v>0</v>
      </c>
      <c r="O90" s="9"/>
      <c r="P90" s="6">
        <v>20764.28</v>
      </c>
      <c r="Q90" s="3"/>
      <c r="R90" s="7">
        <f t="shared" si="16"/>
        <v>9.2870743616759958E-3</v>
      </c>
      <c r="S90" s="3"/>
      <c r="T90" s="6">
        <v>26453.24</v>
      </c>
      <c r="U90" s="3"/>
      <c r="V90" s="7">
        <f t="shared" si="17"/>
        <v>9.6285258313991724E-3</v>
      </c>
      <c r="W90" s="3"/>
      <c r="X90" s="6">
        <f t="shared" si="18"/>
        <v>-5688.9600000000028</v>
      </c>
      <c r="Y90" s="3"/>
      <c r="Z90" s="7">
        <f t="shared" si="19"/>
        <v>-0.21505721038330286</v>
      </c>
    </row>
    <row r="91" spans="1:26" s="69" customFormat="1" ht="15" hidden="1" customHeight="1" outlineLevel="2" x14ac:dyDescent="0.3">
      <c r="A91" s="21"/>
      <c r="B91" s="9" t="str">
        <f>CONCATENATE("          ","6307"," - ","POSTAGE")</f>
        <v xml:space="preserve">          6307 - POSTAGE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1.59</v>
      </c>
      <c r="Q91" s="3"/>
      <c r="R91" s="7">
        <f t="shared" si="16"/>
        <v>7.1114665353505313E-7</v>
      </c>
      <c r="S91" s="3"/>
      <c r="T91" s="6">
        <v>0.5</v>
      </c>
      <c r="U91" s="3"/>
      <c r="V91" s="7">
        <f t="shared" si="17"/>
        <v>1.8199142773057615E-7</v>
      </c>
      <c r="W91" s="3"/>
      <c r="X91" s="6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0"/>
      <c r="B92" s="11" t="str">
        <f>CONCATENATE("     ","General                                           ")</f>
        <v xml:space="preserve">     General                                           </v>
      </c>
      <c r="C92" s="11"/>
      <c r="D92" s="2">
        <f>SUM(OSRRefD22_7x_0)</f>
        <v>0</v>
      </c>
      <c r="E92" s="2"/>
      <c r="F92" s="5">
        <f t="shared" si="12"/>
        <v>0</v>
      </c>
      <c r="G92" s="2"/>
      <c r="H92" s="2">
        <f>SUM(OSRRefH22_7x_0)</f>
        <v>-3391.74</v>
      </c>
      <c r="I92" s="2"/>
      <c r="J92" s="5">
        <f t="shared" si="13"/>
        <v>-0.83710702068740883</v>
      </c>
      <c r="K92" s="2"/>
      <c r="L92" s="2">
        <f t="shared" si="14"/>
        <v>3391.74</v>
      </c>
      <c r="M92" s="2"/>
      <c r="N92" s="5">
        <f t="shared" si="15"/>
        <v>-1</v>
      </c>
      <c r="O92" s="11"/>
      <c r="P92" s="2">
        <f>SUM(OSRRefP22_7x_0)</f>
        <v>0</v>
      </c>
      <c r="Q92" s="2"/>
      <c r="R92" s="5">
        <f t="shared" si="16"/>
        <v>0</v>
      </c>
      <c r="S92" s="2"/>
      <c r="T92" s="2">
        <f>SUM(OSRRefT22_7x_0)</f>
        <v>-4434.76</v>
      </c>
      <c r="U92" s="2"/>
      <c r="V92" s="5">
        <f t="shared" si="17"/>
        <v>-1.6141766080848999E-3</v>
      </c>
      <c r="W92" s="2"/>
      <c r="X92" s="2">
        <f t="shared" si="18"/>
        <v>4434.76</v>
      </c>
      <c r="Y92" s="2"/>
      <c r="Z92" s="5">
        <f t="shared" si="19"/>
        <v>-1</v>
      </c>
    </row>
    <row r="93" spans="1:26" s="69" customFormat="1" ht="15" hidden="1" customHeight="1" outlineLevel="2" x14ac:dyDescent="0.3">
      <c r="A93" s="21"/>
      <c r="B93" s="9" t="str">
        <f>CONCATENATE("          ","6279"," - ","GENERAL EXPENSE")</f>
        <v xml:space="preserve">          6279 - GENERAL EXPENSE</v>
      </c>
      <c r="C93" s="9"/>
      <c r="D93" s="6"/>
      <c r="E93" s="3"/>
      <c r="F93" s="7">
        <f t="shared" ref="F93:F112" si="20">IF(D$12=0,0,D93/D$12)</f>
        <v>0</v>
      </c>
      <c r="G93" s="3"/>
      <c r="H93" s="6">
        <v>-3391.74</v>
      </c>
      <c r="I93" s="3"/>
      <c r="J93" s="7">
        <f t="shared" ref="J93:J112" si="21">IF(H$12=0,0,H93/H$12)</f>
        <v>-0.83710702068740883</v>
      </c>
      <c r="K93" s="3"/>
      <c r="L93" s="6">
        <f t="shared" ref="L93:L112" si="22">+D93-H93</f>
        <v>3391.74</v>
      </c>
      <c r="M93" s="3"/>
      <c r="N93" s="7">
        <f t="shared" ref="N93:N112" si="23">IF(H93=0,0,L93/H93)</f>
        <v>-1</v>
      </c>
      <c r="O93" s="9"/>
      <c r="P93" s="6"/>
      <c r="Q93" s="3"/>
      <c r="R93" s="7">
        <f t="shared" ref="R93:R112" si="24">IF(P$12=0,0,P93/P$12)</f>
        <v>0</v>
      </c>
      <c r="S93" s="3"/>
      <c r="T93" s="6">
        <v>-4434.76</v>
      </c>
      <c r="U93" s="3"/>
      <c r="V93" s="7">
        <f t="shared" ref="V93:V112" si="25">IF(T$12=0,0,T93/T$12)</f>
        <v>-1.6141766080848999E-3</v>
      </c>
      <c r="W93" s="3"/>
      <c r="X93" s="6">
        <f t="shared" ref="X93:X112" si="26">+P93-T93</f>
        <v>4434.76</v>
      </c>
      <c r="Y93" s="3"/>
      <c r="Z93" s="7">
        <f t="shared" ref="Z93:Z112" si="27">IF(T93=0,0,X93/T93)</f>
        <v>-1</v>
      </c>
    </row>
    <row r="94" spans="1:26" s="68" customFormat="1" ht="15" customHeight="1" outlineLevel="1" collapsed="1" x14ac:dyDescent="0.3">
      <c r="A94" s="20"/>
      <c r="B94" s="11" t="str">
        <f>CONCATENATE("     ","Inventory Adjustment                              ")</f>
        <v xml:space="preserve">     Inventory Adjustment                              </v>
      </c>
      <c r="C94" s="11"/>
      <c r="D94" s="2">
        <f>SUM(OSRRefD22_8x_0)</f>
        <v>-15000</v>
      </c>
      <c r="E94" s="2"/>
      <c r="F94" s="5">
        <f t="shared" si="20"/>
        <v>-32.467532467532457</v>
      </c>
      <c r="G94" s="2"/>
      <c r="H94" s="2">
        <f>SUM(OSRRefH22_8x_0)</f>
        <v>-16000</v>
      </c>
      <c r="I94" s="2"/>
      <c r="J94" s="5">
        <f t="shared" si="21"/>
        <v>-3.9489207106082844</v>
      </c>
      <c r="K94" s="2"/>
      <c r="L94" s="2">
        <f t="shared" si="22"/>
        <v>1000</v>
      </c>
      <c r="M94" s="2"/>
      <c r="N94" s="5">
        <f t="shared" si="23"/>
        <v>-6.25E-2</v>
      </c>
      <c r="O94" s="11"/>
      <c r="P94" s="2">
        <f>SUM(OSRRefP22_8x_0)</f>
        <v>0</v>
      </c>
      <c r="Q94" s="2"/>
      <c r="R94" s="5">
        <f t="shared" si="24"/>
        <v>0</v>
      </c>
      <c r="S94" s="2"/>
      <c r="T94" s="2">
        <f>SUM(OSRRefT22_8x_0)</f>
        <v>0</v>
      </c>
      <c r="U94" s="2"/>
      <c r="V94" s="5">
        <f t="shared" si="25"/>
        <v>0</v>
      </c>
      <c r="W94" s="2"/>
      <c r="X94" s="2">
        <f t="shared" si="26"/>
        <v>0</v>
      </c>
      <c r="Y94" s="2"/>
      <c r="Z94" s="5">
        <f t="shared" si="27"/>
        <v>0</v>
      </c>
    </row>
    <row r="95" spans="1:26" s="69" customFormat="1" ht="15" hidden="1" customHeight="1" outlineLevel="2" x14ac:dyDescent="0.3">
      <c r="A95" s="21"/>
      <c r="B95" s="9" t="str">
        <f>CONCATENATE("          ","6408"," - ","INVENTORY ADJUSTMENT")</f>
        <v xml:space="preserve">          6408 - INVENTORY ADJUSTMENT</v>
      </c>
      <c r="C95" s="9"/>
      <c r="D95" s="6">
        <v>-15000</v>
      </c>
      <c r="E95" s="3"/>
      <c r="F95" s="7">
        <f t="shared" si="20"/>
        <v>-32.467532467532457</v>
      </c>
      <c r="G95" s="3"/>
      <c r="H95" s="6">
        <v>-16000</v>
      </c>
      <c r="I95" s="3"/>
      <c r="J95" s="7">
        <f t="shared" si="21"/>
        <v>-3.9489207106082844</v>
      </c>
      <c r="K95" s="3"/>
      <c r="L95" s="6">
        <f t="shared" si="22"/>
        <v>1000</v>
      </c>
      <c r="M95" s="3"/>
      <c r="N95" s="7">
        <f t="shared" si="23"/>
        <v>-6.25E-2</v>
      </c>
      <c r="O95" s="9"/>
      <c r="P95" s="6">
        <v>0</v>
      </c>
      <c r="Q95" s="3"/>
      <c r="R95" s="7">
        <f t="shared" si="24"/>
        <v>0</v>
      </c>
      <c r="S95" s="3"/>
      <c r="T95" s="6">
        <v>0</v>
      </c>
      <c r="U95" s="3"/>
      <c r="V95" s="7">
        <f t="shared" si="25"/>
        <v>0</v>
      </c>
      <c r="W95" s="3"/>
      <c r="X95" s="6">
        <f t="shared" si="26"/>
        <v>0</v>
      </c>
      <c r="Y95" s="3"/>
      <c r="Z95" s="7">
        <f t="shared" si="27"/>
        <v>0</v>
      </c>
    </row>
    <row r="96" spans="1:26" s="68" customFormat="1" ht="15" customHeight="1" outlineLevel="1" collapsed="1" x14ac:dyDescent="0.3">
      <c r="A96" s="20"/>
      <c r="B96" s="11" t="str">
        <f>CONCATENATE("     ","Repair and Maintenance                            ")</f>
        <v xml:space="preserve">     Repair and Maintenance                            </v>
      </c>
      <c r="C96" s="11"/>
      <c r="D96" s="2">
        <f>SUM(OSRRefD22_9x_0)</f>
        <v>93.41</v>
      </c>
      <c r="E96" s="2"/>
      <c r="F96" s="5">
        <f t="shared" si="20"/>
        <v>0.20218614718614711</v>
      </c>
      <c r="G96" s="2"/>
      <c r="H96" s="2">
        <f>SUM(OSRRefH22_9x_0)</f>
        <v>10.35</v>
      </c>
      <c r="I96" s="2"/>
      <c r="J96" s="5">
        <f t="shared" si="21"/>
        <v>2.5544580846747337E-3</v>
      </c>
      <c r="K96" s="2"/>
      <c r="L96" s="2">
        <f t="shared" si="22"/>
        <v>83.06</v>
      </c>
      <c r="M96" s="2"/>
      <c r="N96" s="5">
        <f t="shared" si="23"/>
        <v>8.0251207729468597</v>
      </c>
      <c r="O96" s="11"/>
      <c r="P96" s="2">
        <f>SUM(OSRRefP22_9x_0)</f>
        <v>6177.66</v>
      </c>
      <c r="Q96" s="2"/>
      <c r="R96" s="5">
        <f t="shared" si="24"/>
        <v>2.7630328526272682E-3</v>
      </c>
      <c r="S96" s="2"/>
      <c r="T96" s="2">
        <f>SUM(OSRRefT22_9x_0)</f>
        <v>487.34000000000003</v>
      </c>
      <c r="U96" s="2"/>
      <c r="V96" s="5">
        <f t="shared" si="25"/>
        <v>1.7738340478043799E-4</v>
      </c>
      <c r="W96" s="2"/>
      <c r="X96" s="2">
        <f t="shared" si="26"/>
        <v>5690.32</v>
      </c>
      <c r="Y96" s="2"/>
      <c r="Z96" s="5">
        <f t="shared" si="27"/>
        <v>11.676283498173758</v>
      </c>
    </row>
    <row r="97" spans="1:26" s="69" customFormat="1" ht="15" hidden="1" customHeight="1" outlineLevel="2" x14ac:dyDescent="0.3">
      <c r="A97" s="21"/>
      <c r="B97" s="9" t="str">
        <f>CONCATENATE("          ","6371"," - ","COMPUTER SOFTWARE MAINTENANCE")</f>
        <v xml:space="preserve">          6371 - COMPUTER SOFTWARE MAINTENANCE</v>
      </c>
      <c r="C97" s="9"/>
      <c r="D97" s="6"/>
      <c r="E97" s="3"/>
      <c r="F97" s="7">
        <f t="shared" si="20"/>
        <v>0</v>
      </c>
      <c r="G97" s="3"/>
      <c r="H97" s="6"/>
      <c r="I97" s="3"/>
      <c r="J97" s="7">
        <f t="shared" si="21"/>
        <v>0</v>
      </c>
      <c r="K97" s="3"/>
      <c r="L97" s="6">
        <f t="shared" si="22"/>
        <v>0</v>
      </c>
      <c r="M97" s="3"/>
      <c r="N97" s="7">
        <f t="shared" si="23"/>
        <v>0</v>
      </c>
      <c r="O97" s="9"/>
      <c r="P97" s="6">
        <v>5775</v>
      </c>
      <c r="Q97" s="3"/>
      <c r="R97" s="7">
        <f t="shared" si="24"/>
        <v>2.5829383170848626E-3</v>
      </c>
      <c r="S97" s="3"/>
      <c r="T97" s="6"/>
      <c r="U97" s="3"/>
      <c r="V97" s="7">
        <f t="shared" si="25"/>
        <v>0</v>
      </c>
      <c r="W97" s="3"/>
      <c r="X97" s="6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1"/>
      <c r="B98" s="9" t="str">
        <f>CONCATENATE("          ","6373"," - ","MAINTENANCE CONTRACTS")</f>
        <v xml:space="preserve">          6373 - MAINTENANCE CONTRACTS</v>
      </c>
      <c r="C98" s="9"/>
      <c r="D98" s="6">
        <v>93.41</v>
      </c>
      <c r="E98" s="3"/>
      <c r="F98" s="7">
        <f t="shared" si="20"/>
        <v>0.20218614718614711</v>
      </c>
      <c r="G98" s="3"/>
      <c r="H98" s="6">
        <v>10.35</v>
      </c>
      <c r="I98" s="3"/>
      <c r="J98" s="7">
        <f t="shared" si="21"/>
        <v>2.5544580846747337E-3</v>
      </c>
      <c r="K98" s="3"/>
      <c r="L98" s="6">
        <f t="shared" si="22"/>
        <v>83.06</v>
      </c>
      <c r="M98" s="3"/>
      <c r="N98" s="7">
        <f t="shared" si="23"/>
        <v>8.0251207729468597</v>
      </c>
      <c r="O98" s="9"/>
      <c r="P98" s="6">
        <v>265.24</v>
      </c>
      <c r="Q98" s="3"/>
      <c r="R98" s="7">
        <f t="shared" si="24"/>
        <v>1.1863178514694183E-4</v>
      </c>
      <c r="S98" s="3"/>
      <c r="T98" s="6">
        <v>229.83</v>
      </c>
      <c r="U98" s="3"/>
      <c r="V98" s="7">
        <f t="shared" si="25"/>
        <v>8.3654179670636641E-5</v>
      </c>
      <c r="W98" s="3"/>
      <c r="X98" s="6">
        <f t="shared" si="26"/>
        <v>35.409999999999997</v>
      </c>
      <c r="Y98" s="3"/>
      <c r="Z98" s="7">
        <f t="shared" si="27"/>
        <v>0.15407039986076662</v>
      </c>
    </row>
    <row r="99" spans="1:26" s="69" customFormat="1" ht="15" hidden="1" customHeight="1" outlineLevel="2" x14ac:dyDescent="0.3">
      <c r="A99" s="21"/>
      <c r="B99" s="9" t="str">
        <f>CONCATENATE("          ","6375"," - ","OUTSIDE REPAIRS &amp; MAINTENANCE")</f>
        <v xml:space="preserve">          6375 - OUTSIDE REPAIRS &amp; MAINTENANCE</v>
      </c>
      <c r="C99" s="9"/>
      <c r="D99" s="6"/>
      <c r="E99" s="3"/>
      <c r="F99" s="7">
        <f t="shared" si="20"/>
        <v>0</v>
      </c>
      <c r="G99" s="3"/>
      <c r="H99" s="6"/>
      <c r="I99" s="3"/>
      <c r="J99" s="7">
        <f t="shared" si="21"/>
        <v>0</v>
      </c>
      <c r="K99" s="3"/>
      <c r="L99" s="6">
        <f t="shared" si="22"/>
        <v>0</v>
      </c>
      <c r="M99" s="3"/>
      <c r="N99" s="7">
        <f t="shared" si="23"/>
        <v>0</v>
      </c>
      <c r="O99" s="9"/>
      <c r="P99" s="6">
        <v>137.41999999999999</v>
      </c>
      <c r="Q99" s="3"/>
      <c r="R99" s="7">
        <f t="shared" si="24"/>
        <v>6.1462750395463515E-5</v>
      </c>
      <c r="S99" s="3"/>
      <c r="T99" s="6">
        <v>257.51</v>
      </c>
      <c r="U99" s="3"/>
      <c r="V99" s="7">
        <f t="shared" si="25"/>
        <v>9.3729225109801334E-5</v>
      </c>
      <c r="W99" s="3"/>
      <c r="X99" s="6">
        <f t="shared" si="26"/>
        <v>-120.09</v>
      </c>
      <c r="Y99" s="3"/>
      <c r="Z99" s="7">
        <f t="shared" si="27"/>
        <v>-0.46635082132732714</v>
      </c>
    </row>
    <row r="100" spans="1:26" s="68" customFormat="1" ht="15" customHeight="1" outlineLevel="1" collapsed="1" x14ac:dyDescent="0.3">
      <c r="A100" s="20"/>
      <c r="B100" s="11" t="str">
        <f>CONCATENATE("     ","Subscriptions &amp; Dues                              ")</f>
        <v xml:space="preserve">     Subscriptions &amp; Dues                              </v>
      </c>
      <c r="C100" s="11"/>
      <c r="D100" s="2">
        <f>SUM(OSRRefD22_10x_0)</f>
        <v>272.35000000000002</v>
      </c>
      <c r="E100" s="2"/>
      <c r="F100" s="5">
        <f t="shared" si="20"/>
        <v>0.58950216450216431</v>
      </c>
      <c r="G100" s="2"/>
      <c r="H100" s="2">
        <f>SUM(OSRRefH22_10x_0)</f>
        <v>-911</v>
      </c>
      <c r="I100" s="2"/>
      <c r="J100" s="5">
        <f t="shared" si="21"/>
        <v>-0.2248416729602592</v>
      </c>
      <c r="K100" s="2"/>
      <c r="L100" s="2">
        <f t="shared" si="22"/>
        <v>1183.3499999999999</v>
      </c>
      <c r="M100" s="2"/>
      <c r="N100" s="5">
        <f t="shared" si="23"/>
        <v>-1.2989571899012073</v>
      </c>
      <c r="O100" s="11"/>
      <c r="P100" s="2">
        <f>SUM(OSRRefP22_10x_0)</f>
        <v>6700.33</v>
      </c>
      <c r="Q100" s="2"/>
      <c r="R100" s="5">
        <f t="shared" si="24"/>
        <v>2.9968033063399514E-3</v>
      </c>
      <c r="S100" s="2"/>
      <c r="T100" s="2">
        <f>SUM(OSRRefT22_10x_0)</f>
        <v>4298.66</v>
      </c>
      <c r="U100" s="2"/>
      <c r="V100" s="5">
        <f t="shared" si="25"/>
        <v>1.5646385414566368E-3</v>
      </c>
      <c r="W100" s="2"/>
      <c r="X100" s="2">
        <f t="shared" si="26"/>
        <v>2401.67</v>
      </c>
      <c r="Y100" s="2"/>
      <c r="Z100" s="5">
        <f t="shared" si="27"/>
        <v>0.55870201411602693</v>
      </c>
    </row>
    <row r="101" spans="1:26" s="69" customFormat="1" ht="15" hidden="1" customHeight="1" outlineLevel="2" x14ac:dyDescent="0.3">
      <c r="A101" s="21"/>
      <c r="B101" s="9" t="str">
        <f>CONCATENATE("          ","6258"," - ","MEMBERSHIP DUES")</f>
        <v xml:space="preserve">          6258 - MEMBERSHIP DUES</v>
      </c>
      <c r="C101" s="9"/>
      <c r="D101" s="6">
        <v>272.35000000000002</v>
      </c>
      <c r="E101" s="3"/>
      <c r="F101" s="7">
        <f t="shared" si="20"/>
        <v>0.58950216450216431</v>
      </c>
      <c r="G101" s="3"/>
      <c r="H101" s="6">
        <v>-911</v>
      </c>
      <c r="I101" s="3"/>
      <c r="J101" s="7">
        <f t="shared" si="21"/>
        <v>-0.2248416729602592</v>
      </c>
      <c r="K101" s="3"/>
      <c r="L101" s="6">
        <f t="shared" si="22"/>
        <v>1183.3499999999999</v>
      </c>
      <c r="M101" s="3"/>
      <c r="N101" s="7">
        <f t="shared" si="23"/>
        <v>-1.2989571899012073</v>
      </c>
      <c r="O101" s="9"/>
      <c r="P101" s="6">
        <v>3348.94</v>
      </c>
      <c r="Q101" s="3"/>
      <c r="R101" s="7">
        <f t="shared" si="24"/>
        <v>1.4978537571633214E-3</v>
      </c>
      <c r="S101" s="3"/>
      <c r="T101" s="6">
        <v>2446.58</v>
      </c>
      <c r="U101" s="3"/>
      <c r="V101" s="7">
        <f t="shared" si="25"/>
        <v>8.9051317451414598E-4</v>
      </c>
      <c r="W101" s="3"/>
      <c r="X101" s="6">
        <f t="shared" si="26"/>
        <v>902.36000000000013</v>
      </c>
      <c r="Y101" s="3"/>
      <c r="Z101" s="7">
        <f t="shared" si="27"/>
        <v>0.36882505374849794</v>
      </c>
    </row>
    <row r="102" spans="1:26" s="69" customFormat="1" ht="15" hidden="1" customHeight="1" outlineLevel="2" x14ac:dyDescent="0.3">
      <c r="A102" s="21"/>
      <c r="B102" s="9" t="str">
        <f>CONCATENATE("          ","6275"," - ","SUBSCRIPTIONS")</f>
        <v xml:space="preserve">          6275 - SUBSCRIPTIONS</v>
      </c>
      <c r="C102" s="9"/>
      <c r="D102" s="6"/>
      <c r="E102" s="3"/>
      <c r="F102" s="7">
        <f t="shared" si="20"/>
        <v>0</v>
      </c>
      <c r="G102" s="3"/>
      <c r="H102" s="6"/>
      <c r="I102" s="3"/>
      <c r="J102" s="7">
        <f t="shared" si="21"/>
        <v>0</v>
      </c>
      <c r="K102" s="3"/>
      <c r="L102" s="6">
        <f t="shared" si="22"/>
        <v>0</v>
      </c>
      <c r="M102" s="3"/>
      <c r="N102" s="7">
        <f t="shared" si="23"/>
        <v>0</v>
      </c>
      <c r="O102" s="9"/>
      <c r="P102" s="6">
        <v>3351.39</v>
      </c>
      <c r="Q102" s="3"/>
      <c r="R102" s="7">
        <f t="shared" si="24"/>
        <v>1.49894954917663E-3</v>
      </c>
      <c r="S102" s="3"/>
      <c r="T102" s="6">
        <v>1852.08</v>
      </c>
      <c r="U102" s="3"/>
      <c r="V102" s="7">
        <f t="shared" si="25"/>
        <v>6.7412536694249096E-4</v>
      </c>
      <c r="W102" s="3"/>
      <c r="X102" s="6">
        <f t="shared" si="26"/>
        <v>1499.31</v>
      </c>
      <c r="Y102" s="3"/>
      <c r="Z102" s="7">
        <f t="shared" si="27"/>
        <v>0.80952766619152516</v>
      </c>
    </row>
    <row r="103" spans="1:26" s="68" customFormat="1" ht="15" customHeight="1" outlineLevel="1" collapsed="1" x14ac:dyDescent="0.3">
      <c r="A103" s="20"/>
      <c r="B103" s="11" t="str">
        <f>CONCATENATE("     ","Supplies                                          ")</f>
        <v xml:space="preserve">     Supplies                                          </v>
      </c>
      <c r="C103" s="11"/>
      <c r="D103" s="2">
        <f>SUM(OSRRefD22_11x_0)</f>
        <v>969.19</v>
      </c>
      <c r="E103" s="2"/>
      <c r="F103" s="5">
        <f t="shared" si="20"/>
        <v>2.0978138528138524</v>
      </c>
      <c r="G103" s="2"/>
      <c r="H103" s="2">
        <f>SUM(OSRRefH22_11x_0)</f>
        <v>238.34</v>
      </c>
      <c r="I103" s="2"/>
      <c r="J103" s="5">
        <f t="shared" si="21"/>
        <v>5.8824110135398656E-2</v>
      </c>
      <c r="K103" s="2"/>
      <c r="L103" s="2">
        <f t="shared" si="22"/>
        <v>730.85</v>
      </c>
      <c r="M103" s="2"/>
      <c r="N103" s="5">
        <f t="shared" si="23"/>
        <v>3.0664177225811864</v>
      </c>
      <c r="O103" s="11"/>
      <c r="P103" s="2">
        <f>SUM(OSRRefP22_11x_0)</f>
        <v>3452.94</v>
      </c>
      <c r="Q103" s="2"/>
      <c r="R103" s="5">
        <f t="shared" si="24"/>
        <v>1.5443690099731613E-3</v>
      </c>
      <c r="S103" s="2"/>
      <c r="T103" s="2">
        <f>SUM(OSRRefT22_11x_0)</f>
        <v>5604.71</v>
      </c>
      <c r="U103" s="2"/>
      <c r="V103" s="5">
        <f t="shared" si="25"/>
        <v>2.0400183498316751E-3</v>
      </c>
      <c r="W103" s="2"/>
      <c r="X103" s="2">
        <f t="shared" si="26"/>
        <v>-2151.77</v>
      </c>
      <c r="Y103" s="2"/>
      <c r="Z103" s="5">
        <f t="shared" si="27"/>
        <v>-0.38392173725313172</v>
      </c>
    </row>
    <row r="104" spans="1:26" s="69" customFormat="1" ht="15" hidden="1" customHeight="1" outlineLevel="2" x14ac:dyDescent="0.3">
      <c r="A104" s="21"/>
      <c r="B104" s="9" t="str">
        <f>CONCATENATE("          ","6241"," - ","OFFICE EXPENSE")</f>
        <v xml:space="preserve">          6241 - OFFICE EXPENSE</v>
      </c>
      <c r="C104" s="9"/>
      <c r="D104" s="6">
        <v>228.31</v>
      </c>
      <c r="E104" s="3"/>
      <c r="F104" s="7">
        <f t="shared" si="20"/>
        <v>0.49417748917748899</v>
      </c>
      <c r="G104" s="3"/>
      <c r="H104" s="6">
        <v>238.34</v>
      </c>
      <c r="I104" s="3"/>
      <c r="J104" s="7">
        <f t="shared" si="21"/>
        <v>5.8824110135398656E-2</v>
      </c>
      <c r="K104" s="3"/>
      <c r="L104" s="6">
        <f t="shared" si="22"/>
        <v>-10.030000000000001</v>
      </c>
      <c r="M104" s="3"/>
      <c r="N104" s="7">
        <f t="shared" si="23"/>
        <v>-4.2082738944365199E-2</v>
      </c>
      <c r="O104" s="9"/>
      <c r="P104" s="6">
        <v>2000.68</v>
      </c>
      <c r="Q104" s="3"/>
      <c r="R104" s="7">
        <f t="shared" si="24"/>
        <v>8.9482823068837115E-4</v>
      </c>
      <c r="S104" s="3"/>
      <c r="T104" s="6">
        <v>1863.09</v>
      </c>
      <c r="U104" s="3"/>
      <c r="V104" s="7">
        <f t="shared" si="25"/>
        <v>6.7813281818111825E-4</v>
      </c>
      <c r="W104" s="3"/>
      <c r="X104" s="6">
        <f t="shared" si="26"/>
        <v>137.59000000000015</v>
      </c>
      <c r="Y104" s="3"/>
      <c r="Z104" s="7">
        <f t="shared" si="27"/>
        <v>7.38504312727781E-2</v>
      </c>
    </row>
    <row r="105" spans="1:26" s="69" customFormat="1" ht="15" hidden="1" customHeight="1" outlineLevel="2" x14ac:dyDescent="0.3">
      <c r="A105" s="21"/>
      <c r="B105" s="9" t="str">
        <f>CONCATENATE("          ","6247"," - ","STORE SUPPLIES")</f>
        <v xml:space="preserve">          6247 - STORE SUPPLIES</v>
      </c>
      <c r="C105" s="9"/>
      <c r="D105" s="6">
        <v>740.88</v>
      </c>
      <c r="E105" s="3"/>
      <c r="F105" s="7">
        <f t="shared" si="20"/>
        <v>1.6036363636363631</v>
      </c>
      <c r="G105" s="3"/>
      <c r="H105" s="6"/>
      <c r="I105" s="3"/>
      <c r="J105" s="7">
        <f t="shared" si="21"/>
        <v>0</v>
      </c>
      <c r="K105" s="3"/>
      <c r="L105" s="6">
        <f t="shared" si="22"/>
        <v>740.88</v>
      </c>
      <c r="M105" s="3"/>
      <c r="N105" s="7">
        <f t="shared" si="23"/>
        <v>0</v>
      </c>
      <c r="O105" s="9"/>
      <c r="P105" s="6">
        <v>1452.26</v>
      </c>
      <c r="Q105" s="3"/>
      <c r="R105" s="7">
        <f t="shared" si="24"/>
        <v>6.4954077928479012E-4</v>
      </c>
      <c r="S105" s="3"/>
      <c r="T105" s="6">
        <v>3741.62</v>
      </c>
      <c r="U105" s="3"/>
      <c r="V105" s="7">
        <f t="shared" si="25"/>
        <v>1.3618855316505567E-3</v>
      </c>
      <c r="W105" s="3"/>
      <c r="X105" s="6">
        <f t="shared" si="26"/>
        <v>-2289.3599999999997</v>
      </c>
      <c r="Y105" s="3"/>
      <c r="Z105" s="7">
        <f t="shared" si="27"/>
        <v>-0.61186331054463028</v>
      </c>
    </row>
    <row r="106" spans="1:26" s="68" customFormat="1" ht="15" customHeight="1" outlineLevel="1" collapsed="1" x14ac:dyDescent="0.3">
      <c r="A106" s="20"/>
      <c r="B106" s="11" t="str">
        <f>CONCATENATE("     ","Telephone/Data Lines                              ")</f>
        <v xml:space="preserve">     Telephone/Data Lines                              </v>
      </c>
      <c r="C106" s="11"/>
      <c r="D106" s="2">
        <f>SUM(OSRRefD22_12x_0)</f>
        <v>375.29</v>
      </c>
      <c r="E106" s="2"/>
      <c r="F106" s="5">
        <f t="shared" si="20"/>
        <v>0.8123160173160171</v>
      </c>
      <c r="G106" s="2"/>
      <c r="H106" s="2">
        <f>SUM(OSRRefH22_12x_0)</f>
        <v>721.2</v>
      </c>
      <c r="I106" s="2"/>
      <c r="J106" s="5">
        <f t="shared" si="21"/>
        <v>0.17799760103066842</v>
      </c>
      <c r="K106" s="2"/>
      <c r="L106" s="2">
        <f t="shared" si="22"/>
        <v>-345.91</v>
      </c>
      <c r="M106" s="2"/>
      <c r="N106" s="5">
        <f t="shared" si="23"/>
        <v>-0.47963117027176927</v>
      </c>
      <c r="O106" s="11"/>
      <c r="P106" s="2">
        <f>SUM(OSRRefP22_12x_0)</f>
        <v>6334.89</v>
      </c>
      <c r="Q106" s="2"/>
      <c r="R106" s="5">
        <f t="shared" si="24"/>
        <v>2.8333558641589138E-3</v>
      </c>
      <c r="S106" s="2"/>
      <c r="T106" s="2">
        <f>SUM(OSRRefT22_12x_0)</f>
        <v>9470.9</v>
      </c>
      <c r="U106" s="2"/>
      <c r="V106" s="5">
        <f t="shared" si="25"/>
        <v>3.4472452257870274E-3</v>
      </c>
      <c r="W106" s="2"/>
      <c r="X106" s="2">
        <f t="shared" si="26"/>
        <v>-3136.0099999999993</v>
      </c>
      <c r="Y106" s="2"/>
      <c r="Z106" s="5">
        <f t="shared" si="27"/>
        <v>-0.33112059044019043</v>
      </c>
    </row>
    <row r="107" spans="1:26" s="69" customFormat="1" ht="15" hidden="1" customHeight="1" outlineLevel="2" x14ac:dyDescent="0.3">
      <c r="A107" s="21"/>
      <c r="B107" s="9" t="str">
        <f>CONCATENATE("          ","6303"," - ","DATA PHONE LINES")</f>
        <v xml:space="preserve">          6303 - DATA PHONE LINES</v>
      </c>
      <c r="C107" s="9"/>
      <c r="D107" s="6"/>
      <c r="E107" s="3"/>
      <c r="F107" s="7">
        <f t="shared" si="20"/>
        <v>0</v>
      </c>
      <c r="G107" s="3"/>
      <c r="H107" s="6"/>
      <c r="I107" s="3"/>
      <c r="J107" s="7">
        <f t="shared" si="21"/>
        <v>0</v>
      </c>
      <c r="K107" s="3"/>
      <c r="L107" s="6">
        <f t="shared" si="22"/>
        <v>0</v>
      </c>
      <c r="M107" s="3"/>
      <c r="N107" s="7">
        <f t="shared" si="23"/>
        <v>0</v>
      </c>
      <c r="O107" s="9"/>
      <c r="P107" s="6">
        <v>295</v>
      </c>
      <c r="Q107" s="3"/>
      <c r="R107" s="7">
        <f t="shared" si="24"/>
        <v>1.3194230364329602E-4</v>
      </c>
      <c r="S107" s="3"/>
      <c r="T107" s="6">
        <v>3540</v>
      </c>
      <c r="U107" s="3"/>
      <c r="V107" s="7">
        <f t="shared" si="25"/>
        <v>1.2884993083324791E-3</v>
      </c>
      <c r="W107" s="3"/>
      <c r="X107" s="6">
        <f t="shared" si="26"/>
        <v>-3245</v>
      </c>
      <c r="Y107" s="3"/>
      <c r="Z107" s="7">
        <f t="shared" si="27"/>
        <v>-0.91666666666666663</v>
      </c>
    </row>
    <row r="108" spans="1:26" s="69" customFormat="1" ht="15" hidden="1" customHeight="1" outlineLevel="2" x14ac:dyDescent="0.3">
      <c r="A108" s="21"/>
      <c r="B108" s="9" t="str">
        <f>CONCATENATE("          ","6309"," - ","TELEPHONE")</f>
        <v xml:space="preserve">          6309 - TELEPHONE</v>
      </c>
      <c r="C108" s="9"/>
      <c r="D108" s="6">
        <v>375.29</v>
      </c>
      <c r="E108" s="3"/>
      <c r="F108" s="7">
        <f t="shared" si="20"/>
        <v>0.8123160173160171</v>
      </c>
      <c r="G108" s="3"/>
      <c r="H108" s="6">
        <v>721.2</v>
      </c>
      <c r="I108" s="3"/>
      <c r="J108" s="7">
        <f t="shared" si="21"/>
        <v>0.17799760103066842</v>
      </c>
      <c r="K108" s="3"/>
      <c r="L108" s="6">
        <f t="shared" si="22"/>
        <v>-345.91</v>
      </c>
      <c r="M108" s="3"/>
      <c r="N108" s="7">
        <f t="shared" si="23"/>
        <v>-0.47963117027176927</v>
      </c>
      <c r="O108" s="9"/>
      <c r="P108" s="6">
        <v>6039.89</v>
      </c>
      <c r="Q108" s="3"/>
      <c r="R108" s="7">
        <f t="shared" si="24"/>
        <v>2.701413560515618E-3</v>
      </c>
      <c r="S108" s="3"/>
      <c r="T108" s="6">
        <v>5930.9</v>
      </c>
      <c r="U108" s="3"/>
      <c r="V108" s="7">
        <f t="shared" si="25"/>
        <v>2.1587459174545482E-3</v>
      </c>
      <c r="W108" s="3"/>
      <c r="X108" s="6">
        <f t="shared" si="26"/>
        <v>108.99000000000069</v>
      </c>
      <c r="Y108" s="3"/>
      <c r="Z108" s="7">
        <f t="shared" si="27"/>
        <v>1.8376637609806387E-2</v>
      </c>
    </row>
    <row r="109" spans="1:26" s="68" customFormat="1" ht="15" customHeight="1" outlineLevel="1" collapsed="1" x14ac:dyDescent="0.3">
      <c r="A109" s="20"/>
      <c r="B109" s="11" t="str">
        <f>CONCATENATE("     ","Training                                          ")</f>
        <v xml:space="preserve">     Training                                          </v>
      </c>
      <c r="C109" s="11"/>
      <c r="D109" s="2">
        <f>SUM(OSRRefD22_13x_0)</f>
        <v>0</v>
      </c>
      <c r="E109" s="2"/>
      <c r="F109" s="5">
        <f t="shared" si="20"/>
        <v>0</v>
      </c>
      <c r="G109" s="2"/>
      <c r="H109" s="2">
        <f>SUM(OSRRefH22_13x_0)</f>
        <v>0</v>
      </c>
      <c r="I109" s="2"/>
      <c r="J109" s="5">
        <f t="shared" si="21"/>
        <v>0</v>
      </c>
      <c r="K109" s="2"/>
      <c r="L109" s="2">
        <f t="shared" si="22"/>
        <v>0</v>
      </c>
      <c r="M109" s="2"/>
      <c r="N109" s="5">
        <f t="shared" si="23"/>
        <v>0</v>
      </c>
      <c r="O109" s="11"/>
      <c r="P109" s="2">
        <f>SUM(OSRRefP22_13x_0)</f>
        <v>125</v>
      </c>
      <c r="Q109" s="2"/>
      <c r="R109" s="5">
        <f t="shared" si="24"/>
        <v>5.5907755781057636E-5</v>
      </c>
      <c r="S109" s="2"/>
      <c r="T109" s="2">
        <f>SUM(OSRRefT22_13x_0)</f>
        <v>0</v>
      </c>
      <c r="U109" s="2"/>
      <c r="V109" s="5">
        <f t="shared" si="25"/>
        <v>0</v>
      </c>
      <c r="W109" s="2"/>
      <c r="X109" s="2">
        <f t="shared" si="26"/>
        <v>125</v>
      </c>
      <c r="Y109" s="2"/>
      <c r="Z109" s="5">
        <f t="shared" si="27"/>
        <v>0</v>
      </c>
    </row>
    <row r="110" spans="1:26" s="69" customFormat="1" ht="15" hidden="1" customHeight="1" outlineLevel="2" x14ac:dyDescent="0.3">
      <c r="A110" s="21"/>
      <c r="B110" s="9" t="str">
        <f>CONCATENATE("          ","6376"," - ","TRAINING")</f>
        <v xml:space="preserve">          6376 - TRAINING</v>
      </c>
      <c r="C110" s="9"/>
      <c r="D110" s="6"/>
      <c r="E110" s="3"/>
      <c r="F110" s="7">
        <f t="shared" si="20"/>
        <v>0</v>
      </c>
      <c r="G110" s="3"/>
      <c r="H110" s="6"/>
      <c r="I110" s="3"/>
      <c r="J110" s="7">
        <f t="shared" si="21"/>
        <v>0</v>
      </c>
      <c r="K110" s="3"/>
      <c r="L110" s="6">
        <f t="shared" si="22"/>
        <v>0</v>
      </c>
      <c r="M110" s="3"/>
      <c r="N110" s="7">
        <f t="shared" si="23"/>
        <v>0</v>
      </c>
      <c r="O110" s="9"/>
      <c r="P110" s="6">
        <v>125</v>
      </c>
      <c r="Q110" s="3"/>
      <c r="R110" s="7">
        <f t="shared" si="24"/>
        <v>5.5907755781057636E-5</v>
      </c>
      <c r="S110" s="3"/>
      <c r="T110" s="6"/>
      <c r="U110" s="3"/>
      <c r="V110" s="7">
        <f t="shared" si="25"/>
        <v>0</v>
      </c>
      <c r="W110" s="3"/>
      <c r="X110" s="6">
        <f t="shared" si="26"/>
        <v>125</v>
      </c>
      <c r="Y110" s="3"/>
      <c r="Z110" s="7">
        <f t="shared" si="27"/>
        <v>0</v>
      </c>
    </row>
    <row r="111" spans="1:26" s="68" customFormat="1" ht="15" customHeight="1" outlineLevel="1" collapsed="1" x14ac:dyDescent="0.3">
      <c r="A111" s="20"/>
      <c r="B111" s="11" t="str">
        <f>CONCATENATE("     ","Travel                                            ")</f>
        <v xml:space="preserve">     Travel                                            </v>
      </c>
      <c r="C111" s="11"/>
      <c r="D111" s="2">
        <f>SUM(OSRRefD22_14x_0)</f>
        <v>0</v>
      </c>
      <c r="E111" s="2"/>
      <c r="F111" s="5">
        <f t="shared" si="20"/>
        <v>0</v>
      </c>
      <c r="G111" s="2"/>
      <c r="H111" s="2">
        <f>SUM(OSRRefH22_14x_0)</f>
        <v>0</v>
      </c>
      <c r="I111" s="2"/>
      <c r="J111" s="5">
        <f t="shared" si="21"/>
        <v>0</v>
      </c>
      <c r="K111" s="2"/>
      <c r="L111" s="2">
        <f t="shared" si="22"/>
        <v>0</v>
      </c>
      <c r="M111" s="2"/>
      <c r="N111" s="5">
        <f t="shared" si="23"/>
        <v>0</v>
      </c>
      <c r="O111" s="11"/>
      <c r="P111" s="2">
        <f>SUM(OSRRefP22_14x_0)</f>
        <v>0</v>
      </c>
      <c r="Q111" s="2"/>
      <c r="R111" s="5">
        <f t="shared" si="24"/>
        <v>0</v>
      </c>
      <c r="S111" s="2"/>
      <c r="T111" s="2">
        <f>SUM(OSRRefT22_14x_0)</f>
        <v>0.16</v>
      </c>
      <c r="U111" s="2"/>
      <c r="V111" s="5">
        <f t="shared" si="25"/>
        <v>5.8237256873784368E-8</v>
      </c>
      <c r="W111" s="2"/>
      <c r="X111" s="2">
        <f t="shared" si="26"/>
        <v>-0.16</v>
      </c>
      <c r="Y111" s="2"/>
      <c r="Z111" s="5">
        <f t="shared" si="27"/>
        <v>-1</v>
      </c>
    </row>
    <row r="112" spans="1:26" s="69" customFormat="1" ht="15" hidden="1" customHeight="1" outlineLevel="2" x14ac:dyDescent="0.3">
      <c r="A112" s="21"/>
      <c r="B112" s="9" t="str">
        <f>CONCATENATE("          ","6292"," - ","TRAVEL/CONFERENCE")</f>
        <v xml:space="preserve">          6292 - TRAVEL/CONFERENCE</v>
      </c>
      <c r="C112" s="9"/>
      <c r="D112" s="6"/>
      <c r="E112" s="3"/>
      <c r="F112" s="7">
        <f t="shared" si="20"/>
        <v>0</v>
      </c>
      <c r="G112" s="3"/>
      <c r="H112" s="6"/>
      <c r="I112" s="3"/>
      <c r="J112" s="7">
        <f t="shared" si="21"/>
        <v>0</v>
      </c>
      <c r="K112" s="3"/>
      <c r="L112" s="6">
        <f t="shared" si="22"/>
        <v>0</v>
      </c>
      <c r="M112" s="3"/>
      <c r="N112" s="7">
        <f t="shared" si="23"/>
        <v>0</v>
      </c>
      <c r="O112" s="9"/>
      <c r="P112" s="6"/>
      <c r="Q112" s="3"/>
      <c r="R112" s="7">
        <f t="shared" si="24"/>
        <v>0</v>
      </c>
      <c r="S112" s="3"/>
      <c r="T112" s="6">
        <v>0.16</v>
      </c>
      <c r="U112" s="3"/>
      <c r="V112" s="7">
        <f t="shared" si="25"/>
        <v>5.8237256873784368E-8</v>
      </c>
      <c r="W112" s="3"/>
      <c r="X112" s="6">
        <f t="shared" si="26"/>
        <v>-0.16</v>
      </c>
      <c r="Y112" s="3"/>
      <c r="Z112" s="7">
        <f t="shared" si="27"/>
        <v>-1</v>
      </c>
    </row>
    <row r="113" spans="1:26" s="64" customFormat="1" ht="15" customHeight="1" x14ac:dyDescent="0.3">
      <c r="A113" s="37"/>
      <c r="B113" s="37"/>
      <c r="C113" s="37"/>
      <c r="D113" s="2"/>
      <c r="E113" s="2"/>
      <c r="F113" s="5"/>
      <c r="G113" s="2"/>
      <c r="H113" s="2"/>
      <c r="I113" s="2"/>
      <c r="J113" s="5"/>
      <c r="K113" s="2"/>
      <c r="L113" s="2"/>
      <c r="M113" s="2"/>
      <c r="N113" s="5"/>
      <c r="O113" s="37"/>
      <c r="P113" s="2"/>
      <c r="Q113" s="2"/>
      <c r="R113" s="5"/>
      <c r="S113" s="2"/>
      <c r="T113" s="2"/>
      <c r="U113" s="2"/>
      <c r="V113" s="5"/>
      <c r="W113" s="2"/>
      <c r="X113" s="2"/>
      <c r="Y113" s="2"/>
      <c r="Z113" s="5"/>
    </row>
    <row r="114" spans="1:26" s="62" customFormat="1" ht="15" customHeight="1" collapsed="1" x14ac:dyDescent="0.3">
      <c r="A114" s="13"/>
      <c r="B114" s="27" t="s">
        <v>290</v>
      </c>
      <c r="C114" s="13"/>
      <c r="D114" s="8">
        <f>SUM(OSRRefD25x_0)</f>
        <v>6599.43</v>
      </c>
      <c r="E114" s="8"/>
      <c r="F114" s="14">
        <f>IF(D$12=0,0,D114/D$12)</f>
        <v>14.284480519480514</v>
      </c>
      <c r="G114" s="8"/>
      <c r="H114" s="8">
        <f>SUM(OSRRefH25x_0)</f>
        <v>-78.120000000000118</v>
      </c>
      <c r="I114" s="8"/>
      <c r="J114" s="14">
        <f>IF(H$12=0,0,H114/H$12)</f>
        <v>-1.9280605369544977E-2</v>
      </c>
      <c r="K114" s="8"/>
      <c r="L114" s="8">
        <f>+D114-H114</f>
        <v>6677.55</v>
      </c>
      <c r="M114" s="8"/>
      <c r="N114" s="14">
        <f>IF(H114=0,0,L114/H114)</f>
        <v>-85.478110599078221</v>
      </c>
      <c r="O114" s="13"/>
      <c r="P114" s="8">
        <f>SUM(OSRRefP25x_0)</f>
        <v>366276.3</v>
      </c>
      <c r="Q114" s="8"/>
      <c r="R114" s="14">
        <f>IF(P$12=0,0,P114/P$12)</f>
        <v>0.16382148743031522</v>
      </c>
      <c r="S114" s="8"/>
      <c r="T114" s="8">
        <f>SUM(OSRRefT25x_0)</f>
        <v>334238.96000000002</v>
      </c>
      <c r="U114" s="8"/>
      <c r="V114" s="14">
        <f>IF(T$12=0,0,T114/T$12)</f>
        <v>0.12165725106716588</v>
      </c>
      <c r="W114" s="8"/>
      <c r="X114" s="8">
        <f>+P114-T114</f>
        <v>32037.339999999967</v>
      </c>
      <c r="Y114" s="8"/>
      <c r="Z114" s="14">
        <f>IF(T114=0,0,X114/T114)</f>
        <v>9.5851602697662672E-2</v>
      </c>
    </row>
    <row r="115" spans="1:26" s="69" customFormat="1" ht="15" hidden="1" customHeight="1" outlineLevel="1" x14ac:dyDescent="0.3">
      <c r="A115" s="47"/>
      <c r="B115" s="9" t="str">
        <f>CONCATENATE("          ","9150"," - ","MISC. INCOME")</f>
        <v xml:space="preserve">          9150 - MISC. INCOME</v>
      </c>
      <c r="C115" s="9"/>
      <c r="D115" s="3">
        <f>--2283.85</f>
        <v>2283.85</v>
      </c>
      <c r="E115" s="3"/>
      <c r="F115" s="26">
        <f>IF(D$12=0,0,D115/D$12)</f>
        <v>4.9433982683982665</v>
      </c>
      <c r="G115" s="3"/>
      <c r="H115" s="3">
        <f>-1833.66</f>
        <v>-1833.66</v>
      </c>
      <c r="I115" s="3"/>
      <c r="J115" s="26">
        <f>IF(H$12=0,0,H115/H$12)</f>
        <v>-0.45256112188837416</v>
      </c>
      <c r="K115" s="3"/>
      <c r="L115" s="3">
        <f>+D115-H115</f>
        <v>4117.51</v>
      </c>
      <c r="M115" s="3"/>
      <c r="N115" s="26">
        <f>IF(H115=0,0,L115/H115)</f>
        <v>-2.245514435609655</v>
      </c>
      <c r="O115" s="9"/>
      <c r="P115" s="3">
        <f>--32325.87</f>
        <v>32325.87</v>
      </c>
      <c r="Q115" s="3"/>
      <c r="R115" s="26">
        <f>IF(P$12=0,0,P115/P$12)</f>
        <v>1.445813476296174E-2</v>
      </c>
      <c r="S115" s="3"/>
      <c r="T115" s="3">
        <f>--31202.39</f>
        <v>31202.39</v>
      </c>
      <c r="U115" s="3"/>
      <c r="V115" s="26">
        <f>IF(T$12=0,0,T115/T$12)</f>
        <v>1.1357135009412505E-2</v>
      </c>
      <c r="W115" s="3"/>
      <c r="X115" s="3">
        <f>+P115-T115</f>
        <v>1123.4799999999996</v>
      </c>
      <c r="Y115" s="3"/>
      <c r="Z115" s="26">
        <f>IF(T115=0,0,X115/T115)</f>
        <v>3.600621619049052E-2</v>
      </c>
    </row>
    <row r="116" spans="1:26" s="69" customFormat="1" ht="15" hidden="1" customHeight="1" outlineLevel="1" x14ac:dyDescent="0.3">
      <c r="A116" s="47"/>
      <c r="B116" s="9" t="str">
        <f>CONCATENATE("          ","9151"," - ","MISC. INCOME")</f>
        <v xml:space="preserve">          9151 - MISC. INCOME</v>
      </c>
      <c r="C116" s="9"/>
      <c r="D116" s="3">
        <f>--4094.51</f>
        <v>4094.51</v>
      </c>
      <c r="E116" s="3"/>
      <c r="F116" s="26">
        <f>IF(D$12=0,0,D116/D$12)</f>
        <v>8.8625757575757547</v>
      </c>
      <c r="G116" s="3"/>
      <c r="H116" s="3">
        <f>0</f>
        <v>0</v>
      </c>
      <c r="I116" s="3"/>
      <c r="J116" s="26">
        <f>IF(H$12=0,0,H116/H$12)</f>
        <v>0</v>
      </c>
      <c r="K116" s="3"/>
      <c r="L116" s="3">
        <f>+D116-H116</f>
        <v>4094.51</v>
      </c>
      <c r="M116" s="3"/>
      <c r="N116" s="26">
        <f>IF(H116=0,0,L116/H116)</f>
        <v>0</v>
      </c>
      <c r="O116" s="9"/>
      <c r="P116" s="3">
        <f>--328482.25</f>
        <v>328482.25</v>
      </c>
      <c r="Q116" s="3"/>
      <c r="R116" s="26">
        <f>IF(P$12=0,0,P116/P$12)</f>
        <v>0.14691764329129856</v>
      </c>
      <c r="S116" s="3"/>
      <c r="T116" s="3">
        <f>--295628.46</f>
        <v>295628.46000000002</v>
      </c>
      <c r="U116" s="3"/>
      <c r="V116" s="26">
        <f>IF(T$12=0,0,T116/T$12)</f>
        <v>0.10760369102638305</v>
      </c>
      <c r="W116" s="3"/>
      <c r="X116" s="3">
        <f>+P116-T116</f>
        <v>32853.789999999979</v>
      </c>
      <c r="Y116" s="3"/>
      <c r="Z116" s="26">
        <f>IF(T116=0,0,X116/T116)</f>
        <v>0.1111320270044365</v>
      </c>
    </row>
    <row r="117" spans="1:26" s="69" customFormat="1" ht="15" hidden="1" customHeight="1" outlineLevel="1" x14ac:dyDescent="0.3">
      <c r="A117" s="47"/>
      <c r="B117" s="9" t="str">
        <f>CONCATENATE("          ","9152"," - ","MISC. INCOME")</f>
        <v xml:space="preserve">          9152 - MISC. INCOME</v>
      </c>
      <c r="C117" s="9"/>
      <c r="D117" s="3">
        <f>--221.07</f>
        <v>221.07</v>
      </c>
      <c r="E117" s="3"/>
      <c r="F117" s="26">
        <f>IF(D$12=0,0,D117/D$12)</f>
        <v>0.47850649350649332</v>
      </c>
      <c r="G117" s="3"/>
      <c r="H117" s="3">
        <f>--1755.54</f>
        <v>1755.54</v>
      </c>
      <c r="I117" s="3"/>
      <c r="J117" s="26">
        <f>IF(H$12=0,0,H117/H$12)</f>
        <v>0.43328051651882921</v>
      </c>
      <c r="K117" s="3"/>
      <c r="L117" s="3">
        <f>+D117-H117</f>
        <v>-1534.47</v>
      </c>
      <c r="M117" s="3"/>
      <c r="N117" s="26">
        <f>IF(H117=0,0,L117/H117)</f>
        <v>-0.87407293482347315</v>
      </c>
      <c r="O117" s="9"/>
      <c r="P117" s="3">
        <f>--5468.18</f>
        <v>5468.18</v>
      </c>
      <c r="Q117" s="3"/>
      <c r="R117" s="26">
        <f>IF(P$12=0,0,P117/P$12)</f>
        <v>2.4457093760549102E-3</v>
      </c>
      <c r="S117" s="3"/>
      <c r="T117" s="3">
        <f>--7408.11</f>
        <v>7408.11</v>
      </c>
      <c r="U117" s="3"/>
      <c r="V117" s="26">
        <f>IF(T$12=0,0,T117/T$12)</f>
        <v>2.6964250313703171E-3</v>
      </c>
      <c r="W117" s="3"/>
      <c r="X117" s="3">
        <f>+P117-T117</f>
        <v>-1939.9299999999994</v>
      </c>
      <c r="Y117" s="3"/>
      <c r="Z117" s="26">
        <f>IF(T117=0,0,X117/T117)</f>
        <v>-0.26186571203721321</v>
      </c>
    </row>
    <row r="118" spans="1:26" ht="15" customHeight="1" x14ac:dyDescent="0.3">
      <c r="A118" s="12"/>
      <c r="B118" s="13"/>
      <c r="C118" s="13"/>
      <c r="D118" s="4"/>
      <c r="E118" s="4"/>
      <c r="F118" s="10"/>
      <c r="G118" s="4"/>
      <c r="H118" s="4"/>
      <c r="I118" s="4"/>
      <c r="J118" s="10"/>
      <c r="K118" s="4"/>
      <c r="L118" s="4"/>
      <c r="M118" s="4"/>
      <c r="N118" s="10"/>
      <c r="O118" s="13"/>
      <c r="P118" s="4"/>
      <c r="Q118" s="4"/>
      <c r="R118" s="10"/>
      <c r="S118" s="4"/>
      <c r="T118" s="4"/>
      <c r="U118" s="4"/>
      <c r="V118" s="10"/>
      <c r="W118" s="4"/>
      <c r="X118" s="4"/>
      <c r="Y118" s="4"/>
      <c r="Z118" s="10"/>
    </row>
    <row r="119" spans="1:26" s="62" customFormat="1" ht="15" customHeight="1" x14ac:dyDescent="0.3">
      <c r="A119" s="13"/>
      <c r="B119" s="28" t="s">
        <v>291</v>
      </c>
      <c r="C119" s="28"/>
      <c r="D119" s="22">
        <f>+D59-D61+D114</f>
        <v>-164979.40000000002</v>
      </c>
      <c r="E119" s="15"/>
      <c r="F119" s="24">
        <f>IF(D$12=0,0,D119/D$12)</f>
        <v>-357.09826839826832</v>
      </c>
      <c r="G119" s="15"/>
      <c r="H119" s="22">
        <f>+H59-H61+H114</f>
        <v>-89866.76999999996</v>
      </c>
      <c r="I119" s="15"/>
      <c r="J119" s="24">
        <f>IF(H$12=0,0,H119/H$12)</f>
        <v>-22.179796828029442</v>
      </c>
      <c r="K119" s="17"/>
      <c r="L119" s="22">
        <f>+D119-H119</f>
        <v>-75112.630000000063</v>
      </c>
      <c r="M119" s="17"/>
      <c r="N119" s="24">
        <f>IF(H119=0,0,L119/H119)</f>
        <v>0.8358220730532554</v>
      </c>
      <c r="O119" s="27"/>
      <c r="P119" s="22">
        <f>+P59-P61+P114</f>
        <v>241996.00999999937</v>
      </c>
      <c r="Q119" s="15"/>
      <c r="R119" s="24">
        <f>IF(P$12=0,0,P119/P$12)</f>
        <v>0.10823563061656277</v>
      </c>
      <c r="S119" s="15"/>
      <c r="T119" s="22">
        <f>+T59-T61+T114</f>
        <v>522909.42000000057</v>
      </c>
      <c r="U119" s="15"/>
      <c r="V119" s="24">
        <f>IF(T$12=0,0,T119/T$12)</f>
        <v>0.1903300638391352</v>
      </c>
      <c r="W119" s="17"/>
      <c r="X119" s="22">
        <f>+P119-T119</f>
        <v>-280913.4100000012</v>
      </c>
      <c r="Y119" s="17"/>
      <c r="Z119" s="24">
        <f>IF(T119=0,0,X119/T119)</f>
        <v>-0.53721237226898855</v>
      </c>
    </row>
    <row r="120" spans="1:26" ht="15" customHeight="1" x14ac:dyDescent="0.3">
      <c r="A120" s="12"/>
      <c r="B120" s="13"/>
      <c r="C120" s="12"/>
      <c r="D120" s="4"/>
      <c r="E120" s="4"/>
      <c r="F120" s="10"/>
      <c r="G120" s="4"/>
      <c r="H120" s="4"/>
      <c r="I120" s="4"/>
      <c r="J120" s="10"/>
      <c r="K120" s="4"/>
      <c r="L120" s="4"/>
      <c r="M120" s="4"/>
      <c r="N120" s="10"/>
      <c r="P120" s="4"/>
      <c r="Q120" s="4"/>
      <c r="R120" s="10"/>
      <c r="S120" s="4"/>
      <c r="T120" s="4"/>
      <c r="U120" s="4"/>
      <c r="V120" s="10"/>
      <c r="W120" s="4"/>
      <c r="X120" s="4"/>
      <c r="Y120" s="4"/>
      <c r="Z120" s="10"/>
    </row>
    <row r="121" spans="1:26" s="62" customFormat="1" ht="15" customHeight="1" x14ac:dyDescent="0.3">
      <c r="A121" s="48"/>
      <c r="B121" s="13" t="s">
        <v>292</v>
      </c>
      <c r="C121" s="13"/>
      <c r="D121" s="8">
        <v>-509077.06</v>
      </c>
      <c r="E121" s="8"/>
      <c r="F121" s="14">
        <f>IF(D$12=0,0,D121/D$12)</f>
        <v>-1101.8983982683978</v>
      </c>
      <c r="G121" s="8"/>
      <c r="H121" s="8">
        <v>174236.97</v>
      </c>
      <c r="I121" s="8"/>
      <c r="J121" s="14">
        <f>IF(H$12=0,0,H121/H$12)</f>
        <v>43.002998711664645</v>
      </c>
      <c r="K121" s="8"/>
      <c r="L121" s="8">
        <f>+D121-H121</f>
        <v>-683314.03</v>
      </c>
      <c r="M121" s="8"/>
      <c r="N121" s="14">
        <f>IF(H121=0,0,L121/H121)</f>
        <v>-3.9217511071272648</v>
      </c>
      <c r="O121" s="13"/>
      <c r="P121" s="8">
        <v>-257765.5</v>
      </c>
      <c r="Q121" s="8"/>
      <c r="R121" s="14">
        <f>IF(P$12=0,0,P121/P$12)</f>
        <v>-0.1152887249822577</v>
      </c>
      <c r="S121" s="8"/>
      <c r="T121" s="8">
        <v>760460.67</v>
      </c>
      <c r="U121" s="8"/>
      <c r="V121" s="14">
        <f>IF(T$12=0,0,T121/T$12)</f>
        <v>0.27679464613250104</v>
      </c>
      <c r="W121" s="8"/>
      <c r="X121" s="8">
        <f>+P121-T121</f>
        <v>-1018226.17</v>
      </c>
      <c r="Y121" s="8"/>
      <c r="Z121" s="14">
        <f>IF(T121=0,0,X121/T121)</f>
        <v>-1.3389596729571827</v>
      </c>
    </row>
    <row r="122" spans="1:26" ht="15" customHeight="1" x14ac:dyDescent="0.3">
      <c r="A122" s="12"/>
      <c r="B122" s="13"/>
      <c r="C122" s="13"/>
      <c r="D122" s="4"/>
      <c r="E122" s="4"/>
      <c r="F122" s="10"/>
      <c r="G122" s="4"/>
      <c r="H122" s="4"/>
      <c r="I122" s="4"/>
      <c r="J122" s="10"/>
      <c r="K122" s="4"/>
      <c r="L122" s="4"/>
      <c r="M122" s="4"/>
      <c r="N122" s="10"/>
      <c r="O122" s="13"/>
      <c r="P122" s="4"/>
      <c r="Q122" s="4"/>
      <c r="R122" s="10"/>
      <c r="S122" s="4"/>
      <c r="T122" s="4"/>
      <c r="U122" s="4"/>
      <c r="V122" s="10"/>
      <c r="W122" s="4"/>
      <c r="X122" s="4"/>
      <c r="Y122" s="4"/>
      <c r="Z122" s="10"/>
    </row>
    <row r="123" spans="1:26" s="62" customFormat="1" ht="15" customHeight="1" x14ac:dyDescent="0.3">
      <c r="A123" s="13"/>
      <c r="B123" s="28" t="s">
        <v>293</v>
      </c>
      <c r="C123" s="28"/>
      <c r="D123" s="29">
        <f>+D119-D121</f>
        <v>344097.66</v>
      </c>
      <c r="E123" s="15"/>
      <c r="F123" s="31">
        <f>IF(D$12=0,0,D123/D$12)</f>
        <v>744.80012987012958</v>
      </c>
      <c r="G123" s="15"/>
      <c r="H123" s="29">
        <f>+H119-H121</f>
        <v>-264103.74</v>
      </c>
      <c r="I123" s="15"/>
      <c r="J123" s="31">
        <f>IF(H$12=0,0,H123/H$12)</f>
        <v>-65.182795539694098</v>
      </c>
      <c r="K123" s="17"/>
      <c r="L123" s="29">
        <f>D123-H123</f>
        <v>608201.39999999991</v>
      </c>
      <c r="M123" s="17"/>
      <c r="N123" s="31">
        <f>IF(H123=0,0,L123/H123)</f>
        <v>-2.3028882514121154</v>
      </c>
      <c r="O123" s="27"/>
      <c r="P123" s="29">
        <f>+P119-P121</f>
        <v>499761.50999999937</v>
      </c>
      <c r="Q123" s="15"/>
      <c r="R123" s="31">
        <f>IF(P$12=0,0,P123/P$12)</f>
        <v>0.22352435559882047</v>
      </c>
      <c r="S123" s="15"/>
      <c r="T123" s="29">
        <f>+T119-T121</f>
        <v>-237551.24999999948</v>
      </c>
      <c r="U123" s="15"/>
      <c r="V123" s="31">
        <f>IF(T$12=0,0,T123/T$12)</f>
        <v>-8.6464582293365871E-2</v>
      </c>
      <c r="W123" s="17"/>
      <c r="X123" s="29">
        <f>P123-T123</f>
        <v>737312.75999999885</v>
      </c>
      <c r="Y123" s="17"/>
      <c r="Z123" s="31">
        <f>IF(T123=0,0,X123/T123)</f>
        <v>-3.1038050104977368</v>
      </c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ht="15" customHeight="1" x14ac:dyDescent="0.3">
      <c r="A125" s="12"/>
      <c r="B125" s="12"/>
      <c r="C125" s="12"/>
      <c r="D125" s="4"/>
      <c r="E125" s="4"/>
      <c r="F125" s="10"/>
      <c r="G125" s="4"/>
      <c r="H125" s="4"/>
      <c r="I125" s="4"/>
      <c r="J125" s="10"/>
      <c r="K125" s="4"/>
      <c r="L125" s="4"/>
      <c r="M125" s="4"/>
      <c r="N125" s="10"/>
      <c r="P125" s="4"/>
      <c r="Q125" s="4"/>
      <c r="R125" s="10"/>
      <c r="S125" s="4"/>
      <c r="T125" s="4"/>
      <c r="U125" s="4"/>
      <c r="V125" s="10"/>
      <c r="W125" s="4"/>
      <c r="X125" s="4"/>
      <c r="Y125" s="4"/>
      <c r="Z125" s="10"/>
    </row>
    <row r="126" spans="1:26" s="62" customFormat="1" ht="15" customHeight="1" x14ac:dyDescent="0.3">
      <c r="A126" s="13"/>
      <c r="B126" s="28" t="s">
        <v>296</v>
      </c>
      <c r="C126" s="28"/>
      <c r="D126" s="30">
        <f>SUM(D123:D125)</f>
        <v>344097.66</v>
      </c>
      <c r="E126" s="15"/>
      <c r="F126" s="35">
        <f>IF(D$12=0,0,D126/D$12)</f>
        <v>744.80012987012958</v>
      </c>
      <c r="G126" s="15"/>
      <c r="H126" s="30">
        <f>SUM(H123:H125)</f>
        <v>-264103.74</v>
      </c>
      <c r="I126" s="15"/>
      <c r="J126" s="35">
        <f>IF(H$12=0,0,H126/H$12)</f>
        <v>-65.182795539694098</v>
      </c>
      <c r="K126" s="17"/>
      <c r="L126" s="30">
        <f>+D126-H126</f>
        <v>608201.39999999991</v>
      </c>
      <c r="M126" s="17"/>
      <c r="N126" s="35">
        <f>IF(H126=0,0,L126/H126)</f>
        <v>-2.3028882514121154</v>
      </c>
      <c r="O126" s="27"/>
      <c r="P126" s="30">
        <f>SUM(P123:P125)</f>
        <v>499761.50999999937</v>
      </c>
      <c r="Q126" s="15"/>
      <c r="R126" s="35">
        <f>IF(P$12=0,0,P126/P$12)</f>
        <v>0.22352435559882047</v>
      </c>
      <c r="S126" s="15"/>
      <c r="T126" s="30">
        <f>SUM(T123:T125)</f>
        <v>-237551.24999999948</v>
      </c>
      <c r="U126" s="15"/>
      <c r="V126" s="35">
        <f>IF(T$12=0,0,T126/T$12)</f>
        <v>-8.6464582293365871E-2</v>
      </c>
      <c r="W126" s="17"/>
      <c r="X126" s="30">
        <f>+P126-T126</f>
        <v>737312.75999999885</v>
      </c>
      <c r="Y126" s="17"/>
      <c r="Z126" s="35">
        <f>IF(T126=0,0,X126/T126)</f>
        <v>-3.1038050104977368</v>
      </c>
    </row>
    <row r="127" spans="1:26" ht="15" customHeight="1" x14ac:dyDescent="0.3">
      <c r="A127" s="12"/>
      <c r="C127" s="12"/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4">
        <v>44767.815875810185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3" t="s">
        <v>297</v>
      </c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A130" s="12"/>
      <c r="B130" s="51"/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  <row r="131" spans="1:24" ht="15" customHeight="1" x14ac:dyDescent="0.3">
      <c r="D131" s="19"/>
      <c r="E131" s="19"/>
      <c r="G131" s="19"/>
      <c r="H131" s="19"/>
      <c r="I131" s="19"/>
      <c r="J131" s="41"/>
      <c r="K131" s="19"/>
      <c r="L131" s="19"/>
      <c r="M131" s="19"/>
      <c r="P131" s="19"/>
      <c r="Q131" s="19"/>
      <c r="R131" s="41"/>
      <c r="S131" s="19"/>
      <c r="T131" s="19"/>
      <c r="U131" s="19"/>
      <c r="V131" s="41"/>
      <c r="W131" s="19"/>
      <c r="X13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0166D-5A78-EC78-F034-9EF942A70C53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5" customWidth="1"/>
    <col min="221" max="221" width="20.6640625" style="70" customWidth="1"/>
    <col min="222" max="223" width="20.6640625" style="65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6" t="s">
        <v>2</v>
      </c>
      <c r="B3" s="36" t="s">
        <v>54</v>
      </c>
      <c r="C3" s="36" t="s">
        <v>5</v>
      </c>
      <c r="D3" s="36" t="s">
        <v>55</v>
      </c>
      <c r="E3" s="36" t="s">
        <v>56</v>
      </c>
      <c r="F3" s="36" t="s">
        <v>57</v>
      </c>
      <c r="G3" s="36" t="s">
        <v>58</v>
      </c>
      <c r="H3" s="36" t="s">
        <v>59</v>
      </c>
      <c r="I3" s="36" t="s">
        <v>60</v>
      </c>
      <c r="J3" s="36" t="s">
        <v>61</v>
      </c>
      <c r="K3" s="36" t="s">
        <v>62</v>
      </c>
      <c r="L3" s="36" t="s">
        <v>63</v>
      </c>
      <c r="M3" s="36" t="s">
        <v>64</v>
      </c>
      <c r="N3" s="36" t="s">
        <v>65</v>
      </c>
      <c r="O3" s="36" t="s">
        <v>66</v>
      </c>
      <c r="P3" s="36" t="s">
        <v>67</v>
      </c>
      <c r="Q3" s="36" t="s">
        <v>68</v>
      </c>
      <c r="R3" s="36" t="s">
        <v>69</v>
      </c>
      <c r="S3" s="36" t="s">
        <v>70</v>
      </c>
      <c r="T3" s="36" t="s">
        <v>71</v>
      </c>
      <c r="U3" s="36" t="s">
        <v>72</v>
      </c>
      <c r="V3" s="36" t="s">
        <v>73</v>
      </c>
      <c r="W3" s="36" t="s">
        <v>74</v>
      </c>
      <c r="X3" s="36" t="s">
        <v>75</v>
      </c>
      <c r="Y3" s="36" t="s">
        <v>76</v>
      </c>
      <c r="Z3" s="36" t="s">
        <v>77</v>
      </c>
      <c r="AA3" s="36" t="s">
        <v>78</v>
      </c>
      <c r="AB3" s="36" t="s">
        <v>79</v>
      </c>
      <c r="AC3" s="36" t="s">
        <v>80</v>
      </c>
      <c r="AD3" s="36" t="s">
        <v>81</v>
      </c>
      <c r="AE3" s="36" t="s">
        <v>82</v>
      </c>
      <c r="AF3" s="36" t="s">
        <v>83</v>
      </c>
      <c r="AG3" s="36" t="s">
        <v>84</v>
      </c>
      <c r="AH3" s="36" t="s">
        <v>85</v>
      </c>
      <c r="AI3" s="36" t="s">
        <v>86</v>
      </c>
      <c r="AJ3" s="36" t="s">
        <v>87</v>
      </c>
      <c r="AK3" s="36" t="s">
        <v>88</v>
      </c>
      <c r="AL3" s="36" t="s">
        <v>89</v>
      </c>
      <c r="AM3" s="36" t="s">
        <v>90</v>
      </c>
      <c r="AN3" s="36" t="s">
        <v>91</v>
      </c>
      <c r="AO3" s="36" t="s">
        <v>92</v>
      </c>
      <c r="AP3" s="36" t="s">
        <v>93</v>
      </c>
      <c r="AQ3" s="36" t="s">
        <v>94</v>
      </c>
      <c r="AR3" s="36" t="s">
        <v>95</v>
      </c>
      <c r="AS3" s="36" t="s">
        <v>96</v>
      </c>
      <c r="AT3" s="36" t="s">
        <v>97</v>
      </c>
      <c r="AU3" s="36" t="s">
        <v>98</v>
      </c>
      <c r="AV3" s="36" t="s">
        <v>99</v>
      </c>
      <c r="AW3" s="36" t="s">
        <v>100</v>
      </c>
      <c r="AX3" s="36" t="s">
        <v>101</v>
      </c>
      <c r="AY3" s="36" t="s">
        <v>102</v>
      </c>
      <c r="AZ3" s="36" t="s">
        <v>103</v>
      </c>
      <c r="BA3" s="36" t="s">
        <v>104</v>
      </c>
      <c r="BB3" s="36" t="s">
        <v>105</v>
      </c>
      <c r="BC3" s="36" t="s">
        <v>106</v>
      </c>
      <c r="BD3" s="36" t="s">
        <v>107</v>
      </c>
      <c r="BE3" s="36" t="s">
        <v>108</v>
      </c>
      <c r="BF3" s="36" t="s">
        <v>109</v>
      </c>
      <c r="BG3" s="36" t="s">
        <v>110</v>
      </c>
      <c r="BH3" s="36" t="s">
        <v>111</v>
      </c>
      <c r="BI3" s="36" t="s">
        <v>112</v>
      </c>
      <c r="BJ3" s="36" t="s">
        <v>113</v>
      </c>
      <c r="BK3" s="36" t="s">
        <v>114</v>
      </c>
      <c r="BL3" s="36" t="s">
        <v>115</v>
      </c>
      <c r="BM3" s="36" t="s">
        <v>116</v>
      </c>
      <c r="BN3" s="36" t="s">
        <v>117</v>
      </c>
      <c r="BO3" s="36" t="s">
        <v>118</v>
      </c>
      <c r="BP3" s="36" t="s">
        <v>119</v>
      </c>
      <c r="BQ3" s="36" t="s">
        <v>120</v>
      </c>
      <c r="BR3" s="36" t="s">
        <v>121</v>
      </c>
      <c r="BS3" s="36" t="s">
        <v>122</v>
      </c>
      <c r="BT3" s="36" t="s">
        <v>123</v>
      </c>
      <c r="BU3" s="36" t="s">
        <v>124</v>
      </c>
      <c r="BV3" s="36" t="s">
        <v>125</v>
      </c>
      <c r="BW3" s="36" t="s">
        <v>126</v>
      </c>
      <c r="BX3" s="36" t="s">
        <v>127</v>
      </c>
      <c r="BY3" s="36" t="s">
        <v>128</v>
      </c>
      <c r="BZ3" s="36" t="s">
        <v>129</v>
      </c>
      <c r="CA3" s="36" t="s">
        <v>130</v>
      </c>
      <c r="CB3" s="36" t="s">
        <v>131</v>
      </c>
      <c r="CC3" s="36" t="s">
        <v>132</v>
      </c>
      <c r="CD3" s="36" t="s">
        <v>133</v>
      </c>
      <c r="CE3" s="36" t="s">
        <v>134</v>
      </c>
      <c r="CF3" s="36" t="s">
        <v>135</v>
      </c>
      <c r="CG3" s="36" t="s">
        <v>136</v>
      </c>
      <c r="CH3" s="36" t="s">
        <v>137</v>
      </c>
      <c r="CI3" s="36" t="s">
        <v>138</v>
      </c>
      <c r="CJ3" s="36" t="s">
        <v>139</v>
      </c>
      <c r="CK3" s="36" t="s">
        <v>140</v>
      </c>
      <c r="CL3" s="36" t="s">
        <v>141</v>
      </c>
      <c r="CM3" s="36" t="s">
        <v>142</v>
      </c>
      <c r="CN3" s="36" t="s">
        <v>143</v>
      </c>
      <c r="CO3" s="36" t="s">
        <v>144</v>
      </c>
      <c r="CP3" s="36" t="s">
        <v>145</v>
      </c>
      <c r="CQ3" s="36" t="s">
        <v>146</v>
      </c>
      <c r="CR3" s="36" t="s">
        <v>147</v>
      </c>
      <c r="CS3" s="36" t="s">
        <v>148</v>
      </c>
      <c r="CT3" s="36" t="s">
        <v>149</v>
      </c>
      <c r="CU3" s="36" t="s">
        <v>150</v>
      </c>
      <c r="CV3" s="36" t="s">
        <v>151</v>
      </c>
      <c r="CW3" s="36" t="s">
        <v>152</v>
      </c>
      <c r="CX3" s="36" t="s">
        <v>153</v>
      </c>
      <c r="CY3" s="36" t="s">
        <v>154</v>
      </c>
      <c r="CZ3" s="36" t="s">
        <v>155</v>
      </c>
      <c r="DA3" s="36" t="s">
        <v>156</v>
      </c>
      <c r="DB3" s="36" t="s">
        <v>157</v>
      </c>
      <c r="DC3" s="36" t="s">
        <v>158</v>
      </c>
      <c r="DD3" s="36" t="s">
        <v>159</v>
      </c>
      <c r="DE3" s="36" t="s">
        <v>160</v>
      </c>
      <c r="DF3" s="36" t="s">
        <v>161</v>
      </c>
      <c r="DG3" s="36" t="s">
        <v>162</v>
      </c>
      <c r="DH3" s="36" t="s">
        <v>163</v>
      </c>
      <c r="DI3" s="36" t="s">
        <v>164</v>
      </c>
      <c r="DJ3" s="36" t="s">
        <v>165</v>
      </c>
      <c r="DK3" s="36" t="s">
        <v>166</v>
      </c>
      <c r="DL3" s="36" t="s">
        <v>167</v>
      </c>
      <c r="DM3" s="36" t="s">
        <v>168</v>
      </c>
      <c r="DN3" s="36" t="s">
        <v>169</v>
      </c>
      <c r="DO3" s="36" t="s">
        <v>170</v>
      </c>
      <c r="DP3" s="36" t="s">
        <v>171</v>
      </c>
      <c r="DQ3" s="36" t="s">
        <v>172</v>
      </c>
      <c r="DR3" s="36" t="s">
        <v>173</v>
      </c>
      <c r="DS3" s="36" t="s">
        <v>174</v>
      </c>
      <c r="DT3" s="36" t="s">
        <v>175</v>
      </c>
      <c r="DU3" s="36" t="s">
        <v>176</v>
      </c>
      <c r="DV3" s="36" t="s">
        <v>177</v>
      </c>
      <c r="DW3" s="36" t="s">
        <v>178</v>
      </c>
      <c r="DX3" s="36" t="s">
        <v>179</v>
      </c>
      <c r="DY3" s="36" t="s">
        <v>180</v>
      </c>
      <c r="DZ3" s="36" t="s">
        <v>181</v>
      </c>
      <c r="EA3" s="36" t="s">
        <v>182</v>
      </c>
      <c r="EB3" s="36" t="s">
        <v>183</v>
      </c>
      <c r="EC3" s="36" t="s">
        <v>184</v>
      </c>
      <c r="ED3" s="36" t="s">
        <v>185</v>
      </c>
      <c r="EE3" s="36" t="s">
        <v>186</v>
      </c>
      <c r="EF3" s="36" t="s">
        <v>187</v>
      </c>
      <c r="EG3" s="36" t="s">
        <v>188</v>
      </c>
      <c r="EH3" s="36" t="s">
        <v>189</v>
      </c>
      <c r="EI3" s="36" t="s">
        <v>190</v>
      </c>
      <c r="EJ3" s="36" t="s">
        <v>191</v>
      </c>
      <c r="EK3" s="36" t="s">
        <v>192</v>
      </c>
      <c r="EL3" s="36" t="s">
        <v>193</v>
      </c>
      <c r="EM3" s="36" t="s">
        <v>194</v>
      </c>
      <c r="EN3" s="36" t="s">
        <v>195</v>
      </c>
      <c r="EO3" s="36" t="s">
        <v>196</v>
      </c>
      <c r="EP3" s="36" t="s">
        <v>197</v>
      </c>
      <c r="EQ3" s="36" t="s">
        <v>198</v>
      </c>
      <c r="ER3" s="36" t="s">
        <v>199</v>
      </c>
      <c r="ES3" s="36" t="s">
        <v>200</v>
      </c>
      <c r="ET3" s="36" t="s">
        <v>201</v>
      </c>
      <c r="EU3" s="36" t="s">
        <v>202</v>
      </c>
      <c r="EV3" s="36" t="s">
        <v>203</v>
      </c>
      <c r="EW3" s="36" t="s">
        <v>204</v>
      </c>
      <c r="EX3" s="36" t="s">
        <v>205</v>
      </c>
      <c r="EY3" s="36" t="s">
        <v>206</v>
      </c>
      <c r="EZ3" s="36" t="s">
        <v>207</v>
      </c>
      <c r="FA3" s="36" t="s">
        <v>208</v>
      </c>
      <c r="FB3" s="36" t="s">
        <v>209</v>
      </c>
      <c r="FC3" s="36" t="s">
        <v>210</v>
      </c>
      <c r="FD3" s="36" t="s">
        <v>211</v>
      </c>
      <c r="FE3" s="36" t="s">
        <v>212</v>
      </c>
      <c r="FF3" s="36" t="s">
        <v>213</v>
      </c>
      <c r="FG3" s="36" t="s">
        <v>214</v>
      </c>
      <c r="FH3" s="36" t="s">
        <v>215</v>
      </c>
      <c r="FI3" s="36" t="s">
        <v>216</v>
      </c>
      <c r="FJ3" s="36" t="s">
        <v>217</v>
      </c>
      <c r="FK3" s="36" t="s">
        <v>218</v>
      </c>
      <c r="FL3" s="36" t="s">
        <v>219</v>
      </c>
      <c r="FM3" s="36" t="s">
        <v>220</v>
      </c>
      <c r="FN3" s="36" t="s">
        <v>221</v>
      </c>
      <c r="FO3" s="36" t="s">
        <v>222</v>
      </c>
      <c r="FP3" s="36" t="s">
        <v>223</v>
      </c>
      <c r="FQ3" s="36" t="s">
        <v>224</v>
      </c>
      <c r="FR3" s="36" t="s">
        <v>225</v>
      </c>
      <c r="FS3" s="36" t="s">
        <v>226</v>
      </c>
      <c r="FT3" s="36" t="s">
        <v>227</v>
      </c>
      <c r="FU3" s="36" t="s">
        <v>228</v>
      </c>
      <c r="FV3" s="36" t="s">
        <v>229</v>
      </c>
      <c r="FW3" s="36" t="s">
        <v>230</v>
      </c>
      <c r="FX3" s="36" t="s">
        <v>231</v>
      </c>
      <c r="FY3" s="36" t="s">
        <v>232</v>
      </c>
      <c r="FZ3" s="36" t="s">
        <v>233</v>
      </c>
      <c r="GA3" s="36" t="s">
        <v>234</v>
      </c>
      <c r="GB3" s="36" t="s">
        <v>235</v>
      </c>
      <c r="GC3" s="36" t="s">
        <v>236</v>
      </c>
      <c r="GD3" s="36" t="s">
        <v>237</v>
      </c>
      <c r="GE3" s="36" t="s">
        <v>238</v>
      </c>
      <c r="GF3" s="36" t="s">
        <v>239</v>
      </c>
      <c r="GG3" s="36" t="s">
        <v>240</v>
      </c>
      <c r="GH3" s="36" t="s">
        <v>241</v>
      </c>
      <c r="GI3" s="36" t="s">
        <v>242</v>
      </c>
      <c r="GJ3" s="36" t="s">
        <v>243</v>
      </c>
      <c r="GK3" s="36" t="s">
        <v>244</v>
      </c>
      <c r="GL3" s="36" t="s">
        <v>245</v>
      </c>
      <c r="GM3" s="36" t="s">
        <v>246</v>
      </c>
      <c r="GN3" s="36" t="s">
        <v>247</v>
      </c>
      <c r="GO3" s="36" t="s">
        <v>248</v>
      </c>
      <c r="GP3" s="36" t="s">
        <v>249</v>
      </c>
      <c r="GQ3" s="36" t="s">
        <v>250</v>
      </c>
      <c r="GR3" s="36" t="s">
        <v>251</v>
      </c>
      <c r="GS3" s="36" t="s">
        <v>252</v>
      </c>
      <c r="GT3" s="36" t="s">
        <v>253</v>
      </c>
      <c r="GU3" s="36" t="s">
        <v>254</v>
      </c>
      <c r="GV3" s="36" t="s">
        <v>255</v>
      </c>
      <c r="GW3" s="36" t="s">
        <v>256</v>
      </c>
      <c r="GX3" s="36" t="s">
        <v>257</v>
      </c>
      <c r="GY3" s="36" t="s">
        <v>258</v>
      </c>
      <c r="GZ3" s="36" t="s">
        <v>259</v>
      </c>
      <c r="HA3" s="36" t="s">
        <v>260</v>
      </c>
      <c r="HB3" s="36" t="s">
        <v>261</v>
      </c>
      <c r="HC3" s="36" t="s">
        <v>262</v>
      </c>
      <c r="HD3" s="36" t="s">
        <v>263</v>
      </c>
      <c r="HE3" s="36" t="s">
        <v>264</v>
      </c>
      <c r="HF3" s="36" t="s">
        <v>265</v>
      </c>
      <c r="HG3" s="36" t="s">
        <v>266</v>
      </c>
      <c r="HH3" s="36" t="s">
        <v>267</v>
      </c>
      <c r="HI3" s="36" t="s">
        <v>268</v>
      </c>
      <c r="HJ3" s="36" t="s">
        <v>269</v>
      </c>
      <c r="HK3" s="36"/>
      <c r="HL3" s="36" t="s">
        <v>270</v>
      </c>
      <c r="HM3" s="60"/>
      <c r="HN3" s="36" t="s">
        <v>52</v>
      </c>
      <c r="HO3" s="36" t="s">
        <v>53</v>
      </c>
      <c r="HP3" s="1" t="s">
        <v>271</v>
      </c>
      <c r="JK3" s="36" t="s">
        <v>272</v>
      </c>
      <c r="JL3" s="36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6" t="s">
        <v>274</v>
      </c>
      <c r="JL10002" s="36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FE2E-838E-9158-1151-4B787E51CB84}">
  <sheetPr>
    <tabColor rgb="FF92D05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","311"," - ","Textbooks")</f>
        <v>Department 311 - Textbooks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13433.02</v>
      </c>
      <c r="E12" s="8"/>
      <c r="F12" s="14"/>
      <c r="G12" s="8"/>
      <c r="H12" s="8">
        <f>SUM(OSRRefH13x_0)</f>
        <v>10542.05</v>
      </c>
      <c r="I12" s="8"/>
      <c r="J12" s="14"/>
      <c r="K12" s="8"/>
      <c r="L12" s="8">
        <f t="shared" ref="L12:L38" si="0">+D12-H12</f>
        <v>2890.9700000000012</v>
      </c>
      <c r="M12" s="8"/>
      <c r="N12" s="14">
        <f t="shared" ref="N12:N38" si="1">IF(H12=0,0,L12/H12)</f>
        <v>0.2742322413572314</v>
      </c>
      <c r="O12" s="13"/>
      <c r="P12" s="8">
        <f>SUM(OSRRefP13x_0)</f>
        <v>1803927.22</v>
      </c>
      <c r="Q12" s="8"/>
      <c r="R12" s="14"/>
      <c r="S12" s="8"/>
      <c r="T12" s="8">
        <f>SUM(OSRRefT13x_0)</f>
        <v>1976687.1099999999</v>
      </c>
      <c r="U12" s="8"/>
      <c r="V12" s="14"/>
      <c r="W12" s="8"/>
      <c r="X12" s="8">
        <f t="shared" ref="X12:X38" si="2">+P12-T12</f>
        <v>-172759.8899999999</v>
      </c>
      <c r="Y12" s="8"/>
      <c r="Z12" s="14">
        <f t="shared" ref="Z12:Z38" si="3">IF(T12=0,0,X12/T12)</f>
        <v>-8.7398703176649897E-2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--11269.69</f>
        <v>11269.69</v>
      </c>
      <c r="E13" s="3"/>
      <c r="F13" s="26"/>
      <c r="G13" s="3"/>
      <c r="H13" s="3">
        <f>-260.84</f>
        <v>-260.83999999999997</v>
      </c>
      <c r="I13" s="3"/>
      <c r="J13" s="26"/>
      <c r="K13" s="3"/>
      <c r="L13" s="3">
        <f t="shared" si="0"/>
        <v>11530.53</v>
      </c>
      <c r="M13" s="3"/>
      <c r="N13" s="26">
        <f t="shared" si="1"/>
        <v>-44.205374942493492</v>
      </c>
      <c r="O13" s="9"/>
      <c r="P13" s="3">
        <f>--1429219.06</f>
        <v>1429219.06</v>
      </c>
      <c r="Q13" s="3"/>
      <c r="R13" s="26"/>
      <c r="S13" s="3"/>
      <c r="T13" s="3">
        <f>-9541.2</f>
        <v>-9541.2000000000007</v>
      </c>
      <c r="U13" s="3"/>
      <c r="V13" s="26"/>
      <c r="W13" s="3"/>
      <c r="X13" s="3">
        <f t="shared" si="2"/>
        <v>1438760.26</v>
      </c>
      <c r="Y13" s="3"/>
      <c r="Z13" s="26">
        <f t="shared" si="3"/>
        <v>-150.79447658575441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--5351.15</f>
        <v>5351.15</v>
      </c>
      <c r="I14" s="3"/>
      <c r="J14" s="26"/>
      <c r="K14" s="3"/>
      <c r="L14" s="3">
        <f t="shared" si="0"/>
        <v>-5351.15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--1034593.04</f>
        <v>1034593.04</v>
      </c>
      <c r="U14" s="3"/>
      <c r="V14" s="26"/>
      <c r="W14" s="3"/>
      <c r="X14" s="3">
        <f t="shared" si="2"/>
        <v>-1034593.04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--2986.1</f>
        <v>2986.1</v>
      </c>
      <c r="I15" s="3"/>
      <c r="J15" s="26"/>
      <c r="K15" s="3"/>
      <c r="L15" s="3">
        <f t="shared" si="0"/>
        <v>-2986.1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--363302.87</f>
        <v>363302.87</v>
      </c>
      <c r="U15" s="3"/>
      <c r="V15" s="26"/>
      <c r="W15" s="3"/>
      <c r="X15" s="3">
        <f t="shared" si="2"/>
        <v>-363302.87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","4100"," - ","NON-TAXABLE SALES")</f>
        <v xml:space="preserve">          4100 - NON-TAXABLE SALES</v>
      </c>
      <c r="C21" s="9"/>
      <c r="D21" s="3">
        <f>--4940</f>
        <v>4940</v>
      </c>
      <c r="E21" s="3"/>
      <c r="F21" s="26"/>
      <c r="G21" s="3"/>
      <c r="H21" s="3">
        <f>0</f>
        <v>0</v>
      </c>
      <c r="I21" s="3"/>
      <c r="J21" s="26"/>
      <c r="K21" s="3"/>
      <c r="L21" s="3">
        <f t="shared" si="0"/>
        <v>4940</v>
      </c>
      <c r="M21" s="3"/>
      <c r="N21" s="26">
        <f t="shared" si="1"/>
        <v>0</v>
      </c>
      <c r="O21" s="9"/>
      <c r="P21" s="3">
        <f>--482325.27</f>
        <v>482325.27</v>
      </c>
      <c r="Q21" s="3"/>
      <c r="R21" s="26"/>
      <c r="S21" s="3"/>
      <c r="T21" s="3">
        <f>0</f>
        <v>0</v>
      </c>
      <c r="U21" s="3"/>
      <c r="V21" s="26"/>
      <c r="W21" s="3"/>
      <c r="X21" s="3">
        <f t="shared" si="2"/>
        <v>482325.27</v>
      </c>
      <c r="Y21" s="3"/>
      <c r="Z21" s="26">
        <f t="shared" si="3"/>
        <v>0</v>
      </c>
    </row>
    <row r="22" spans="1:26" s="69" customFormat="1" ht="15" hidden="1" customHeight="1" outlineLevel="1" x14ac:dyDescent="0.3">
      <c r="A22" s="47"/>
      <c r="B22" s="9" t="str">
        <f>CONCATENATE("          ","4101"," - ","NON-TAXABLE SALES-NEW TEXT")</f>
        <v xml:space="preserve">          4101 - NON-TAXABLE SALES-NEW TEXT</v>
      </c>
      <c r="C22" s="9"/>
      <c r="D22" s="3">
        <f>0</f>
        <v>0</v>
      </c>
      <c r="E22" s="3"/>
      <c r="F22" s="26"/>
      <c r="G22" s="3"/>
      <c r="H22" s="3">
        <f>--1301.39</f>
        <v>1301.3900000000001</v>
      </c>
      <c r="I22" s="3"/>
      <c r="J22" s="26"/>
      <c r="K22" s="3"/>
      <c r="L22" s="3">
        <f t="shared" si="0"/>
        <v>-1301.3900000000001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--120548.46</f>
        <v>120548.46</v>
      </c>
      <c r="U22" s="3"/>
      <c r="V22" s="26"/>
      <c r="W22" s="3"/>
      <c r="X22" s="3">
        <f t="shared" si="2"/>
        <v>-120548.46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","4102"," - ","NON-TAXABLE SALES-USED TEXT")</f>
        <v xml:space="preserve">          4102 - NON-TAXABLE SALES-USED TEXT</v>
      </c>
      <c r="C23" s="9"/>
      <c r="D23" s="3">
        <f>0</f>
        <v>0</v>
      </c>
      <c r="E23" s="3"/>
      <c r="F23" s="26"/>
      <c r="G23" s="3"/>
      <c r="H23" s="3">
        <f>--540.91</f>
        <v>540.91</v>
      </c>
      <c r="I23" s="3"/>
      <c r="J23" s="26"/>
      <c r="K23" s="3"/>
      <c r="L23" s="3">
        <f t="shared" si="0"/>
        <v>-540.91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--51587.64</f>
        <v>51587.64</v>
      </c>
      <c r="U23" s="3"/>
      <c r="V23" s="26"/>
      <c r="W23" s="3"/>
      <c r="X23" s="3">
        <f t="shared" si="2"/>
        <v>-51587.64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","4103"," - ","NON-TAXABLE SALES-RENTAL TEXT")</f>
        <v xml:space="preserve">          4103 - NON-TAXABLE SALES-RENTAL TEXT</v>
      </c>
      <c r="C24" s="9"/>
      <c r="D24" s="3">
        <f>0</f>
        <v>0</v>
      </c>
      <c r="E24" s="3"/>
      <c r="F24" s="26"/>
      <c r="G24" s="3"/>
      <c r="H24" s="3">
        <f>0</f>
        <v>0</v>
      </c>
      <c r="I24" s="3"/>
      <c r="J24" s="26"/>
      <c r="K24" s="3"/>
      <c r="L24" s="3">
        <f t="shared" si="0"/>
        <v>0</v>
      </c>
      <c r="M24" s="3"/>
      <c r="N24" s="26">
        <f t="shared" si="1"/>
        <v>0</v>
      </c>
      <c r="O24" s="9"/>
      <c r="P24" s="3">
        <f>0</f>
        <v>0</v>
      </c>
      <c r="Q24" s="3"/>
      <c r="R24" s="26"/>
      <c r="S24" s="3"/>
      <c r="T24" s="3">
        <f>--1138.95</f>
        <v>1138.95</v>
      </c>
      <c r="U24" s="3"/>
      <c r="V24" s="26"/>
      <c r="W24" s="3"/>
      <c r="X24" s="3">
        <f t="shared" si="2"/>
        <v>-1138.95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","4104"," - ","NON-TAXABLE SALES-DIGITAL TEXT")</f>
        <v xml:space="preserve">          4104 - NON-TAXABLE SALES-DIGITAL TEXT</v>
      </c>
      <c r="C25" s="9"/>
      <c r="D25" s="3">
        <f>0</f>
        <v>0</v>
      </c>
      <c r="E25" s="3"/>
      <c r="F25" s="26"/>
      <c r="G25" s="3"/>
      <c r="H25" s="3">
        <f>--695.53</f>
        <v>695.53</v>
      </c>
      <c r="I25" s="3"/>
      <c r="J25" s="26"/>
      <c r="K25" s="3"/>
      <c r="L25" s="3">
        <f t="shared" si="0"/>
        <v>-695.53</v>
      </c>
      <c r="M25" s="3"/>
      <c r="N25" s="26">
        <f t="shared" si="1"/>
        <v>-1</v>
      </c>
      <c r="O25" s="9"/>
      <c r="P25" s="3">
        <f>0</f>
        <v>0</v>
      </c>
      <c r="Q25" s="3"/>
      <c r="R25" s="26"/>
      <c r="S25" s="3"/>
      <c r="T25" s="3">
        <f>--491583.26</f>
        <v>491583.26</v>
      </c>
      <c r="U25" s="3"/>
      <c r="V25" s="26"/>
      <c r="W25" s="3"/>
      <c r="X25" s="3">
        <f t="shared" si="2"/>
        <v>-491583.26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","4113"," - ","NON-TAXABLE SALES-TRADE BOOKS")</f>
        <v xml:space="preserve">          4113 - NON-TAXABLE SALES-TRADE BOOKS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--12127.25</f>
        <v>12127.25</v>
      </c>
      <c r="U26" s="3"/>
      <c r="V26" s="26"/>
      <c r="W26" s="3"/>
      <c r="X26" s="3">
        <f t="shared" si="2"/>
        <v>-12127.25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","4118"," - ","NON-TAXABLE SALES-STUDY GUIDES")</f>
        <v xml:space="preserve">          4118 - NON-TAXABLE SALES-STUDY GUIDES</v>
      </c>
      <c r="C27" s="9"/>
      <c r="D27" s="3">
        <f>0</f>
        <v>0</v>
      </c>
      <c r="E27" s="3"/>
      <c r="F27" s="26"/>
      <c r="G27" s="3"/>
      <c r="H27" s="3">
        <f>--594.22</f>
        <v>594.22</v>
      </c>
      <c r="I27" s="3"/>
      <c r="J27" s="26"/>
      <c r="K27" s="3"/>
      <c r="L27" s="3">
        <f t="shared" si="0"/>
        <v>-594.22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--1365.95</f>
        <v>1365.95</v>
      </c>
      <c r="U27" s="3"/>
      <c r="V27" s="26"/>
      <c r="W27" s="3"/>
      <c r="X27" s="3">
        <f t="shared" si="2"/>
        <v>-1365.95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","4200"," - ","TAXABLE RETURNS")</f>
        <v xml:space="preserve">          4200 - TAXABLE RETURNS</v>
      </c>
      <c r="C28" s="9"/>
      <c r="D28" s="3">
        <f>-1412.75</f>
        <v>-1412.75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-1412.75</v>
      </c>
      <c r="M28" s="3"/>
      <c r="N28" s="26">
        <f t="shared" si="1"/>
        <v>0</v>
      </c>
      <c r="O28" s="9"/>
      <c r="P28" s="3">
        <f>-60219.77</f>
        <v>-60219.77</v>
      </c>
      <c r="Q28" s="3"/>
      <c r="R28" s="26"/>
      <c r="S28" s="3"/>
      <c r="T28" s="3">
        <f>0</f>
        <v>0</v>
      </c>
      <c r="U28" s="3"/>
      <c r="V28" s="26"/>
      <c r="W28" s="3"/>
      <c r="X28" s="3">
        <f t="shared" si="2"/>
        <v>-60219.77</v>
      </c>
      <c r="Y28" s="3"/>
      <c r="Z28" s="26">
        <f t="shared" si="3"/>
        <v>0</v>
      </c>
    </row>
    <row r="29" spans="1:26" s="69" customFormat="1" ht="15" hidden="1" customHeight="1" outlineLevel="1" x14ac:dyDescent="0.3">
      <c r="A29" s="47"/>
      <c r="B29" s="9" t="str">
        <f>CONCATENATE("          ","4201"," - ","SALES RETURN TAXABLE-NEW TEXT")</f>
        <v xml:space="preserve">          4201 - SALES RETURN TAXABLE-NEW TEXT</v>
      </c>
      <c r="C29" s="9"/>
      <c r="D29" s="3">
        <f>0</f>
        <v>0</v>
      </c>
      <c r="E29" s="3"/>
      <c r="F29" s="26"/>
      <c r="G29" s="3"/>
      <c r="H29" s="3">
        <f>-1101.25</f>
        <v>-1101.25</v>
      </c>
      <c r="I29" s="3"/>
      <c r="J29" s="26"/>
      <c r="K29" s="3"/>
      <c r="L29" s="3">
        <f t="shared" si="0"/>
        <v>1101.25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-53397.67</f>
        <v>-53397.67</v>
      </c>
      <c r="U29" s="3"/>
      <c r="V29" s="26"/>
      <c r="W29" s="3"/>
      <c r="X29" s="3">
        <f t="shared" si="2"/>
        <v>53397.67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","4202"," - ","SALES RETURN TAXABLE-USED TEXT")</f>
        <v xml:space="preserve">          4202 - SALES RETURN TAXABLE-USED TEXT</v>
      </c>
      <c r="C30" s="9"/>
      <c r="D30" s="3">
        <f>0</f>
        <v>0</v>
      </c>
      <c r="E30" s="3"/>
      <c r="F30" s="26"/>
      <c r="G30" s="3"/>
      <c r="H30" s="3">
        <f>-433.75</f>
        <v>-433.75</v>
      </c>
      <c r="I30" s="3"/>
      <c r="J30" s="26"/>
      <c r="K30" s="3"/>
      <c r="L30" s="3">
        <f t="shared" si="0"/>
        <v>433.75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-20889.41</f>
        <v>-20889.41</v>
      </c>
      <c r="U30" s="3"/>
      <c r="V30" s="26"/>
      <c r="W30" s="3"/>
      <c r="X30" s="3">
        <f t="shared" si="2"/>
        <v>20889.41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","4204"," - ","SALES RETURN TAXABLE-DIGITAL T")</f>
        <v xml:space="preserve">          4204 - SALES RETURN TAXABLE-DIGITAL T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0</f>
        <v>0</v>
      </c>
      <c r="Q31" s="3"/>
      <c r="R31" s="26"/>
      <c r="S31" s="3"/>
      <c r="T31" s="3">
        <f>-1763.1</f>
        <v>-1763.1</v>
      </c>
      <c r="U31" s="3"/>
      <c r="V31" s="26"/>
      <c r="W31" s="3"/>
      <c r="X31" s="3">
        <f t="shared" si="2"/>
        <v>1763.1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","4213"," - ","NON-TAXABLE SALES-TRADE BOOKS")</f>
        <v xml:space="preserve">          4213 - NON-TAXABLE SALES-TRADE BOOKS</v>
      </c>
      <c r="C32" s="9"/>
      <c r="D32" s="3">
        <f>0</f>
        <v>0</v>
      </c>
      <c r="E32" s="3"/>
      <c r="F32" s="26"/>
      <c r="G32" s="3"/>
      <c r="H32" s="3">
        <f>-25</f>
        <v>-25</v>
      </c>
      <c r="I32" s="3"/>
      <c r="J32" s="26"/>
      <c r="K32" s="3"/>
      <c r="L32" s="3">
        <f t="shared" si="0"/>
        <v>25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-103.92</f>
        <v>-103.92</v>
      </c>
      <c r="U32" s="3"/>
      <c r="V32" s="26"/>
      <c r="W32" s="3"/>
      <c r="X32" s="3">
        <f t="shared" si="2"/>
        <v>103.92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","4218"," - ","SALES RETURN TAXABLE-STUDY GUI")</f>
        <v xml:space="preserve">          4218 - SALES RETURN TAXABLE-STUDY GUI</v>
      </c>
      <c r="C33" s="9"/>
      <c r="D33" s="3">
        <f>0</f>
        <v>0</v>
      </c>
      <c r="E33" s="3"/>
      <c r="F33" s="26"/>
      <c r="G33" s="3"/>
      <c r="H33" s="3">
        <f>-23.44</f>
        <v>-23.44</v>
      </c>
      <c r="I33" s="3"/>
      <c r="J33" s="26"/>
      <c r="K33" s="3"/>
      <c r="L33" s="3">
        <f t="shared" si="0"/>
        <v>23.44</v>
      </c>
      <c r="M33" s="3"/>
      <c r="N33" s="26">
        <f t="shared" si="1"/>
        <v>-1</v>
      </c>
      <c r="O33" s="9"/>
      <c r="P33" s="3">
        <f>0</f>
        <v>0</v>
      </c>
      <c r="Q33" s="3"/>
      <c r="R33" s="26"/>
      <c r="S33" s="3"/>
      <c r="T33" s="3">
        <f>-28.65</f>
        <v>-28.65</v>
      </c>
      <c r="U33" s="3"/>
      <c r="V33" s="26"/>
      <c r="W33" s="3"/>
      <c r="X33" s="3">
        <f t="shared" si="2"/>
        <v>28.65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","4300"," - ","NON-TAX RETURNS")</f>
        <v xml:space="preserve">          4300 - NON-TAX RETURNS</v>
      </c>
      <c r="C34" s="9"/>
      <c r="D34" s="3">
        <f>-1149.62</f>
        <v>-1149.6199999999999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-1149.6199999999999</v>
      </c>
      <c r="M34" s="3"/>
      <c r="N34" s="26">
        <f t="shared" si="1"/>
        <v>0</v>
      </c>
      <c r="O34" s="9"/>
      <c r="P34" s="3">
        <f>-39423.99</f>
        <v>-39423.99</v>
      </c>
      <c r="Q34" s="3"/>
      <c r="R34" s="26"/>
      <c r="S34" s="3"/>
      <c r="T34" s="3">
        <f>0</f>
        <v>0</v>
      </c>
      <c r="U34" s="3"/>
      <c r="V34" s="26"/>
      <c r="W34" s="3"/>
      <c r="X34" s="3">
        <f t="shared" si="2"/>
        <v>-39423.99</v>
      </c>
      <c r="Y34" s="3"/>
      <c r="Z34" s="26">
        <f t="shared" si="3"/>
        <v>0</v>
      </c>
    </row>
    <row r="35" spans="1:26" s="69" customFormat="1" ht="15" hidden="1" customHeight="1" outlineLevel="1" x14ac:dyDescent="0.3">
      <c r="A35" s="47"/>
      <c r="B35" s="9" t="str">
        <f>CONCATENATE("          ","4301"," - ","SALES RETURN NON TAXABLE-NEW T")</f>
        <v xml:space="preserve">          4301 - SALES RETURN NON TAXABLE-NEW T</v>
      </c>
      <c r="C35" s="9"/>
      <c r="D35" s="3">
        <f>0</f>
        <v>0</v>
      </c>
      <c r="E35" s="3"/>
      <c r="F35" s="26"/>
      <c r="G35" s="3"/>
      <c r="H35" s="3">
        <f>-169.32</f>
        <v>-169.32</v>
      </c>
      <c r="I35" s="3"/>
      <c r="J35" s="26"/>
      <c r="K35" s="3"/>
      <c r="L35" s="3">
        <f t="shared" si="0"/>
        <v>169.32</v>
      </c>
      <c r="M35" s="3"/>
      <c r="N35" s="26">
        <f t="shared" si="1"/>
        <v>-1</v>
      </c>
      <c r="O35" s="9"/>
      <c r="P35" s="3">
        <f>0</f>
        <v>0</v>
      </c>
      <c r="Q35" s="3"/>
      <c r="R35" s="26"/>
      <c r="S35" s="3"/>
      <c r="T35" s="3">
        <f>-4965.68</f>
        <v>-4965.68</v>
      </c>
      <c r="U35" s="3"/>
      <c r="V35" s="26"/>
      <c r="W35" s="3"/>
      <c r="X35" s="3">
        <f t="shared" si="2"/>
        <v>4965.68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","4302"," - ","SALES RETURN NON TAXABLE-TEXT")</f>
        <v xml:space="preserve">          4302 - SALES RETURN NON TAXABLE-TEXT</v>
      </c>
      <c r="C36" s="9"/>
      <c r="D36" s="3">
        <f>0</f>
        <v>0</v>
      </c>
      <c r="E36" s="3"/>
      <c r="F36" s="26"/>
      <c r="G36" s="3"/>
      <c r="H36" s="3">
        <f>-111.43</f>
        <v>-111.43</v>
      </c>
      <c r="I36" s="3"/>
      <c r="J36" s="26"/>
      <c r="K36" s="3"/>
      <c r="L36" s="3">
        <f t="shared" si="0"/>
        <v>111.43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-2688.97</f>
        <v>-2688.97</v>
      </c>
      <c r="U36" s="3"/>
      <c r="V36" s="26"/>
      <c r="W36" s="3"/>
      <c r="X36" s="3">
        <f t="shared" si="2"/>
        <v>2688.97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","4304"," - ","SALES RETURN NON TAXABLE-DIGIT")</f>
        <v xml:space="preserve">          4304 - SALES RETURN NON TAXABLE-DIGIT</v>
      </c>
      <c r="C37" s="9"/>
      <c r="D37" s="3">
        <f>0</f>
        <v>0</v>
      </c>
      <c r="E37" s="3"/>
      <c r="F37" s="26"/>
      <c r="G37" s="3"/>
      <c r="H37" s="3">
        <f>-144.89</f>
        <v>-144.88999999999999</v>
      </c>
      <c r="I37" s="3"/>
      <c r="J37" s="26"/>
      <c r="K37" s="3"/>
      <c r="L37" s="3">
        <f t="shared" si="0"/>
        <v>144.88999999999999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-31026.87</f>
        <v>-31026.87</v>
      </c>
      <c r="U37" s="3"/>
      <c r="V37" s="26"/>
      <c r="W37" s="3"/>
      <c r="X37" s="3">
        <f t="shared" si="2"/>
        <v>31026.87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","4500"," - ","SALES DISCOUNT")</f>
        <v xml:space="preserve">          4500 - SALES DISCOUNT</v>
      </c>
      <c r="C38" s="9"/>
      <c r="D38" s="3">
        <f>-214.3</f>
        <v>-214.3</v>
      </c>
      <c r="E38" s="3"/>
      <c r="F38" s="26"/>
      <c r="G38" s="3"/>
      <c r="H38" s="3">
        <f>0</f>
        <v>0</v>
      </c>
      <c r="I38" s="3"/>
      <c r="J38" s="26"/>
      <c r="K38" s="3"/>
      <c r="L38" s="3">
        <f t="shared" si="0"/>
        <v>-214.3</v>
      </c>
      <c r="M38" s="3"/>
      <c r="N38" s="26">
        <f t="shared" si="1"/>
        <v>0</v>
      </c>
      <c r="O38" s="9"/>
      <c r="P38" s="3">
        <f>-7973.35</f>
        <v>-7973.35</v>
      </c>
      <c r="Q38" s="3"/>
      <c r="R38" s="26"/>
      <c r="S38" s="3"/>
      <c r="T38" s="3">
        <f>0</f>
        <v>0</v>
      </c>
      <c r="U38" s="3"/>
      <c r="V38" s="26"/>
      <c r="W38" s="3"/>
      <c r="X38" s="3">
        <f t="shared" si="2"/>
        <v>-7973.35</v>
      </c>
      <c r="Y38" s="3"/>
      <c r="Z38" s="26">
        <f t="shared" si="3"/>
        <v>0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2" customFormat="1" ht="15" customHeight="1" collapsed="1" x14ac:dyDescent="0.3">
      <c r="A40" s="13"/>
      <c r="B40" s="27" t="s">
        <v>287</v>
      </c>
      <c r="C40" s="13"/>
      <c r="D40" s="8">
        <f>SUM(OSRRefD16x_0)</f>
        <v>126652.18999999999</v>
      </c>
      <c r="E40" s="8"/>
      <c r="F40" s="14">
        <f t="shared" ref="F40:F57" si="4">IF(D$12=0,0,D40/D$12)</f>
        <v>9.4284226480716899</v>
      </c>
      <c r="G40" s="8"/>
      <c r="H40" s="8">
        <f>SUM(OSRRefH16x_0)</f>
        <v>72505.529999999955</v>
      </c>
      <c r="I40" s="8"/>
      <c r="J40" s="14">
        <f t="shared" ref="J40:J57" si="5">IF(H$12=0,0,H40/H$12)</f>
        <v>6.8777448408990622</v>
      </c>
      <c r="K40" s="8"/>
      <c r="L40" s="8">
        <f t="shared" ref="L40:L57" si="6">+D40-H40</f>
        <v>54146.660000000033</v>
      </c>
      <c r="M40" s="8"/>
      <c r="N40" s="14">
        <f t="shared" ref="N40:N57" si="7">IF(H40=0,0,L40/H40)</f>
        <v>0.74679352043906255</v>
      </c>
      <c r="O40" s="13"/>
      <c r="P40" s="8">
        <f>SUM(OSRRefP16x_0)</f>
        <v>1526947.3</v>
      </c>
      <c r="Q40" s="8"/>
      <c r="R40" s="14">
        <f t="shared" ref="R40:R57" si="8">IF(P$12=0,0,P40/P$12)</f>
        <v>0.84645726450094816</v>
      </c>
      <c r="S40" s="8"/>
      <c r="T40" s="8">
        <f>SUM(OSRRefT16x_0)</f>
        <v>1479413.5299999998</v>
      </c>
      <c r="U40" s="8"/>
      <c r="V40" s="14">
        <f t="shared" ref="V40:V57" si="9">IF(T$12=0,0,T40/T$12)</f>
        <v>0.74843080754444735</v>
      </c>
      <c r="W40" s="8"/>
      <c r="X40" s="8">
        <f t="shared" ref="X40:X57" si="10">+P40-T40</f>
        <v>47533.770000000251</v>
      </c>
      <c r="Y40" s="8"/>
      <c r="Z40" s="14">
        <f t="shared" ref="Z40:Z57" si="11">IF(T40=0,0,X40/T40)</f>
        <v>3.2130144165979244E-2</v>
      </c>
    </row>
    <row r="41" spans="1:26" s="69" customFormat="1" ht="15" hidden="1" customHeight="1" outlineLevel="1" x14ac:dyDescent="0.3">
      <c r="A41" s="47"/>
      <c r="B41" s="9" t="str">
        <f>CONCATENATE("          ","5000"," - ","PURCHASES @ COST")</f>
        <v xml:space="preserve">          5000 - PURCHASES @ COST</v>
      </c>
      <c r="C41" s="9"/>
      <c r="D41" s="3">
        <v>114839.65</v>
      </c>
      <c r="E41" s="3"/>
      <c r="F41" s="26">
        <f t="shared" si="4"/>
        <v>8.54905672737776</v>
      </c>
      <c r="G41" s="3"/>
      <c r="H41" s="3"/>
      <c r="I41" s="3"/>
      <c r="J41" s="26">
        <f t="shared" si="5"/>
        <v>0</v>
      </c>
      <c r="K41" s="3"/>
      <c r="L41" s="3">
        <f t="shared" si="6"/>
        <v>114839.65</v>
      </c>
      <c r="M41" s="3"/>
      <c r="N41" s="26">
        <f t="shared" si="7"/>
        <v>0</v>
      </c>
      <c r="O41" s="9"/>
      <c r="P41" s="3">
        <v>1322806.19</v>
      </c>
      <c r="Q41" s="3"/>
      <c r="R41" s="26">
        <f t="shared" si="8"/>
        <v>0.73329243848318892</v>
      </c>
      <c r="S41" s="3"/>
      <c r="T41" s="3">
        <v>0</v>
      </c>
      <c r="U41" s="3"/>
      <c r="V41" s="26">
        <f t="shared" si="9"/>
        <v>0</v>
      </c>
      <c r="W41" s="3"/>
      <c r="X41" s="3">
        <f t="shared" si="10"/>
        <v>1322806.19</v>
      </c>
      <c r="Y41" s="3"/>
      <c r="Z41" s="26">
        <f t="shared" si="11"/>
        <v>0</v>
      </c>
    </row>
    <row r="42" spans="1:26" s="69" customFormat="1" ht="15" hidden="1" customHeight="1" outlineLevel="1" x14ac:dyDescent="0.3">
      <c r="A42" s="47"/>
      <c r="B42" s="9" t="str">
        <f>CONCATENATE("          ","5001"," - ","PURCHASES @ COST-NEW TEXT")</f>
        <v xml:space="preserve">          5001 - PURCHASES @ COST-NEW TEXT</v>
      </c>
      <c r="C42" s="9"/>
      <c r="D42" s="3"/>
      <c r="E42" s="3"/>
      <c r="F42" s="26">
        <f t="shared" si="4"/>
        <v>0</v>
      </c>
      <c r="G42" s="3"/>
      <c r="H42" s="3">
        <v>142777.26</v>
      </c>
      <c r="I42" s="3"/>
      <c r="J42" s="26">
        <f t="shared" si="5"/>
        <v>13.543595410759769</v>
      </c>
      <c r="K42" s="3"/>
      <c r="L42" s="3">
        <f t="shared" si="6"/>
        <v>-142777.26</v>
      </c>
      <c r="M42" s="3"/>
      <c r="N42" s="26">
        <f t="shared" si="7"/>
        <v>-1</v>
      </c>
      <c r="O42" s="9"/>
      <c r="P42" s="3">
        <v>0</v>
      </c>
      <c r="Q42" s="3"/>
      <c r="R42" s="26">
        <f t="shared" si="8"/>
        <v>0</v>
      </c>
      <c r="S42" s="3"/>
      <c r="T42" s="3">
        <v>908998.77</v>
      </c>
      <c r="U42" s="3"/>
      <c r="V42" s="26">
        <f t="shared" si="9"/>
        <v>0.45985971446942864</v>
      </c>
      <c r="W42" s="3"/>
      <c r="X42" s="3">
        <f t="shared" si="10"/>
        <v>-908998.77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","5002"," - ","PURCHASES @ COST-USED TEXT")</f>
        <v xml:space="preserve">          5002 - PURCHASES @ COST-USED TEXT</v>
      </c>
      <c r="C43" s="9"/>
      <c r="D43" s="3"/>
      <c r="E43" s="3"/>
      <c r="F43" s="26">
        <f t="shared" si="4"/>
        <v>0</v>
      </c>
      <c r="G43" s="3"/>
      <c r="H43" s="3">
        <v>-17366.759999999998</v>
      </c>
      <c r="I43" s="3"/>
      <c r="J43" s="26">
        <f t="shared" si="5"/>
        <v>-1.6473797790752274</v>
      </c>
      <c r="K43" s="3"/>
      <c r="L43" s="3">
        <f t="shared" si="6"/>
        <v>17366.759999999998</v>
      </c>
      <c r="M43" s="3"/>
      <c r="N43" s="26">
        <f t="shared" si="7"/>
        <v>-1</v>
      </c>
      <c r="O43" s="9"/>
      <c r="P43" s="3">
        <v>0</v>
      </c>
      <c r="Q43" s="3"/>
      <c r="R43" s="26">
        <f t="shared" si="8"/>
        <v>0</v>
      </c>
      <c r="S43" s="3"/>
      <c r="T43" s="3">
        <v>17335.73</v>
      </c>
      <c r="U43" s="3"/>
      <c r="V43" s="26">
        <f t="shared" si="9"/>
        <v>8.7700931079577899E-3</v>
      </c>
      <c r="W43" s="3"/>
      <c r="X43" s="3">
        <f t="shared" si="10"/>
        <v>-17335.73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","5003"," - ","PURCHASES @ COST-RENTAL TEXT")</f>
        <v xml:space="preserve">          5003 - PURCHASES @ COST-RENTAL TEXT</v>
      </c>
      <c r="C44" s="9"/>
      <c r="D44" s="3"/>
      <c r="E44" s="3"/>
      <c r="F44" s="26">
        <f t="shared" si="4"/>
        <v>0</v>
      </c>
      <c r="G44" s="3"/>
      <c r="H44" s="3">
        <v>6024.36</v>
      </c>
      <c r="I44" s="3"/>
      <c r="J44" s="26">
        <f t="shared" si="5"/>
        <v>0.5714600101498285</v>
      </c>
      <c r="K44" s="3"/>
      <c r="L44" s="3">
        <f t="shared" si="6"/>
        <v>-6024.36</v>
      </c>
      <c r="M44" s="3"/>
      <c r="N44" s="26">
        <f t="shared" si="7"/>
        <v>-1</v>
      </c>
      <c r="O44" s="9"/>
      <c r="P44" s="3"/>
      <c r="Q44" s="3"/>
      <c r="R44" s="26">
        <f t="shared" si="8"/>
        <v>0</v>
      </c>
      <c r="S44" s="3"/>
      <c r="T44" s="3">
        <v>13236.44</v>
      </c>
      <c r="U44" s="3"/>
      <c r="V44" s="26">
        <f t="shared" si="9"/>
        <v>6.6962747584264877E-3</v>
      </c>
      <c r="W44" s="3"/>
      <c r="X44" s="3">
        <f t="shared" si="10"/>
        <v>-13236.44</v>
      </c>
      <c r="Y44" s="3"/>
      <c r="Z44" s="26">
        <f t="shared" si="11"/>
        <v>-1</v>
      </c>
    </row>
    <row r="45" spans="1:26" s="69" customFormat="1" ht="15" hidden="1" customHeight="1" outlineLevel="1" x14ac:dyDescent="0.3">
      <c r="A45" s="47"/>
      <c r="B45" s="9" t="str">
        <f>CONCATENATE("          ","5004"," - ","PURCHASES @ COST-DIGITAL TEXT")</f>
        <v xml:space="preserve">          5004 - PURCHASES @ COST-DIGITAL TEXT</v>
      </c>
      <c r="C45" s="9"/>
      <c r="D45" s="3"/>
      <c r="E45" s="3"/>
      <c r="F45" s="26">
        <f t="shared" si="4"/>
        <v>0</v>
      </c>
      <c r="G45" s="3"/>
      <c r="H45" s="3">
        <v>178285.37</v>
      </c>
      <c r="I45" s="3"/>
      <c r="J45" s="26">
        <f t="shared" si="5"/>
        <v>16.911831190328257</v>
      </c>
      <c r="K45" s="3"/>
      <c r="L45" s="3">
        <f t="shared" si="6"/>
        <v>-178285.37</v>
      </c>
      <c r="M45" s="3"/>
      <c r="N45" s="26">
        <f t="shared" si="7"/>
        <v>-1</v>
      </c>
      <c r="O45" s="9"/>
      <c r="P45" s="3">
        <v>0</v>
      </c>
      <c r="Q45" s="3"/>
      <c r="R45" s="26">
        <f t="shared" si="8"/>
        <v>0</v>
      </c>
      <c r="S45" s="3"/>
      <c r="T45" s="3">
        <v>377891.8</v>
      </c>
      <c r="U45" s="3"/>
      <c r="V45" s="26">
        <f t="shared" si="9"/>
        <v>0.19117431286330391</v>
      </c>
      <c r="W45" s="3"/>
      <c r="X45" s="3">
        <f t="shared" si="10"/>
        <v>-377891.8</v>
      </c>
      <c r="Y45" s="3"/>
      <c r="Z45" s="26">
        <f t="shared" si="11"/>
        <v>-1</v>
      </c>
    </row>
    <row r="46" spans="1:26" s="69" customFormat="1" ht="15" hidden="1" customHeight="1" outlineLevel="1" x14ac:dyDescent="0.3">
      <c r="A46" s="47"/>
      <c r="B46" s="9" t="str">
        <f>CONCATENATE("          ","5011"," - ","PURCHASES @ COST-NO VALUE TEXT")</f>
        <v xml:space="preserve">          5011 - PURCHASES @ COST-NO VALUE TEXT</v>
      </c>
      <c r="C46" s="9"/>
      <c r="D46" s="3"/>
      <c r="E46" s="3"/>
      <c r="F46" s="26">
        <f t="shared" si="4"/>
        <v>0</v>
      </c>
      <c r="G46" s="3"/>
      <c r="H46" s="3">
        <v>63.17</v>
      </c>
      <c r="I46" s="3"/>
      <c r="J46" s="26">
        <f t="shared" si="5"/>
        <v>5.9921931692602489E-3</v>
      </c>
      <c r="K46" s="3"/>
      <c r="L46" s="3">
        <f t="shared" si="6"/>
        <v>-63.17</v>
      </c>
      <c r="M46" s="3"/>
      <c r="N46" s="26">
        <f t="shared" si="7"/>
        <v>-1</v>
      </c>
      <c r="O46" s="9"/>
      <c r="P46" s="3"/>
      <c r="Q46" s="3"/>
      <c r="R46" s="26">
        <f t="shared" si="8"/>
        <v>0</v>
      </c>
      <c r="S46" s="3"/>
      <c r="T46" s="3">
        <v>130.34</v>
      </c>
      <c r="U46" s="3"/>
      <c r="V46" s="26">
        <f t="shared" si="9"/>
        <v>6.5938609778256715E-5</v>
      </c>
      <c r="W46" s="3"/>
      <c r="X46" s="3">
        <f t="shared" si="10"/>
        <v>-130.34</v>
      </c>
      <c r="Y46" s="3"/>
      <c r="Z46" s="26">
        <f t="shared" si="11"/>
        <v>-1</v>
      </c>
    </row>
    <row r="47" spans="1:26" s="69" customFormat="1" ht="15" hidden="1" customHeight="1" outlineLevel="1" x14ac:dyDescent="0.3">
      <c r="A47" s="47"/>
      <c r="B47" s="9" t="str">
        <f>CONCATENATE("          ","5013"," - ","PURCHASES @ COST-TRADE BOOKS")</f>
        <v xml:space="preserve">          5013 - PURCHASES @ COST-TRADE BOOKS</v>
      </c>
      <c r="C47" s="9"/>
      <c r="D47" s="3"/>
      <c r="E47" s="3"/>
      <c r="F47" s="26">
        <f t="shared" si="4"/>
        <v>0</v>
      </c>
      <c r="G47" s="3"/>
      <c r="H47" s="3">
        <v>1964.92</v>
      </c>
      <c r="I47" s="3"/>
      <c r="J47" s="26">
        <f t="shared" si="5"/>
        <v>0.18638879534815336</v>
      </c>
      <c r="K47" s="3"/>
      <c r="L47" s="3">
        <f t="shared" si="6"/>
        <v>-1964.92</v>
      </c>
      <c r="M47" s="3"/>
      <c r="N47" s="26">
        <f t="shared" si="7"/>
        <v>-1</v>
      </c>
      <c r="O47" s="9"/>
      <c r="P47" s="3"/>
      <c r="Q47" s="3"/>
      <c r="R47" s="26">
        <f t="shared" si="8"/>
        <v>0</v>
      </c>
      <c r="S47" s="3"/>
      <c r="T47" s="3">
        <v>11634.94</v>
      </c>
      <c r="U47" s="3"/>
      <c r="V47" s="26">
        <f t="shared" si="9"/>
        <v>5.8860807768408028E-3</v>
      </c>
      <c r="W47" s="3"/>
      <c r="X47" s="3">
        <f t="shared" si="10"/>
        <v>-11634.94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","5014"," - ","PURCHASES @ COST-REMAINDERS")</f>
        <v xml:space="preserve">          5014 - PURCHASES @ COST-REMAINDERS</v>
      </c>
      <c r="C48" s="9"/>
      <c r="D48" s="3"/>
      <c r="E48" s="3"/>
      <c r="F48" s="26">
        <f t="shared" si="4"/>
        <v>0</v>
      </c>
      <c r="G48" s="3"/>
      <c r="H48" s="3">
        <v>-161.43</v>
      </c>
      <c r="I48" s="3"/>
      <c r="J48" s="26">
        <f t="shared" si="5"/>
        <v>-1.5312960951617572E-2</v>
      </c>
      <c r="K48" s="3"/>
      <c r="L48" s="3">
        <f t="shared" si="6"/>
        <v>161.43</v>
      </c>
      <c r="M48" s="3"/>
      <c r="N48" s="26">
        <f t="shared" si="7"/>
        <v>-1</v>
      </c>
      <c r="O48" s="9"/>
      <c r="P48" s="3"/>
      <c r="Q48" s="3"/>
      <c r="R48" s="26">
        <f t="shared" si="8"/>
        <v>0</v>
      </c>
      <c r="S48" s="3"/>
      <c r="T48" s="3">
        <v>-49.86</v>
      </c>
      <c r="U48" s="3"/>
      <c r="V48" s="26">
        <f t="shared" si="9"/>
        <v>-2.5224022430135644E-5</v>
      </c>
      <c r="W48" s="3"/>
      <c r="X48" s="3">
        <f t="shared" si="10"/>
        <v>49.86</v>
      </c>
      <c r="Y48" s="3"/>
      <c r="Z48" s="26">
        <f t="shared" si="11"/>
        <v>-1</v>
      </c>
    </row>
    <row r="49" spans="1:26" s="69" customFormat="1" ht="15" hidden="1" customHeight="1" outlineLevel="1" x14ac:dyDescent="0.3">
      <c r="A49" s="47"/>
      <c r="B49" s="9" t="str">
        <f>CONCATENATE("          ","5018"," - ","PURCHASES @ COST-STUDY GUIDES")</f>
        <v xml:space="preserve">          5018 - PURCHASES @ COST-STUDY GUIDES</v>
      </c>
      <c r="C49" s="9"/>
      <c r="D49" s="3"/>
      <c r="E49" s="3"/>
      <c r="F49" s="26">
        <f t="shared" si="4"/>
        <v>0</v>
      </c>
      <c r="G49" s="3"/>
      <c r="H49" s="3">
        <v>476.17</v>
      </c>
      <c r="I49" s="3"/>
      <c r="J49" s="26">
        <f t="shared" si="5"/>
        <v>4.516863418405339E-2</v>
      </c>
      <c r="K49" s="3"/>
      <c r="L49" s="3">
        <f t="shared" si="6"/>
        <v>-476.17</v>
      </c>
      <c r="M49" s="3"/>
      <c r="N49" s="26">
        <f t="shared" si="7"/>
        <v>-1</v>
      </c>
      <c r="O49" s="9"/>
      <c r="P49" s="3"/>
      <c r="Q49" s="3"/>
      <c r="R49" s="26">
        <f t="shared" si="8"/>
        <v>0</v>
      </c>
      <c r="S49" s="3"/>
      <c r="T49" s="3">
        <v>1443.38</v>
      </c>
      <c r="U49" s="3"/>
      <c r="V49" s="26">
        <f t="shared" si="9"/>
        <v>7.3020155425610085E-4</v>
      </c>
      <c r="W49" s="3"/>
      <c r="X49" s="3">
        <f t="shared" si="10"/>
        <v>-1443.38</v>
      </c>
      <c r="Y49" s="3"/>
      <c r="Z49" s="26">
        <f t="shared" si="11"/>
        <v>-1</v>
      </c>
    </row>
    <row r="50" spans="1:26" s="69" customFormat="1" ht="15" hidden="1" customHeight="1" outlineLevel="1" x14ac:dyDescent="0.3">
      <c r="A50" s="47"/>
      <c r="B50" s="9" t="str">
        <f>CONCATENATE("          ","5200"," - ","PURCHASES OFFSET")</f>
        <v xml:space="preserve">          5200 - PURCHASES OFFSET</v>
      </c>
      <c r="C50" s="9"/>
      <c r="D50" s="3">
        <v>-1500.2</v>
      </c>
      <c r="E50" s="3"/>
      <c r="F50" s="26">
        <f t="shared" si="4"/>
        <v>-0.11168002429833351</v>
      </c>
      <c r="G50" s="3"/>
      <c r="H50" s="3">
        <v>-250433.46</v>
      </c>
      <c r="I50" s="3"/>
      <c r="J50" s="26">
        <f t="shared" si="5"/>
        <v>-23.755669912398442</v>
      </c>
      <c r="K50" s="3"/>
      <c r="L50" s="3">
        <f t="shared" si="6"/>
        <v>248933.25999999998</v>
      </c>
      <c r="M50" s="3"/>
      <c r="N50" s="26">
        <f t="shared" si="7"/>
        <v>-0.99400958641868375</v>
      </c>
      <c r="O50" s="9"/>
      <c r="P50" s="3">
        <v>-1290287.46</v>
      </c>
      <c r="Q50" s="3"/>
      <c r="R50" s="26">
        <f t="shared" si="8"/>
        <v>-0.71526580767487946</v>
      </c>
      <c r="S50" s="3"/>
      <c r="T50" s="3">
        <v>-1338935.1499999999</v>
      </c>
      <c r="U50" s="3"/>
      <c r="V50" s="26">
        <f t="shared" si="9"/>
        <v>-0.67736322214394362</v>
      </c>
      <c r="W50" s="3"/>
      <c r="X50" s="3">
        <f t="shared" si="10"/>
        <v>48647.689999999944</v>
      </c>
      <c r="Y50" s="3"/>
      <c r="Z50" s="26">
        <f t="shared" si="11"/>
        <v>-3.6333118896759074E-2</v>
      </c>
    </row>
    <row r="51" spans="1:26" s="69" customFormat="1" ht="15" hidden="1" customHeight="1" outlineLevel="1" x14ac:dyDescent="0.3">
      <c r="A51" s="47"/>
      <c r="B51" s="9" t="str">
        <f>CONCATENATE("          ","5300"," - ","COG$ OFFSET")</f>
        <v xml:space="preserve">          5300 - COG$ OFFSET</v>
      </c>
      <c r="C51" s="9"/>
      <c r="D51" s="3">
        <v>12278.45</v>
      </c>
      <c r="E51" s="3"/>
      <c r="F51" s="26">
        <f t="shared" si="4"/>
        <v>0.91404985624974877</v>
      </c>
      <c r="G51" s="3"/>
      <c r="H51" s="3">
        <v>9156</v>
      </c>
      <c r="I51" s="3"/>
      <c r="J51" s="26">
        <f t="shared" si="5"/>
        <v>0.86852177707371914</v>
      </c>
      <c r="K51" s="3"/>
      <c r="L51" s="3">
        <f t="shared" si="6"/>
        <v>3122.4500000000007</v>
      </c>
      <c r="M51" s="3"/>
      <c r="N51" s="26">
        <f t="shared" si="7"/>
        <v>0.34102774137177816</v>
      </c>
      <c r="O51" s="9"/>
      <c r="P51" s="3">
        <v>1412686.75</v>
      </c>
      <c r="Q51" s="3"/>
      <c r="R51" s="26">
        <f t="shared" si="8"/>
        <v>0.78311737543380489</v>
      </c>
      <c r="S51" s="3"/>
      <c r="T51" s="3">
        <v>1416064</v>
      </c>
      <c r="U51" s="3"/>
      <c r="V51" s="26">
        <f t="shared" si="9"/>
        <v>0.71638247289425594</v>
      </c>
      <c r="W51" s="3"/>
      <c r="X51" s="3">
        <f t="shared" si="10"/>
        <v>-3377.25</v>
      </c>
      <c r="Y51" s="3"/>
      <c r="Z51" s="26">
        <f t="shared" si="11"/>
        <v>-2.3849557647111995E-3</v>
      </c>
    </row>
    <row r="52" spans="1:26" s="69" customFormat="1" ht="15" hidden="1" customHeight="1" outlineLevel="1" x14ac:dyDescent="0.3">
      <c r="A52" s="47"/>
      <c r="B52" s="9" t="str">
        <f>CONCATENATE("          ","5500"," - ","FREIGHT-IN")</f>
        <v xml:space="preserve">          5500 - FREIGHT-IN</v>
      </c>
      <c r="C52" s="9"/>
      <c r="D52" s="3">
        <v>1034.29</v>
      </c>
      <c r="E52" s="3"/>
      <c r="F52" s="26">
        <f t="shared" si="4"/>
        <v>7.6996088742516566E-2</v>
      </c>
      <c r="G52" s="3"/>
      <c r="H52" s="3"/>
      <c r="I52" s="3"/>
      <c r="J52" s="26">
        <f t="shared" si="5"/>
        <v>0</v>
      </c>
      <c r="K52" s="3"/>
      <c r="L52" s="3">
        <f t="shared" si="6"/>
        <v>1034.29</v>
      </c>
      <c r="M52" s="3"/>
      <c r="N52" s="26">
        <f t="shared" si="7"/>
        <v>0</v>
      </c>
      <c r="O52" s="9"/>
      <c r="P52" s="3">
        <v>81741.820000000007</v>
      </c>
      <c r="Q52" s="3"/>
      <c r="R52" s="26">
        <f t="shared" si="8"/>
        <v>4.5313258258833748E-2</v>
      </c>
      <c r="S52" s="3"/>
      <c r="T52" s="3">
        <v>0</v>
      </c>
      <c r="U52" s="3"/>
      <c r="V52" s="26">
        <f t="shared" si="9"/>
        <v>0</v>
      </c>
      <c r="W52" s="3"/>
      <c r="X52" s="3">
        <f t="shared" si="10"/>
        <v>81741.820000000007</v>
      </c>
      <c r="Y52" s="3"/>
      <c r="Z52" s="26">
        <f t="shared" si="11"/>
        <v>0</v>
      </c>
    </row>
    <row r="53" spans="1:26" s="69" customFormat="1" ht="15" hidden="1" customHeight="1" outlineLevel="1" x14ac:dyDescent="0.3">
      <c r="A53" s="47"/>
      <c r="B53" s="9" t="str">
        <f>CONCATENATE("          ","5501"," - ","FREIGHT-IN-NEW TEXT")</f>
        <v xml:space="preserve">          5501 - FREIGHT-IN-NEW TEXT</v>
      </c>
      <c r="C53" s="9"/>
      <c r="D53" s="3"/>
      <c r="E53" s="3"/>
      <c r="F53" s="26">
        <f t="shared" si="4"/>
        <v>0</v>
      </c>
      <c r="G53" s="3"/>
      <c r="H53" s="3">
        <v>1565.85</v>
      </c>
      <c r="I53" s="3"/>
      <c r="J53" s="26">
        <f t="shared" si="5"/>
        <v>0.14853372920826594</v>
      </c>
      <c r="K53" s="3"/>
      <c r="L53" s="3">
        <f t="shared" si="6"/>
        <v>-1565.85</v>
      </c>
      <c r="M53" s="3"/>
      <c r="N53" s="26">
        <f t="shared" si="7"/>
        <v>-1</v>
      </c>
      <c r="O53" s="9"/>
      <c r="P53" s="3">
        <v>0</v>
      </c>
      <c r="Q53" s="3"/>
      <c r="R53" s="26">
        <f t="shared" si="8"/>
        <v>0</v>
      </c>
      <c r="S53" s="3"/>
      <c r="T53" s="3">
        <v>53401.99</v>
      </c>
      <c r="U53" s="3"/>
      <c r="V53" s="26">
        <f t="shared" si="9"/>
        <v>2.7015904403808251E-2</v>
      </c>
      <c r="W53" s="3"/>
      <c r="X53" s="3">
        <f t="shared" si="10"/>
        <v>-53401.99</v>
      </c>
      <c r="Y53" s="3"/>
      <c r="Z53" s="26">
        <f t="shared" si="11"/>
        <v>-1</v>
      </c>
    </row>
    <row r="54" spans="1:26" s="69" customFormat="1" ht="15" hidden="1" customHeight="1" outlineLevel="1" x14ac:dyDescent="0.3">
      <c r="A54" s="47"/>
      <c r="B54" s="9" t="str">
        <f>CONCATENATE("          ","5502"," - ","FREIGHT-IN-USED TEXT")</f>
        <v xml:space="preserve">          5502 - FREIGHT-IN-USED TEXT</v>
      </c>
      <c r="C54" s="9"/>
      <c r="D54" s="3"/>
      <c r="E54" s="3"/>
      <c r="F54" s="26">
        <f t="shared" si="4"/>
        <v>0</v>
      </c>
      <c r="G54" s="3"/>
      <c r="H54" s="3">
        <v>149.80000000000001</v>
      </c>
      <c r="I54" s="3"/>
      <c r="J54" s="26">
        <f t="shared" si="5"/>
        <v>1.4209759961297853E-2</v>
      </c>
      <c r="K54" s="3"/>
      <c r="L54" s="3">
        <f t="shared" si="6"/>
        <v>-149.80000000000001</v>
      </c>
      <c r="M54" s="3"/>
      <c r="N54" s="26">
        <f t="shared" si="7"/>
        <v>-1</v>
      </c>
      <c r="O54" s="9"/>
      <c r="P54" s="3">
        <v>0</v>
      </c>
      <c r="Q54" s="3"/>
      <c r="R54" s="26">
        <f t="shared" si="8"/>
        <v>0</v>
      </c>
      <c r="S54" s="3"/>
      <c r="T54" s="3">
        <v>18142.669999999998</v>
      </c>
      <c r="U54" s="3"/>
      <c r="V54" s="26">
        <f t="shared" si="9"/>
        <v>9.1783216009335943E-3</v>
      </c>
      <c r="W54" s="3"/>
      <c r="X54" s="3">
        <f t="shared" si="10"/>
        <v>-18142.669999999998</v>
      </c>
      <c r="Y54" s="3"/>
      <c r="Z54" s="26">
        <f t="shared" si="11"/>
        <v>-1</v>
      </c>
    </row>
    <row r="55" spans="1:26" s="69" customFormat="1" ht="15" hidden="1" customHeight="1" outlineLevel="1" x14ac:dyDescent="0.3">
      <c r="A55" s="47"/>
      <c r="B55" s="9" t="str">
        <f>CONCATENATE("          ","5504"," - ","FREIGHT-IN-DIGITAL TEXT")</f>
        <v xml:space="preserve">          5504 - FREIGHT-IN-DIGITAL TEXT</v>
      </c>
      <c r="C55" s="9"/>
      <c r="D55" s="3"/>
      <c r="E55" s="3"/>
      <c r="F55" s="26">
        <f t="shared" si="4"/>
        <v>0</v>
      </c>
      <c r="G55" s="3"/>
      <c r="H55" s="3">
        <v>4.28</v>
      </c>
      <c r="I55" s="3"/>
      <c r="J55" s="26">
        <f t="shared" si="5"/>
        <v>4.0599314175136721E-4</v>
      </c>
      <c r="K55" s="3"/>
      <c r="L55" s="3">
        <f t="shared" si="6"/>
        <v>-4.28</v>
      </c>
      <c r="M55" s="3"/>
      <c r="N55" s="26">
        <f t="shared" si="7"/>
        <v>-1</v>
      </c>
      <c r="O55" s="9"/>
      <c r="P55" s="3"/>
      <c r="Q55" s="3"/>
      <c r="R55" s="26">
        <f t="shared" si="8"/>
        <v>0</v>
      </c>
      <c r="S55" s="3"/>
      <c r="T55" s="3">
        <v>33.200000000000003</v>
      </c>
      <c r="U55" s="3"/>
      <c r="V55" s="26">
        <f t="shared" si="9"/>
        <v>1.6795779075020124E-5</v>
      </c>
      <c r="W55" s="3"/>
      <c r="X55" s="3">
        <f t="shared" si="10"/>
        <v>-33.200000000000003</v>
      </c>
      <c r="Y55" s="3"/>
      <c r="Z55" s="26">
        <f t="shared" si="11"/>
        <v>-1</v>
      </c>
    </row>
    <row r="56" spans="1:26" s="69" customFormat="1" ht="15" hidden="1" customHeight="1" outlineLevel="1" x14ac:dyDescent="0.3">
      <c r="A56" s="47"/>
      <c r="B56" s="9" t="str">
        <f>CONCATENATE("          ","5513"," - ","FREIGHT-IN-TRADE BOOKS")</f>
        <v xml:space="preserve">          5513 - FREIGHT-IN-TRADE BOOKS</v>
      </c>
      <c r="C56" s="9"/>
      <c r="D56" s="3"/>
      <c r="E56" s="3"/>
      <c r="F56" s="26">
        <f t="shared" si="4"/>
        <v>0</v>
      </c>
      <c r="G56" s="3"/>
      <c r="H56" s="3"/>
      <c r="I56" s="3"/>
      <c r="J56" s="26">
        <f t="shared" si="5"/>
        <v>0</v>
      </c>
      <c r="K56" s="3"/>
      <c r="L56" s="3">
        <f t="shared" si="6"/>
        <v>0</v>
      </c>
      <c r="M56" s="3"/>
      <c r="N56" s="26">
        <f t="shared" si="7"/>
        <v>0</v>
      </c>
      <c r="O56" s="9"/>
      <c r="P56" s="3"/>
      <c r="Q56" s="3"/>
      <c r="R56" s="26">
        <f t="shared" si="8"/>
        <v>0</v>
      </c>
      <c r="S56" s="3"/>
      <c r="T56" s="3">
        <v>85.28</v>
      </c>
      <c r="U56" s="3"/>
      <c r="V56" s="26">
        <f t="shared" si="9"/>
        <v>4.3142892756557714E-5</v>
      </c>
      <c r="W56" s="3"/>
      <c r="X56" s="3">
        <f t="shared" si="10"/>
        <v>-85.28</v>
      </c>
      <c r="Y56" s="3"/>
      <c r="Z56" s="26">
        <f t="shared" si="11"/>
        <v>-1</v>
      </c>
    </row>
    <row r="57" spans="1:26" s="69" customFormat="1" ht="15" hidden="1" customHeight="1" outlineLevel="1" x14ac:dyDescent="0.3">
      <c r="A57" s="47"/>
      <c r="B57" s="9" t="str">
        <f>CONCATENATE("          ","5518"," - ","FREIGHT-IN-STUDY GUIDES")</f>
        <v xml:space="preserve">          5518 - FREIGHT-IN-STUDY GUIDES</v>
      </c>
      <c r="C57" s="9"/>
      <c r="D57" s="3"/>
      <c r="E57" s="3"/>
      <c r="F57" s="26">
        <f t="shared" si="4"/>
        <v>0</v>
      </c>
      <c r="G57" s="3"/>
      <c r="H57" s="3"/>
      <c r="I57" s="3"/>
      <c r="J57" s="26">
        <f t="shared" si="5"/>
        <v>0</v>
      </c>
      <c r="K57" s="3"/>
      <c r="L57" s="3">
        <f t="shared" si="6"/>
        <v>0</v>
      </c>
      <c r="M57" s="3"/>
      <c r="N57" s="26">
        <f t="shared" si="7"/>
        <v>0</v>
      </c>
      <c r="O57" s="9"/>
      <c r="P57" s="3">
        <v>0</v>
      </c>
      <c r="Q57" s="3"/>
      <c r="R57" s="26">
        <f t="shared" si="8"/>
        <v>0</v>
      </c>
      <c r="S57" s="3"/>
      <c r="T57" s="3"/>
      <c r="U57" s="3"/>
      <c r="V57" s="26">
        <f t="shared" si="9"/>
        <v>0</v>
      </c>
      <c r="W57" s="3"/>
      <c r="X57" s="3">
        <f t="shared" si="10"/>
        <v>0</v>
      </c>
      <c r="Y57" s="3"/>
      <c r="Z57" s="26">
        <f t="shared" si="11"/>
        <v>0</v>
      </c>
    </row>
    <row r="58" spans="1:26" ht="15" customHeight="1" x14ac:dyDescent="0.3">
      <c r="A58" s="12"/>
      <c r="B58" s="13"/>
      <c r="C58" s="13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O58" s="13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2" customFormat="1" ht="15" customHeight="1" x14ac:dyDescent="0.3">
      <c r="A59" s="13"/>
      <c r="B59" s="28" t="s">
        <v>288</v>
      </c>
      <c r="C59" s="28"/>
      <c r="D59" s="22">
        <f>D12-D40</f>
        <v>-113219.16999999998</v>
      </c>
      <c r="E59" s="15"/>
      <c r="F59" s="24">
        <f>IF(D$12=0,0,D59/D$12)</f>
        <v>-8.4284226480716899</v>
      </c>
      <c r="G59" s="15"/>
      <c r="H59" s="22">
        <f>H12-H40</f>
        <v>-61963.479999999952</v>
      </c>
      <c r="I59" s="15"/>
      <c r="J59" s="24">
        <f>IF(H$12=0,0,H59/H$12)</f>
        <v>-5.8777448408990622</v>
      </c>
      <c r="K59" s="17"/>
      <c r="L59" s="22">
        <f>+D59-H59</f>
        <v>-51255.690000000031</v>
      </c>
      <c r="M59" s="17"/>
      <c r="N59" s="24">
        <f>IF(H59=0,0,L59/H59)</f>
        <v>0.82719192014393106</v>
      </c>
      <c r="O59" s="27"/>
      <c r="P59" s="22">
        <f>P12-P40</f>
        <v>276979.91999999993</v>
      </c>
      <c r="Q59" s="15"/>
      <c r="R59" s="24">
        <f>IF(P$12=0,0,P59/P$12)</f>
        <v>0.15354273549905187</v>
      </c>
      <c r="S59" s="15"/>
      <c r="T59" s="22">
        <f>T12-T40</f>
        <v>497273.58000000007</v>
      </c>
      <c r="U59" s="15"/>
      <c r="V59" s="24">
        <f>IF(T$12=0,0,T59/T$12)</f>
        <v>0.25156919245555259</v>
      </c>
      <c r="W59" s="17"/>
      <c r="X59" s="22">
        <f>+P59-T59</f>
        <v>-220293.66000000015</v>
      </c>
      <c r="Y59" s="17"/>
      <c r="Z59" s="24">
        <f>IF(T59=0,0,X59/T59)</f>
        <v>-0.44300294417411057</v>
      </c>
    </row>
    <row r="60" spans="1:26" ht="15" customHeight="1" x14ac:dyDescent="0.3">
      <c r="A60" s="12"/>
      <c r="B60" s="13"/>
      <c r="C60" s="12"/>
      <c r="D60" s="2"/>
      <c r="E60" s="2"/>
      <c r="F60" s="5"/>
      <c r="G60" s="2"/>
      <c r="H60" s="2"/>
      <c r="I60" s="2"/>
      <c r="J60" s="5"/>
      <c r="K60" s="2"/>
      <c r="L60" s="2"/>
      <c r="M60" s="2"/>
      <c r="N60" s="5"/>
      <c r="O60" s="37"/>
      <c r="P60" s="2"/>
      <c r="Q60" s="2"/>
      <c r="R60" s="5"/>
      <c r="S60" s="2"/>
      <c r="T60" s="2"/>
      <c r="U60" s="2"/>
      <c r="V60" s="5"/>
      <c r="W60" s="2"/>
      <c r="X60" s="2"/>
      <c r="Y60" s="2"/>
      <c r="Z60" s="5"/>
    </row>
    <row r="61" spans="1:26" s="62" customFormat="1" ht="15" customHeight="1" x14ac:dyDescent="0.3">
      <c r="A61" s="13"/>
      <c r="B61" s="27" t="s">
        <v>289</v>
      </c>
      <c r="C61" s="13"/>
      <c r="D61" s="23" cm="1">
        <f t="array" ref="D61">SUM(OSRRefD22x_0)</f>
        <v>20932.970000000005</v>
      </c>
      <c r="E61" s="23"/>
      <c r="F61" s="34">
        <f t="shared" ref="F61:F92" si="12">IF(D$12=0,0,D61/D$12)</f>
        <v>1.5583219558967383</v>
      </c>
      <c r="G61" s="23"/>
      <c r="H61" s="23" cm="1">
        <f t="array" ref="H61">SUM(OSRRefH22x_0)</f>
        <v>21334.860000000008</v>
      </c>
      <c r="I61" s="23"/>
      <c r="J61" s="34">
        <f t="shared" ref="J61:J92" si="13">IF(H$12=0,0,H61/H$12)</f>
        <v>2.0237866449125179</v>
      </c>
      <c r="K61" s="8"/>
      <c r="L61" s="23">
        <f t="shared" ref="L61:L92" si="14">+D61-H61</f>
        <v>-401.89000000000306</v>
      </c>
      <c r="M61" s="8"/>
      <c r="N61" s="34">
        <f t="shared" ref="N61:N92" si="15">IF(H61=0,0,L61/H61)</f>
        <v>-1.8837245709604041E-2</v>
      </c>
      <c r="O61" s="13"/>
      <c r="P61" s="23" cm="1">
        <f t="array" ref="P61">SUM(OSRRefP22x_0)</f>
        <v>503706.05999999994</v>
      </c>
      <c r="Q61" s="23"/>
      <c r="R61" s="34">
        <f t="shared" ref="R61:R92" si="16">IF(P$12=0,0,P61/P$12)</f>
        <v>0.27922748457667818</v>
      </c>
      <c r="S61" s="23"/>
      <c r="T61" s="23" cm="1">
        <f t="array" ref="T61">SUM(OSRRefT22x_0)</f>
        <v>528742.40000000002</v>
      </c>
      <c r="U61" s="23"/>
      <c r="V61" s="34">
        <f t="shared" ref="V61:V92" si="17">IF(T$12=0,0,T61/T$12)</f>
        <v>0.26748917283120244</v>
      </c>
      <c r="W61" s="8"/>
      <c r="X61" s="23">
        <f t="shared" ref="X61:X92" si="18">+P61-T61</f>
        <v>-25036.340000000084</v>
      </c>
      <c r="Y61" s="8"/>
      <c r="Z61" s="34">
        <f t="shared" ref="Z61:Z92" si="19">IF(T61=0,0,X61/T61)</f>
        <v>-4.7350732606274967E-2</v>
      </c>
    </row>
    <row r="62" spans="1:26" s="68" customFormat="1" ht="15" customHeight="1" outlineLevel="1" collapsed="1" x14ac:dyDescent="0.3">
      <c r="A62" s="20"/>
      <c r="B62" s="11" t="str">
        <f>CONCATENATE("     ","*Benefits                                         ")</f>
        <v xml:space="preserve">     *Benefits                                         </v>
      </c>
      <c r="C62" s="11"/>
      <c r="D62" s="2">
        <f>SUM(OSRRefD22_0x_0)</f>
        <v>10024.030000000001</v>
      </c>
      <c r="E62" s="2"/>
      <c r="F62" s="5">
        <f t="shared" si="12"/>
        <v>0.74622311289642984</v>
      </c>
      <c r="G62" s="2"/>
      <c r="H62" s="2">
        <f>SUM(OSRRefH22_0x_0)</f>
        <v>12433.619999999999</v>
      </c>
      <c r="I62" s="2"/>
      <c r="J62" s="5">
        <f t="shared" si="13"/>
        <v>1.1794309455940732</v>
      </c>
      <c r="K62" s="2"/>
      <c r="L62" s="2">
        <f t="shared" si="14"/>
        <v>-2409.5899999999983</v>
      </c>
      <c r="M62" s="2"/>
      <c r="N62" s="5">
        <f t="shared" si="15"/>
        <v>-0.19379633606302898</v>
      </c>
      <c r="O62" s="11"/>
      <c r="P62" s="2">
        <f>SUM(OSRRefP22_0x_0)</f>
        <v>127769.86000000002</v>
      </c>
      <c r="Q62" s="2"/>
      <c r="R62" s="5">
        <f t="shared" si="16"/>
        <v>7.0828722236366062E-2</v>
      </c>
      <c r="S62" s="2"/>
      <c r="T62" s="2">
        <f>SUM(OSRRefT22_0x_0)</f>
        <v>144311.99</v>
      </c>
      <c r="U62" s="2"/>
      <c r="V62" s="5">
        <f t="shared" si="17"/>
        <v>7.3006997045678104E-2</v>
      </c>
      <c r="W62" s="2"/>
      <c r="X62" s="2">
        <f t="shared" si="18"/>
        <v>-16542.129999999976</v>
      </c>
      <c r="Y62" s="2"/>
      <c r="Z62" s="5">
        <f t="shared" si="19"/>
        <v>-0.11462755104409535</v>
      </c>
    </row>
    <row r="63" spans="1:26" s="69" customFormat="1" ht="15" hidden="1" customHeight="1" outlineLevel="2" x14ac:dyDescent="0.3">
      <c r="A63" s="21"/>
      <c r="B63" s="9" t="str">
        <f>CONCATENATE("          ","6111"," - ","F.I.C.A.")</f>
        <v xml:space="preserve">          6111 - F.I.C.A.</v>
      </c>
      <c r="C63" s="9"/>
      <c r="D63" s="6">
        <v>1695.53</v>
      </c>
      <c r="E63" s="3"/>
      <c r="F63" s="7">
        <f t="shared" si="12"/>
        <v>0.12622105825793456</v>
      </c>
      <c r="G63" s="3"/>
      <c r="H63" s="6">
        <v>2190.84</v>
      </c>
      <c r="I63" s="3"/>
      <c r="J63" s="7">
        <f t="shared" si="13"/>
        <v>0.20781916230714143</v>
      </c>
      <c r="K63" s="3"/>
      <c r="L63" s="6">
        <f t="shared" si="14"/>
        <v>-495.31000000000017</v>
      </c>
      <c r="M63" s="3"/>
      <c r="N63" s="7">
        <f t="shared" si="15"/>
        <v>-0.22608223329864352</v>
      </c>
      <c r="O63" s="9"/>
      <c r="P63" s="6">
        <v>25120.240000000002</v>
      </c>
      <c r="Q63" s="3"/>
      <c r="R63" s="7">
        <f t="shared" si="16"/>
        <v>1.3925306809218168E-2</v>
      </c>
      <c r="S63" s="3"/>
      <c r="T63" s="6">
        <v>26197.69</v>
      </c>
      <c r="U63" s="3"/>
      <c r="V63" s="7">
        <f t="shared" si="17"/>
        <v>1.3253331732405541E-2</v>
      </c>
      <c r="W63" s="3"/>
      <c r="X63" s="6">
        <f t="shared" si="18"/>
        <v>-1077.4499999999971</v>
      </c>
      <c r="Y63" s="3"/>
      <c r="Z63" s="7">
        <f t="shared" si="19"/>
        <v>-4.1127671943594915E-2</v>
      </c>
    </row>
    <row r="64" spans="1:26" s="69" customFormat="1" ht="15" hidden="1" customHeight="1" outlineLevel="2" x14ac:dyDescent="0.3">
      <c r="A64" s="21"/>
      <c r="B64" s="9" t="str">
        <f>CONCATENATE("          ","6112"," - ","COMPENSATION INSURANCE")</f>
        <v xml:space="preserve">          6112 - COMPENSATION INSURANCE</v>
      </c>
      <c r="C64" s="9"/>
      <c r="D64" s="6">
        <v>-945.08</v>
      </c>
      <c r="E64" s="3"/>
      <c r="F64" s="7">
        <f t="shared" si="12"/>
        <v>-7.0354990910457965E-2</v>
      </c>
      <c r="G64" s="3"/>
      <c r="H64" s="6">
        <v>129.68</v>
      </c>
      <c r="I64" s="3"/>
      <c r="J64" s="7">
        <f t="shared" si="13"/>
        <v>1.2301212762223668E-2</v>
      </c>
      <c r="K64" s="3"/>
      <c r="L64" s="6">
        <f t="shared" si="14"/>
        <v>-1074.76</v>
      </c>
      <c r="M64" s="3"/>
      <c r="N64" s="7">
        <f t="shared" si="15"/>
        <v>-8.2877853177051204</v>
      </c>
      <c r="O64" s="9"/>
      <c r="P64" s="6">
        <v>3520.31</v>
      </c>
      <c r="Q64" s="3"/>
      <c r="R64" s="7">
        <f t="shared" si="16"/>
        <v>1.9514700820357929E-3</v>
      </c>
      <c r="S64" s="3"/>
      <c r="T64" s="6">
        <v>1501.57</v>
      </c>
      <c r="U64" s="3"/>
      <c r="V64" s="7">
        <f t="shared" si="17"/>
        <v>7.596396983637942E-4</v>
      </c>
      <c r="W64" s="3"/>
      <c r="X64" s="6">
        <f t="shared" si="18"/>
        <v>2018.74</v>
      </c>
      <c r="Y64" s="3"/>
      <c r="Z64" s="7">
        <f t="shared" si="19"/>
        <v>1.3444195075820642</v>
      </c>
    </row>
    <row r="65" spans="1:26" s="69" customFormat="1" ht="15" hidden="1" customHeight="1" outlineLevel="2" x14ac:dyDescent="0.3">
      <c r="A65" s="21"/>
      <c r="B65" s="9" t="str">
        <f>CONCATENATE("          ","6113"," - ","GROUP INSURANCE")</f>
        <v xml:space="preserve">          6113 - GROUP INSURANCE</v>
      </c>
      <c r="C65" s="9"/>
      <c r="D65" s="6">
        <v>4226.1400000000003</v>
      </c>
      <c r="E65" s="3"/>
      <c r="F65" s="7">
        <f t="shared" si="12"/>
        <v>0.31460833081466416</v>
      </c>
      <c r="G65" s="3"/>
      <c r="H65" s="6">
        <v>4943.91</v>
      </c>
      <c r="I65" s="3"/>
      <c r="J65" s="7">
        <f t="shared" si="13"/>
        <v>0.46897045641028073</v>
      </c>
      <c r="K65" s="3"/>
      <c r="L65" s="6">
        <f t="shared" si="14"/>
        <v>-717.76999999999953</v>
      </c>
      <c r="M65" s="3"/>
      <c r="N65" s="7">
        <f t="shared" si="15"/>
        <v>-0.14518265906944089</v>
      </c>
      <c r="O65" s="9"/>
      <c r="P65" s="6">
        <v>52049.97</v>
      </c>
      <c r="Q65" s="3"/>
      <c r="R65" s="7">
        <f t="shared" si="16"/>
        <v>2.8853697323775625E-2</v>
      </c>
      <c r="S65" s="3"/>
      <c r="T65" s="6">
        <v>55051.68</v>
      </c>
      <c r="U65" s="3"/>
      <c r="V65" s="7">
        <f t="shared" si="17"/>
        <v>2.7850477559900718E-2</v>
      </c>
      <c r="W65" s="3"/>
      <c r="X65" s="6">
        <f t="shared" si="18"/>
        <v>-3001.7099999999991</v>
      </c>
      <c r="Y65" s="3"/>
      <c r="Z65" s="7">
        <f t="shared" si="19"/>
        <v>-5.4525311489131652E-2</v>
      </c>
    </row>
    <row r="66" spans="1:26" s="69" customFormat="1" ht="15" hidden="1" customHeight="1" outlineLevel="2" x14ac:dyDescent="0.3">
      <c r="A66" s="21"/>
      <c r="B66" s="9" t="str">
        <f>CONCATENATE("          ","6114"," - ","STATE UNEMPLOYMENT INSURANCE")</f>
        <v xml:space="preserve">          6114 - STATE UNEMPLOYMENT INSURANCE</v>
      </c>
      <c r="C66" s="9"/>
      <c r="D66" s="6"/>
      <c r="E66" s="3"/>
      <c r="F66" s="7">
        <f t="shared" si="12"/>
        <v>0</v>
      </c>
      <c r="G66" s="3"/>
      <c r="H66" s="6">
        <v>78.42</v>
      </c>
      <c r="I66" s="3"/>
      <c r="J66" s="7">
        <f t="shared" si="13"/>
        <v>7.4387808822762181E-3</v>
      </c>
      <c r="K66" s="3"/>
      <c r="L66" s="6">
        <f t="shared" si="14"/>
        <v>-78.42</v>
      </c>
      <c r="M66" s="3"/>
      <c r="N66" s="7">
        <f t="shared" si="15"/>
        <v>-1</v>
      </c>
      <c r="O66" s="9"/>
      <c r="P66" s="6">
        <v>885.1</v>
      </c>
      <c r="Q66" s="3"/>
      <c r="R66" s="7">
        <f t="shared" si="16"/>
        <v>4.9065172374304546E-4</v>
      </c>
      <c r="S66" s="3"/>
      <c r="T66" s="6">
        <v>953.93</v>
      </c>
      <c r="U66" s="3"/>
      <c r="V66" s="7">
        <f t="shared" si="17"/>
        <v>4.8259028713957668E-4</v>
      </c>
      <c r="W66" s="3"/>
      <c r="X66" s="6">
        <f t="shared" si="18"/>
        <v>-68.829999999999927</v>
      </c>
      <c r="Y66" s="3"/>
      <c r="Z66" s="7">
        <f t="shared" si="19"/>
        <v>-7.2154141289193049E-2</v>
      </c>
    </row>
    <row r="67" spans="1:26" s="69" customFormat="1" ht="15" hidden="1" customHeight="1" outlineLevel="2" x14ac:dyDescent="0.3">
      <c r="A67" s="21"/>
      <c r="B67" s="9" t="str">
        <f>CONCATENATE("          ","6115"," - ","P.E.R.S.")</f>
        <v xml:space="preserve">          6115 - P.E.R.S.</v>
      </c>
      <c r="C67" s="9"/>
      <c r="D67" s="6">
        <v>1504.18</v>
      </c>
      <c r="E67" s="3"/>
      <c r="F67" s="7">
        <f t="shared" si="12"/>
        <v>0.11197630912482823</v>
      </c>
      <c r="G67" s="3"/>
      <c r="H67" s="6">
        <v>2644.54</v>
      </c>
      <c r="I67" s="3"/>
      <c r="J67" s="7">
        <f t="shared" si="13"/>
        <v>0.25085633249700012</v>
      </c>
      <c r="K67" s="3"/>
      <c r="L67" s="6">
        <f t="shared" si="14"/>
        <v>-1140.3599999999999</v>
      </c>
      <c r="M67" s="3"/>
      <c r="N67" s="7">
        <f t="shared" si="15"/>
        <v>-0.4312129897827221</v>
      </c>
      <c r="O67" s="9"/>
      <c r="P67" s="6">
        <v>21652.19</v>
      </c>
      <c r="Q67" s="3"/>
      <c r="R67" s="7">
        <f t="shared" si="16"/>
        <v>1.200280685381531E-2</v>
      </c>
      <c r="S67" s="3"/>
      <c r="T67" s="6">
        <v>22892.11</v>
      </c>
      <c r="U67" s="3"/>
      <c r="V67" s="7">
        <f t="shared" si="17"/>
        <v>1.1581048859068041E-2</v>
      </c>
      <c r="W67" s="3"/>
      <c r="X67" s="6">
        <f t="shared" si="18"/>
        <v>-1239.9200000000019</v>
      </c>
      <c r="Y67" s="3"/>
      <c r="Z67" s="7">
        <f t="shared" si="19"/>
        <v>-5.4163639786808722E-2</v>
      </c>
    </row>
    <row r="68" spans="1:26" s="69" customFormat="1" ht="15" hidden="1" customHeight="1" outlineLevel="2" x14ac:dyDescent="0.3">
      <c r="A68" s="21"/>
      <c r="B68" s="9" t="str">
        <f>CONCATENATE("          ","6117"," - ","RETIREMENT STAFF HOURLY")</f>
        <v xml:space="preserve">          6117 - RETIREMENT STAFF HOURLY</v>
      </c>
      <c r="C68" s="9"/>
      <c r="D68" s="6">
        <v>162.22</v>
      </c>
      <c r="E68" s="3"/>
      <c r="F68" s="7">
        <f t="shared" si="12"/>
        <v>1.2076212199490509E-2</v>
      </c>
      <c r="G68" s="3"/>
      <c r="H68" s="6">
        <v>246.25</v>
      </c>
      <c r="I68" s="3"/>
      <c r="J68" s="7">
        <f t="shared" si="13"/>
        <v>2.3358834382307049E-2</v>
      </c>
      <c r="K68" s="3"/>
      <c r="L68" s="6">
        <f t="shared" si="14"/>
        <v>-84.03</v>
      </c>
      <c r="M68" s="3"/>
      <c r="N68" s="7">
        <f t="shared" si="15"/>
        <v>-0.34123857868020308</v>
      </c>
      <c r="O68" s="9"/>
      <c r="P68" s="6">
        <v>3538.66</v>
      </c>
      <c r="Q68" s="3"/>
      <c r="R68" s="7">
        <f t="shared" si="16"/>
        <v>1.9616423327765962E-3</v>
      </c>
      <c r="S68" s="3"/>
      <c r="T68" s="6">
        <v>3247.65</v>
      </c>
      <c r="U68" s="3"/>
      <c r="V68" s="7">
        <f t="shared" si="17"/>
        <v>1.6429762624394308E-3</v>
      </c>
      <c r="W68" s="3"/>
      <c r="X68" s="6">
        <f t="shared" si="18"/>
        <v>291.00999999999976</v>
      </c>
      <c r="Y68" s="3"/>
      <c r="Z68" s="7">
        <f t="shared" si="19"/>
        <v>8.9606330731451897E-2</v>
      </c>
    </row>
    <row r="69" spans="1:26" s="69" customFormat="1" ht="15" hidden="1" customHeight="1" outlineLevel="2" x14ac:dyDescent="0.3">
      <c r="A69" s="21"/>
      <c r="B69" s="9" t="str">
        <f>CONCATENATE("          ","6118"," - ","VACATION")</f>
        <v xml:space="preserve">          6118 - VACATION</v>
      </c>
      <c r="C69" s="9"/>
      <c r="D69" s="6">
        <v>1393.84</v>
      </c>
      <c r="E69" s="3"/>
      <c r="F69" s="7">
        <f t="shared" si="12"/>
        <v>0.1037622217490929</v>
      </c>
      <c r="G69" s="3"/>
      <c r="H69" s="6">
        <v>1512.33</v>
      </c>
      <c r="I69" s="3"/>
      <c r="J69" s="7">
        <f t="shared" si="13"/>
        <v>0.14345691777216008</v>
      </c>
      <c r="K69" s="3"/>
      <c r="L69" s="6">
        <f t="shared" si="14"/>
        <v>-118.49000000000001</v>
      </c>
      <c r="M69" s="3"/>
      <c r="N69" s="7">
        <f t="shared" si="15"/>
        <v>-7.8349302070315346E-2</v>
      </c>
      <c r="O69" s="9"/>
      <c r="P69" s="6">
        <v>22008.02</v>
      </c>
      <c r="Q69" s="3"/>
      <c r="R69" s="7">
        <f t="shared" si="16"/>
        <v>1.2200059822812586E-2</v>
      </c>
      <c r="S69" s="3"/>
      <c r="T69" s="6">
        <v>17657.46</v>
      </c>
      <c r="U69" s="3"/>
      <c r="V69" s="7">
        <f t="shared" si="17"/>
        <v>8.9328553369278554E-3</v>
      </c>
      <c r="W69" s="3"/>
      <c r="X69" s="6">
        <f t="shared" si="18"/>
        <v>4350.5600000000013</v>
      </c>
      <c r="Y69" s="3"/>
      <c r="Z69" s="7">
        <f t="shared" si="19"/>
        <v>0.24638651312249901</v>
      </c>
    </row>
    <row r="70" spans="1:26" s="69" customFormat="1" ht="15" hidden="1" customHeight="1" outlineLevel="2" x14ac:dyDescent="0.3">
      <c r="A70" s="21"/>
      <c r="B70" s="9" t="str">
        <f>CONCATENATE("          ","6119"," - ","SICK LEAVE")</f>
        <v xml:space="preserve">          6119 - SICK LEAVE</v>
      </c>
      <c r="C70" s="9"/>
      <c r="D70" s="6">
        <v>892.48</v>
      </c>
      <c r="E70" s="3"/>
      <c r="F70" s="7">
        <f t="shared" si="12"/>
        <v>6.643926682160825E-2</v>
      </c>
      <c r="G70" s="3"/>
      <c r="H70" s="6">
        <v>284.64</v>
      </c>
      <c r="I70" s="3"/>
      <c r="J70" s="7">
        <f t="shared" si="13"/>
        <v>2.7000441090679707E-2</v>
      </c>
      <c r="K70" s="3"/>
      <c r="L70" s="6">
        <f t="shared" si="14"/>
        <v>607.84</v>
      </c>
      <c r="M70" s="3"/>
      <c r="N70" s="7">
        <f t="shared" si="15"/>
        <v>2.135469364811692</v>
      </c>
      <c r="O70" s="9"/>
      <c r="P70" s="6">
        <v>-12117.86</v>
      </c>
      <c r="Q70" s="3"/>
      <c r="R70" s="7">
        <f t="shared" si="16"/>
        <v>-6.7174883031034926E-3</v>
      </c>
      <c r="S70" s="3"/>
      <c r="T70" s="6">
        <v>11746.18</v>
      </c>
      <c r="U70" s="3"/>
      <c r="V70" s="7">
        <f t="shared" si="17"/>
        <v>5.942356754681322E-3</v>
      </c>
      <c r="W70" s="3"/>
      <c r="X70" s="6">
        <f t="shared" si="18"/>
        <v>-23864.04</v>
      </c>
      <c r="Y70" s="3"/>
      <c r="Z70" s="7">
        <f t="shared" si="19"/>
        <v>-2.0316426276457538</v>
      </c>
    </row>
    <row r="71" spans="1:26" s="69" customFormat="1" ht="15" hidden="1" customHeight="1" outlineLevel="2" x14ac:dyDescent="0.3">
      <c r="A71" s="21"/>
      <c r="B71" s="9" t="str">
        <f>CONCATENATE("          ","6156"," - ","EMPLOYEE MEALS")</f>
        <v xml:space="preserve">          6156 - EMPLOYEE MEALS</v>
      </c>
      <c r="C71" s="9"/>
      <c r="D71" s="6">
        <v>1094.72</v>
      </c>
      <c r="E71" s="3"/>
      <c r="F71" s="7">
        <f t="shared" si="12"/>
        <v>8.1494704839269197E-2</v>
      </c>
      <c r="G71" s="3"/>
      <c r="H71" s="6">
        <v>403.01</v>
      </c>
      <c r="I71" s="3"/>
      <c r="J71" s="7">
        <f t="shared" si="13"/>
        <v>3.8228807490004318E-2</v>
      </c>
      <c r="K71" s="3"/>
      <c r="L71" s="6">
        <f t="shared" si="14"/>
        <v>691.71</v>
      </c>
      <c r="M71" s="3"/>
      <c r="N71" s="7">
        <f t="shared" si="15"/>
        <v>1.7163593955484977</v>
      </c>
      <c r="O71" s="9"/>
      <c r="P71" s="6">
        <v>11113.23</v>
      </c>
      <c r="Q71" s="3"/>
      <c r="R71" s="7">
        <f t="shared" si="16"/>
        <v>6.1605755912924245E-3</v>
      </c>
      <c r="S71" s="3"/>
      <c r="T71" s="6">
        <v>5063.72</v>
      </c>
      <c r="U71" s="3"/>
      <c r="V71" s="7">
        <f t="shared" si="17"/>
        <v>2.5617205547518347E-3</v>
      </c>
      <c r="W71" s="3"/>
      <c r="X71" s="6">
        <f t="shared" si="18"/>
        <v>6049.5099999999993</v>
      </c>
      <c r="Y71" s="3"/>
      <c r="Z71" s="7">
        <f t="shared" si="19"/>
        <v>1.1946770358550629</v>
      </c>
    </row>
    <row r="72" spans="1:26" s="68" customFormat="1" ht="15" customHeight="1" outlineLevel="1" collapsed="1" x14ac:dyDescent="0.3">
      <c r="A72" s="20"/>
      <c r="B72" s="11" t="str">
        <f>CONCATENATE("     ","*Payroll                                          ")</f>
        <v xml:space="preserve">     *Payroll                                          </v>
      </c>
      <c r="C72" s="11"/>
      <c r="D72" s="2">
        <f>SUM(OSRRefD22_1x_0)</f>
        <v>16568.189999999999</v>
      </c>
      <c r="E72" s="2"/>
      <c r="F72" s="5">
        <f t="shared" si="12"/>
        <v>1.2333927888144287</v>
      </c>
      <c r="G72" s="2"/>
      <c r="H72" s="2">
        <f>SUM(OSRRefH22_1x_0)</f>
        <v>28142.829999999998</v>
      </c>
      <c r="I72" s="2"/>
      <c r="J72" s="5">
        <f t="shared" si="13"/>
        <v>2.669578497540801</v>
      </c>
      <c r="K72" s="2"/>
      <c r="L72" s="2">
        <f t="shared" si="14"/>
        <v>-11574.64</v>
      </c>
      <c r="M72" s="2"/>
      <c r="N72" s="5">
        <f t="shared" si="15"/>
        <v>-0.41128202103342132</v>
      </c>
      <c r="O72" s="11"/>
      <c r="P72" s="2">
        <f>SUM(OSRRefP22_1x_0)</f>
        <v>330338.53999999992</v>
      </c>
      <c r="Q72" s="2"/>
      <c r="R72" s="5">
        <f t="shared" si="16"/>
        <v>0.18312187783274311</v>
      </c>
      <c r="S72" s="2"/>
      <c r="T72" s="2">
        <f>SUM(OSRRefT22_1x_0)</f>
        <v>338965.84999999992</v>
      </c>
      <c r="U72" s="2"/>
      <c r="V72" s="5">
        <f t="shared" si="17"/>
        <v>0.17148179308965086</v>
      </c>
      <c r="W72" s="2"/>
      <c r="X72" s="2">
        <f t="shared" si="18"/>
        <v>-8627.3099999999977</v>
      </c>
      <c r="Y72" s="2"/>
      <c r="Z72" s="5">
        <f t="shared" si="19"/>
        <v>-2.5451855990802612E-2</v>
      </c>
    </row>
    <row r="73" spans="1:26" s="69" customFormat="1" ht="15" hidden="1" customHeight="1" outlineLevel="2" x14ac:dyDescent="0.3">
      <c r="A73" s="21"/>
      <c r="B73" s="9" t="str">
        <f>CONCATENATE("          ","6001"," - ","ADMINISTRATIVE SALARIES")</f>
        <v xml:space="preserve">          6001 - ADMINISTRATIVE SALARIES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-311.32</v>
      </c>
      <c r="U73" s="3"/>
      <c r="V73" s="7">
        <f t="shared" si="17"/>
        <v>-1.5749584161552001E-4</v>
      </c>
      <c r="W73" s="3"/>
      <c r="X73" s="6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1"/>
      <c r="B74" s="9" t="str">
        <f>CONCATENATE("          ","6002"," - ","STAFF SALARIES")</f>
        <v xml:space="preserve">          6002 - STAFF SALARIES</v>
      </c>
      <c r="C74" s="9"/>
      <c r="D74" s="6">
        <v>12053.48</v>
      </c>
      <c r="E74" s="3"/>
      <c r="F74" s="7">
        <f t="shared" si="12"/>
        <v>0.89730231921042325</v>
      </c>
      <c r="G74" s="3"/>
      <c r="H74" s="6">
        <v>18030.77</v>
      </c>
      <c r="I74" s="3"/>
      <c r="J74" s="7">
        <f t="shared" si="13"/>
        <v>1.7103665795552101</v>
      </c>
      <c r="K74" s="3"/>
      <c r="L74" s="6">
        <f t="shared" si="14"/>
        <v>-5977.2900000000009</v>
      </c>
      <c r="M74" s="3"/>
      <c r="N74" s="7">
        <f t="shared" si="15"/>
        <v>-0.331504977324873</v>
      </c>
      <c r="O74" s="9"/>
      <c r="P74" s="6">
        <v>215099.65</v>
      </c>
      <c r="Q74" s="3"/>
      <c r="R74" s="7">
        <f t="shared" si="16"/>
        <v>0.11923964981247968</v>
      </c>
      <c r="S74" s="3"/>
      <c r="T74" s="6">
        <v>210246.3</v>
      </c>
      <c r="U74" s="3"/>
      <c r="V74" s="7">
        <f t="shared" si="17"/>
        <v>0.1063629640403736</v>
      </c>
      <c r="W74" s="3"/>
      <c r="X74" s="6">
        <f t="shared" si="18"/>
        <v>4853.3500000000058</v>
      </c>
      <c r="Y74" s="3"/>
      <c r="Z74" s="7">
        <f t="shared" si="19"/>
        <v>2.3084116105729358E-2</v>
      </c>
    </row>
    <row r="75" spans="1:26" s="69" customFormat="1" ht="15" hidden="1" customHeight="1" outlineLevel="2" x14ac:dyDescent="0.3">
      <c r="A75" s="21"/>
      <c r="B75" s="9" t="str">
        <f>CONCATENATE("          ","6004"," - ","STAFF HOURLY")</f>
        <v xml:space="preserve">          6004 - STAFF HOURLY</v>
      </c>
      <c r="C75" s="9"/>
      <c r="D75" s="6">
        <v>2910.87</v>
      </c>
      <c r="E75" s="3"/>
      <c r="F75" s="7">
        <f t="shared" si="12"/>
        <v>0.21669512886901082</v>
      </c>
      <c r="G75" s="3"/>
      <c r="H75" s="6">
        <v>6138.5</v>
      </c>
      <c r="I75" s="3"/>
      <c r="J75" s="7">
        <f t="shared" si="13"/>
        <v>0.58228712631793633</v>
      </c>
      <c r="K75" s="3"/>
      <c r="L75" s="6">
        <f t="shared" si="14"/>
        <v>-3227.63</v>
      </c>
      <c r="M75" s="3"/>
      <c r="N75" s="7">
        <f t="shared" si="15"/>
        <v>-0.52580109147185794</v>
      </c>
      <c r="O75" s="9"/>
      <c r="P75" s="6">
        <v>68101.929999999993</v>
      </c>
      <c r="Q75" s="3"/>
      <c r="R75" s="7">
        <f t="shared" si="16"/>
        <v>3.7752038577254794E-2</v>
      </c>
      <c r="S75" s="3"/>
      <c r="T75" s="6">
        <v>80583.929999999993</v>
      </c>
      <c r="U75" s="3"/>
      <c r="V75" s="7">
        <f t="shared" si="17"/>
        <v>4.0767165219183325E-2</v>
      </c>
      <c r="W75" s="3"/>
      <c r="X75" s="6">
        <f t="shared" si="18"/>
        <v>-12482</v>
      </c>
      <c r="Y75" s="3"/>
      <c r="Z75" s="7">
        <f t="shared" si="19"/>
        <v>-0.1548944063661328</v>
      </c>
    </row>
    <row r="76" spans="1:26" s="69" customFormat="1" ht="15" hidden="1" customHeight="1" outlineLevel="2" x14ac:dyDescent="0.3">
      <c r="A76" s="21"/>
      <c r="B76" s="9" t="str">
        <f>CONCATENATE("          ","6005"," - ","TEMPORARY WAGES-HOURLY")</f>
        <v xml:space="preserve">          6005 - TEMPORARY WAGES-HOURLY</v>
      </c>
      <c r="C76" s="9"/>
      <c r="D76" s="6"/>
      <c r="E76" s="3"/>
      <c r="F76" s="7">
        <f t="shared" si="12"/>
        <v>0</v>
      </c>
      <c r="G76" s="3"/>
      <c r="H76" s="6">
        <v>3881.44</v>
      </c>
      <c r="I76" s="3"/>
      <c r="J76" s="7">
        <f t="shared" si="13"/>
        <v>0.36818645329893146</v>
      </c>
      <c r="K76" s="3"/>
      <c r="L76" s="6">
        <f t="shared" si="14"/>
        <v>-3881.44</v>
      </c>
      <c r="M76" s="3"/>
      <c r="N76" s="7">
        <f t="shared" si="15"/>
        <v>-1</v>
      </c>
      <c r="O76" s="9"/>
      <c r="P76" s="6">
        <v>14698.31</v>
      </c>
      <c r="Q76" s="3"/>
      <c r="R76" s="7">
        <f t="shared" si="16"/>
        <v>8.1479506695397615E-3</v>
      </c>
      <c r="S76" s="3"/>
      <c r="T76" s="6">
        <v>21436.6</v>
      </c>
      <c r="U76" s="3"/>
      <c r="V76" s="7">
        <f t="shared" si="17"/>
        <v>1.0844710774686035E-2</v>
      </c>
      <c r="W76" s="3"/>
      <c r="X76" s="6">
        <f t="shared" si="18"/>
        <v>-6738.2899999999991</v>
      </c>
      <c r="Y76" s="3"/>
      <c r="Z76" s="7">
        <f t="shared" si="19"/>
        <v>-0.31433576220109533</v>
      </c>
    </row>
    <row r="77" spans="1:26" s="69" customFormat="1" ht="15" hidden="1" customHeight="1" outlineLevel="2" x14ac:dyDescent="0.3">
      <c r="A77" s="21"/>
      <c r="B77" s="9" t="str">
        <f>CONCATENATE("          ","6006"," - ","TEMPORARY PART TIME")</f>
        <v xml:space="preserve">          6006 - TEMPORARY PART TIME</v>
      </c>
      <c r="C77" s="9"/>
      <c r="D77" s="6"/>
      <c r="E77" s="3"/>
      <c r="F77" s="7">
        <f t="shared" si="12"/>
        <v>0</v>
      </c>
      <c r="G77" s="3"/>
      <c r="H77" s="6"/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/>
      <c r="Q77" s="3"/>
      <c r="R77" s="7">
        <f t="shared" si="16"/>
        <v>0</v>
      </c>
      <c r="S77" s="3"/>
      <c r="T77" s="6">
        <v>914.04</v>
      </c>
      <c r="U77" s="3"/>
      <c r="V77" s="7">
        <f t="shared" si="17"/>
        <v>4.6241005740154799E-4</v>
      </c>
      <c r="W77" s="3"/>
      <c r="X77" s="6">
        <f t="shared" si="18"/>
        <v>-914.04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1"/>
      <c r="B78" s="9" t="str">
        <f>CONCATENATE("          ","6007"," - ","STUDENT HOURLY")</f>
        <v xml:space="preserve">          6007 - STUDENT HOURLY</v>
      </c>
      <c r="C78" s="9"/>
      <c r="D78" s="6">
        <v>1603.84</v>
      </c>
      <c r="E78" s="3"/>
      <c r="F78" s="7">
        <f t="shared" si="12"/>
        <v>0.1193953407349948</v>
      </c>
      <c r="G78" s="3"/>
      <c r="H78" s="6">
        <v>92.12</v>
      </c>
      <c r="I78" s="3"/>
      <c r="J78" s="7">
        <f t="shared" si="13"/>
        <v>8.7383383687233522E-3</v>
      </c>
      <c r="K78" s="3"/>
      <c r="L78" s="6">
        <f t="shared" si="14"/>
        <v>1511.7199999999998</v>
      </c>
      <c r="M78" s="3"/>
      <c r="N78" s="7">
        <f t="shared" si="15"/>
        <v>16.410334346504555</v>
      </c>
      <c r="O78" s="9"/>
      <c r="P78" s="6">
        <v>28472.17</v>
      </c>
      <c r="Q78" s="3"/>
      <c r="R78" s="7">
        <f t="shared" si="16"/>
        <v>1.5783436096717913E-2</v>
      </c>
      <c r="S78" s="3"/>
      <c r="T78" s="6">
        <v>25129.040000000001</v>
      </c>
      <c r="U78" s="3"/>
      <c r="V78" s="7">
        <f t="shared" si="17"/>
        <v>1.2712704946004329E-2</v>
      </c>
      <c r="W78" s="3"/>
      <c r="X78" s="6">
        <f t="shared" si="18"/>
        <v>3343.1299999999974</v>
      </c>
      <c r="Y78" s="3"/>
      <c r="Z78" s="7">
        <f t="shared" si="19"/>
        <v>0.13303850843486251</v>
      </c>
    </row>
    <row r="79" spans="1:26" s="69" customFormat="1" ht="15" hidden="1" customHeight="1" outlineLevel="2" x14ac:dyDescent="0.3">
      <c r="A79" s="21"/>
      <c r="B79" s="9" t="str">
        <f>CONCATENATE("          ","6008"," - ","STUDENT HOURLY-FICA EXEMPT")</f>
        <v xml:space="preserve">          6008 - STUDENT HOURLY-FICA EXEMPT</v>
      </c>
      <c r="C79" s="9"/>
      <c r="D79" s="6"/>
      <c r="E79" s="3"/>
      <c r="F79" s="7">
        <f t="shared" si="12"/>
        <v>0</v>
      </c>
      <c r="G79" s="3"/>
      <c r="H79" s="6"/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>
        <v>3966.48</v>
      </c>
      <c r="Q79" s="3"/>
      <c r="R79" s="7">
        <f t="shared" si="16"/>
        <v>2.1988026767510056E-3</v>
      </c>
      <c r="S79" s="3"/>
      <c r="T79" s="6">
        <v>967.26</v>
      </c>
      <c r="U79" s="3"/>
      <c r="V79" s="7">
        <f t="shared" si="17"/>
        <v>4.8933389361758932E-4</v>
      </c>
      <c r="W79" s="3"/>
      <c r="X79" s="6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0"/>
      <c r="B80" s="11" t="str">
        <f>CONCATENATE("     ","Advertising/Promo                                 ")</f>
        <v xml:space="preserve">     Advertising/Promo                                 </v>
      </c>
      <c r="C80" s="11"/>
      <c r="D80" s="2">
        <f>SUM(OSRRefD22_2x_0)</f>
        <v>82.68</v>
      </c>
      <c r="E80" s="2"/>
      <c r="F80" s="5">
        <f t="shared" si="12"/>
        <v>6.1549822750208072E-3</v>
      </c>
      <c r="G80" s="2"/>
      <c r="H80" s="2">
        <f>SUM(OSRRefH22_2x_0)</f>
        <v>0</v>
      </c>
      <c r="I80" s="2"/>
      <c r="J80" s="5">
        <f t="shared" si="13"/>
        <v>0</v>
      </c>
      <c r="K80" s="2"/>
      <c r="L80" s="2">
        <f t="shared" si="14"/>
        <v>82.68</v>
      </c>
      <c r="M80" s="2"/>
      <c r="N80" s="5">
        <f t="shared" si="15"/>
        <v>0</v>
      </c>
      <c r="O80" s="11"/>
      <c r="P80" s="2">
        <f>SUM(OSRRefP22_2x_0)</f>
        <v>1047.68</v>
      </c>
      <c r="Q80" s="2"/>
      <c r="R80" s="5">
        <f t="shared" si="16"/>
        <v>5.807773109604722E-4</v>
      </c>
      <c r="S80" s="2"/>
      <c r="T80" s="2">
        <f>SUM(OSRRefT22_2x_0)</f>
        <v>2380.9899999999998</v>
      </c>
      <c r="U80" s="2"/>
      <c r="V80" s="5">
        <f t="shared" si="17"/>
        <v>1.2045356030069927E-3</v>
      </c>
      <c r="W80" s="2"/>
      <c r="X80" s="2">
        <f t="shared" si="18"/>
        <v>-1333.3099999999997</v>
      </c>
      <c r="Y80" s="2"/>
      <c r="Z80" s="5">
        <f t="shared" si="19"/>
        <v>-0.55998135229463364</v>
      </c>
    </row>
    <row r="81" spans="1:26" s="69" customFormat="1" ht="15" hidden="1" customHeight="1" outlineLevel="2" x14ac:dyDescent="0.3">
      <c r="A81" s="21"/>
      <c r="B81" s="9" t="str">
        <f>CONCATENATE("          ","6362"," - ","ADVERTISING EXPENSE")</f>
        <v xml:space="preserve">          6362 - ADVERTISING EXPENSE</v>
      </c>
      <c r="C81" s="9"/>
      <c r="D81" s="6">
        <v>82.68</v>
      </c>
      <c r="E81" s="3"/>
      <c r="F81" s="7">
        <f t="shared" si="12"/>
        <v>6.1549822750208072E-3</v>
      </c>
      <c r="G81" s="3"/>
      <c r="H81" s="6"/>
      <c r="I81" s="3"/>
      <c r="J81" s="7">
        <f t="shared" si="13"/>
        <v>0</v>
      </c>
      <c r="K81" s="3"/>
      <c r="L81" s="6">
        <f t="shared" si="14"/>
        <v>82.68</v>
      </c>
      <c r="M81" s="3"/>
      <c r="N81" s="7">
        <f t="shared" si="15"/>
        <v>0</v>
      </c>
      <c r="O81" s="9"/>
      <c r="P81" s="6">
        <v>1047.68</v>
      </c>
      <c r="Q81" s="3"/>
      <c r="R81" s="7">
        <f t="shared" si="16"/>
        <v>5.807773109604722E-4</v>
      </c>
      <c r="S81" s="3"/>
      <c r="T81" s="6">
        <v>2380.9899999999998</v>
      </c>
      <c r="U81" s="3"/>
      <c r="V81" s="7">
        <f t="shared" si="17"/>
        <v>1.2045356030069927E-3</v>
      </c>
      <c r="W81" s="3"/>
      <c r="X81" s="6">
        <f t="shared" si="18"/>
        <v>-1333.3099999999997</v>
      </c>
      <c r="Y81" s="3"/>
      <c r="Z81" s="7">
        <f t="shared" si="19"/>
        <v>-0.55998135229463364</v>
      </c>
    </row>
    <row r="82" spans="1:26" s="68" customFormat="1" ht="15" customHeight="1" outlineLevel="1" collapsed="1" x14ac:dyDescent="0.3">
      <c r="A82" s="20"/>
      <c r="B82" s="11" t="str">
        <f>CONCATENATE("     ","Discounts and Markdowns                           ")</f>
        <v xml:space="preserve">     Discounts and Markdowns                           </v>
      </c>
      <c r="C82" s="11"/>
      <c r="D82" s="2">
        <f>SUM(OSRRefD22_3x_0)</f>
        <v>0</v>
      </c>
      <c r="E82" s="2"/>
      <c r="F82" s="5">
        <f t="shared" si="12"/>
        <v>0</v>
      </c>
      <c r="G82" s="2"/>
      <c r="H82" s="2">
        <f>SUM(OSRRefH22_3x_0)</f>
        <v>0</v>
      </c>
      <c r="I82" s="2"/>
      <c r="J82" s="5">
        <f t="shared" si="13"/>
        <v>0</v>
      </c>
      <c r="K82" s="2"/>
      <c r="L82" s="2">
        <f t="shared" si="14"/>
        <v>0</v>
      </c>
      <c r="M82" s="2"/>
      <c r="N82" s="5">
        <f t="shared" si="15"/>
        <v>0</v>
      </c>
      <c r="O82" s="11"/>
      <c r="P82" s="2">
        <f>SUM(OSRRefP22_3x_0)</f>
        <v>1.35</v>
      </c>
      <c r="Q82" s="2"/>
      <c r="R82" s="5">
        <f t="shared" si="16"/>
        <v>7.4836722071303974E-7</v>
      </c>
      <c r="S82" s="2"/>
      <c r="T82" s="2">
        <f>SUM(OSRRefT22_3x_0)</f>
        <v>0</v>
      </c>
      <c r="U82" s="2"/>
      <c r="V82" s="5">
        <f t="shared" si="17"/>
        <v>0</v>
      </c>
      <c r="W82" s="2"/>
      <c r="X82" s="2">
        <f t="shared" si="18"/>
        <v>1.35</v>
      </c>
      <c r="Y82" s="2"/>
      <c r="Z82" s="5">
        <f t="shared" si="19"/>
        <v>0</v>
      </c>
    </row>
    <row r="83" spans="1:26" s="69" customFormat="1" ht="15" hidden="1" customHeight="1" outlineLevel="2" x14ac:dyDescent="0.3">
      <c r="A83" s="21"/>
      <c r="B83" s="9" t="str">
        <f>CONCATENATE("          ","6382"," - ","DISCOUNTS/MARK DOWNS")</f>
        <v xml:space="preserve">          6382 - DISCOUNTS/MARK DOWNS</v>
      </c>
      <c r="C83" s="9"/>
      <c r="D83" s="6"/>
      <c r="E83" s="3"/>
      <c r="F83" s="7">
        <f t="shared" si="12"/>
        <v>0</v>
      </c>
      <c r="G83" s="3"/>
      <c r="H83" s="6">
        <v>0</v>
      </c>
      <c r="I83" s="3"/>
      <c r="J83" s="7">
        <f t="shared" si="13"/>
        <v>0</v>
      </c>
      <c r="K83" s="3"/>
      <c r="L83" s="6">
        <f t="shared" si="14"/>
        <v>0</v>
      </c>
      <c r="M83" s="3"/>
      <c r="N83" s="7">
        <f t="shared" si="15"/>
        <v>0</v>
      </c>
      <c r="O83" s="9"/>
      <c r="P83" s="6">
        <v>1.35</v>
      </c>
      <c r="Q83" s="3"/>
      <c r="R83" s="7">
        <f t="shared" si="16"/>
        <v>7.4836722071303974E-7</v>
      </c>
      <c r="S83" s="3"/>
      <c r="T83" s="6">
        <v>0</v>
      </c>
      <c r="U83" s="3"/>
      <c r="V83" s="7">
        <f t="shared" si="17"/>
        <v>0</v>
      </c>
      <c r="W83" s="3"/>
      <c r="X83" s="6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1"/>
      <c r="B84" s="9" t="str">
        <f>CONCATENATE("          ","9175"," - ","EARNED DISCOUNTS")</f>
        <v xml:space="preserve">          9175 - EARNED DISCOUNTS</v>
      </c>
      <c r="C84" s="9"/>
      <c r="D84" s="6"/>
      <c r="E84" s="3"/>
      <c r="F84" s="7">
        <f t="shared" si="12"/>
        <v>0</v>
      </c>
      <c r="G84" s="3"/>
      <c r="H84" s="6"/>
      <c r="I84" s="3"/>
      <c r="J84" s="7">
        <f t="shared" si="13"/>
        <v>0</v>
      </c>
      <c r="K84" s="3"/>
      <c r="L84" s="6">
        <f t="shared" si="14"/>
        <v>0</v>
      </c>
      <c r="M84" s="3"/>
      <c r="N84" s="7">
        <f t="shared" si="15"/>
        <v>0</v>
      </c>
      <c r="O84" s="9"/>
      <c r="P84" s="6"/>
      <c r="Q84" s="3"/>
      <c r="R84" s="7">
        <f t="shared" si="16"/>
        <v>0</v>
      </c>
      <c r="S84" s="3"/>
      <c r="T84" s="6">
        <v>0</v>
      </c>
      <c r="U84" s="3"/>
      <c r="V84" s="7">
        <f t="shared" si="17"/>
        <v>0</v>
      </c>
      <c r="W84" s="3"/>
      <c r="X84" s="6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0"/>
      <c r="B85" s="11" t="str">
        <f>CONCATENATE("     ","Employees' Appreciation                           ")</f>
        <v xml:space="preserve">     Employees' Appreciation                           </v>
      </c>
      <c r="C85" s="11"/>
      <c r="D85" s="2">
        <f>SUM(OSRRefD22_4x_0)</f>
        <v>0</v>
      </c>
      <c r="E85" s="2"/>
      <c r="F85" s="5">
        <f t="shared" si="12"/>
        <v>0</v>
      </c>
      <c r="G85" s="2"/>
      <c r="H85" s="2">
        <f>SUM(OSRRefH22_4x_0)</f>
        <v>0</v>
      </c>
      <c r="I85" s="2"/>
      <c r="J85" s="5">
        <f t="shared" si="13"/>
        <v>0</v>
      </c>
      <c r="K85" s="2"/>
      <c r="L85" s="2">
        <f t="shared" si="14"/>
        <v>0</v>
      </c>
      <c r="M85" s="2"/>
      <c r="N85" s="5">
        <f t="shared" si="15"/>
        <v>0</v>
      </c>
      <c r="O85" s="11"/>
      <c r="P85" s="2">
        <f>SUM(OSRRefP22_4x_0)</f>
        <v>0</v>
      </c>
      <c r="Q85" s="2"/>
      <c r="R85" s="5">
        <f t="shared" si="16"/>
        <v>0</v>
      </c>
      <c r="S85" s="2"/>
      <c r="T85" s="2">
        <f>SUM(OSRRefT22_4x_0)</f>
        <v>107.7</v>
      </c>
      <c r="U85" s="2"/>
      <c r="V85" s="5">
        <f t="shared" si="17"/>
        <v>5.4485102601797214E-5</v>
      </c>
      <c r="W85" s="2"/>
      <c r="X85" s="2">
        <f t="shared" si="18"/>
        <v>-107.7</v>
      </c>
      <c r="Y85" s="2"/>
      <c r="Z85" s="5">
        <f t="shared" si="19"/>
        <v>-1</v>
      </c>
    </row>
    <row r="86" spans="1:26" s="69" customFormat="1" ht="15" hidden="1" customHeight="1" outlineLevel="2" x14ac:dyDescent="0.3">
      <c r="A86" s="21"/>
      <c r="B86" s="9" t="str">
        <f>CONCATENATE("          ","6277"," - ","EMPLOYEE APPRECIATION")</f>
        <v xml:space="preserve">          6277 - EMPLOYEE APPRECIATION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/>
      <c r="Q86" s="3"/>
      <c r="R86" s="7">
        <f t="shared" si="16"/>
        <v>0</v>
      </c>
      <c r="S86" s="3"/>
      <c r="T86" s="6">
        <v>107.7</v>
      </c>
      <c r="U86" s="3"/>
      <c r="V86" s="7">
        <f t="shared" si="17"/>
        <v>5.4485102601797214E-5</v>
      </c>
      <c r="W86" s="3"/>
      <c r="X86" s="6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0"/>
      <c r="B87" s="11" t="str">
        <f>CONCATENATE("     ","Equipment Rental                                  ")</f>
        <v xml:space="preserve">     Equipment Rental                                  </v>
      </c>
      <c r="C87" s="11"/>
      <c r="D87" s="2">
        <f>SUM(OSRRefD22_5x_0)</f>
        <v>-11.92</v>
      </c>
      <c r="E87" s="2"/>
      <c r="F87" s="5">
        <f t="shared" si="12"/>
        <v>-8.8736561100928905E-4</v>
      </c>
      <c r="G87" s="2"/>
      <c r="H87" s="2">
        <f>SUM(OSRRefH22_5x_0)</f>
        <v>91.26</v>
      </c>
      <c r="I87" s="2"/>
      <c r="J87" s="5">
        <f t="shared" si="13"/>
        <v>8.6567603075303201E-3</v>
      </c>
      <c r="K87" s="2"/>
      <c r="L87" s="2">
        <f t="shared" si="14"/>
        <v>-103.18</v>
      </c>
      <c r="M87" s="2"/>
      <c r="N87" s="5">
        <f t="shared" si="15"/>
        <v>-1.1306158229235153</v>
      </c>
      <c r="O87" s="11"/>
      <c r="P87" s="2">
        <f>SUM(OSRRefP22_5x_0)</f>
        <v>991.94</v>
      </c>
      <c r="Q87" s="2"/>
      <c r="R87" s="5">
        <f t="shared" si="16"/>
        <v>5.4987805993636485E-4</v>
      </c>
      <c r="S87" s="2"/>
      <c r="T87" s="2">
        <f>SUM(OSRRefT22_5x_0)</f>
        <v>1095.1199999999999</v>
      </c>
      <c r="U87" s="2"/>
      <c r="V87" s="5">
        <f t="shared" si="17"/>
        <v>5.540178789348204E-4</v>
      </c>
      <c r="W87" s="2"/>
      <c r="X87" s="2">
        <f t="shared" si="18"/>
        <v>-103.17999999999984</v>
      </c>
      <c r="Y87" s="2"/>
      <c r="Z87" s="5">
        <f t="shared" si="19"/>
        <v>-9.4217985243626123E-2</v>
      </c>
    </row>
    <row r="88" spans="1:26" s="69" customFormat="1" ht="15" hidden="1" customHeight="1" outlineLevel="2" x14ac:dyDescent="0.3">
      <c r="A88" s="21"/>
      <c r="B88" s="9" t="str">
        <f>CONCATENATE("          ","6351"," - ","EQUIPMENT RENTAL")</f>
        <v xml:space="preserve">          6351 - EQUIPMENT RENTAL</v>
      </c>
      <c r="C88" s="9"/>
      <c r="D88" s="6">
        <v>-11.92</v>
      </c>
      <c r="E88" s="3"/>
      <c r="F88" s="7">
        <f t="shared" si="12"/>
        <v>-8.8736561100928905E-4</v>
      </c>
      <c r="G88" s="3"/>
      <c r="H88" s="6">
        <v>91.26</v>
      </c>
      <c r="I88" s="3"/>
      <c r="J88" s="7">
        <f t="shared" si="13"/>
        <v>8.6567603075303201E-3</v>
      </c>
      <c r="K88" s="3"/>
      <c r="L88" s="6">
        <f t="shared" si="14"/>
        <v>-103.18</v>
      </c>
      <c r="M88" s="3"/>
      <c r="N88" s="7">
        <f t="shared" si="15"/>
        <v>-1.1306158229235153</v>
      </c>
      <c r="O88" s="9"/>
      <c r="P88" s="6">
        <v>991.94</v>
      </c>
      <c r="Q88" s="3"/>
      <c r="R88" s="7">
        <f t="shared" si="16"/>
        <v>5.4987805993636485E-4</v>
      </c>
      <c r="S88" s="3"/>
      <c r="T88" s="6">
        <v>1095.1199999999999</v>
      </c>
      <c r="U88" s="3"/>
      <c r="V88" s="7">
        <f t="shared" si="17"/>
        <v>5.540178789348204E-4</v>
      </c>
      <c r="W88" s="3"/>
      <c r="X88" s="6">
        <f t="shared" si="18"/>
        <v>-103.17999999999984</v>
      </c>
      <c r="Y88" s="3"/>
      <c r="Z88" s="7">
        <f t="shared" si="19"/>
        <v>-9.4217985243626123E-2</v>
      </c>
    </row>
    <row r="89" spans="1:26" s="68" customFormat="1" ht="15" customHeight="1" outlineLevel="1" collapsed="1" x14ac:dyDescent="0.3">
      <c r="A89" s="20"/>
      <c r="B89" s="11" t="str">
        <f>CONCATENATE("     ","Freight out/Postage                               ")</f>
        <v xml:space="preserve">     Freight out/Postage                               </v>
      </c>
      <c r="C89" s="11"/>
      <c r="D89" s="2">
        <f>SUM(OSRRefD22_6x_0)</f>
        <v>7559.75</v>
      </c>
      <c r="E89" s="2"/>
      <c r="F89" s="5">
        <f t="shared" si="12"/>
        <v>0.562773672636533</v>
      </c>
      <c r="G89" s="2"/>
      <c r="H89" s="2">
        <f>SUM(OSRRefH22_6x_0)</f>
        <v>0</v>
      </c>
      <c r="I89" s="2"/>
      <c r="J89" s="5">
        <f t="shared" si="13"/>
        <v>0</v>
      </c>
      <c r="K89" s="2"/>
      <c r="L89" s="2">
        <f t="shared" si="14"/>
        <v>7559.75</v>
      </c>
      <c r="M89" s="2"/>
      <c r="N89" s="5">
        <f t="shared" si="15"/>
        <v>0</v>
      </c>
      <c r="O89" s="11"/>
      <c r="P89" s="2">
        <f>SUM(OSRRefP22_6x_0)</f>
        <v>20765.87</v>
      </c>
      <c r="Q89" s="2"/>
      <c r="R89" s="5">
        <f t="shared" si="16"/>
        <v>1.1511478827843176E-2</v>
      </c>
      <c r="S89" s="2"/>
      <c r="T89" s="2">
        <f>SUM(OSRRefT22_6x_0)</f>
        <v>26453.74</v>
      </c>
      <c r="U89" s="2"/>
      <c r="V89" s="5">
        <f t="shared" si="17"/>
        <v>1.3382866649036833E-2</v>
      </c>
      <c r="W89" s="2"/>
      <c r="X89" s="2">
        <f t="shared" si="18"/>
        <v>-5687.8700000000026</v>
      </c>
      <c r="Y89" s="2"/>
      <c r="Z89" s="5">
        <f t="shared" si="19"/>
        <v>-0.21501194160069625</v>
      </c>
    </row>
    <row r="90" spans="1:26" s="69" customFormat="1" ht="15" hidden="1" customHeight="1" outlineLevel="2" x14ac:dyDescent="0.3">
      <c r="A90" s="21"/>
      <c r="B90" s="9" t="str">
        <f>CONCATENATE("          ","6305"," - ","FREIGHT OUT")</f>
        <v xml:space="preserve">          6305 - FREIGHT OUT</v>
      </c>
      <c r="C90" s="9"/>
      <c r="D90" s="6">
        <v>7559.75</v>
      </c>
      <c r="E90" s="3"/>
      <c r="F90" s="7">
        <f t="shared" si="12"/>
        <v>0.562773672636533</v>
      </c>
      <c r="G90" s="3"/>
      <c r="H90" s="6"/>
      <c r="I90" s="3"/>
      <c r="J90" s="7">
        <f t="shared" si="13"/>
        <v>0</v>
      </c>
      <c r="K90" s="3"/>
      <c r="L90" s="6">
        <f t="shared" si="14"/>
        <v>7559.75</v>
      </c>
      <c r="M90" s="3"/>
      <c r="N90" s="7">
        <f t="shared" si="15"/>
        <v>0</v>
      </c>
      <c r="O90" s="9"/>
      <c r="P90" s="6">
        <v>20764.28</v>
      </c>
      <c r="Q90" s="3"/>
      <c r="R90" s="7">
        <f t="shared" si="16"/>
        <v>1.1510597417561002E-2</v>
      </c>
      <c r="S90" s="3"/>
      <c r="T90" s="6">
        <v>26453.24</v>
      </c>
      <c r="U90" s="3"/>
      <c r="V90" s="7">
        <f t="shared" si="17"/>
        <v>1.3382613700556788E-2</v>
      </c>
      <c r="W90" s="3"/>
      <c r="X90" s="6">
        <f t="shared" si="18"/>
        <v>-5688.9600000000028</v>
      </c>
      <c r="Y90" s="3"/>
      <c r="Z90" s="7">
        <f t="shared" si="19"/>
        <v>-0.21505721038330286</v>
      </c>
    </row>
    <row r="91" spans="1:26" s="69" customFormat="1" ht="15" hidden="1" customHeight="1" outlineLevel="2" x14ac:dyDescent="0.3">
      <c r="A91" s="21"/>
      <c r="B91" s="9" t="str">
        <f>CONCATENATE("          ","6307"," - ","POSTAGE")</f>
        <v xml:space="preserve">          6307 - POSTAGE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1.59</v>
      </c>
      <c r="Q91" s="3"/>
      <c r="R91" s="7">
        <f t="shared" si="16"/>
        <v>8.8141028217313562E-7</v>
      </c>
      <c r="S91" s="3"/>
      <c r="T91" s="6">
        <v>0.5</v>
      </c>
      <c r="U91" s="3"/>
      <c r="V91" s="7">
        <f t="shared" si="17"/>
        <v>2.5294848004548381E-7</v>
      </c>
      <c r="W91" s="3"/>
      <c r="X91" s="6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0"/>
      <c r="B92" s="11" t="str">
        <f>CONCATENATE("     ","General                                           ")</f>
        <v xml:space="preserve">     General                                           </v>
      </c>
      <c r="C92" s="11"/>
      <c r="D92" s="2">
        <f>SUM(OSRRefD22_7x_0)</f>
        <v>0</v>
      </c>
      <c r="E92" s="2"/>
      <c r="F92" s="5">
        <f t="shared" si="12"/>
        <v>0</v>
      </c>
      <c r="G92" s="2"/>
      <c r="H92" s="2">
        <f>SUM(OSRRefH22_7x_0)</f>
        <v>-3391.74</v>
      </c>
      <c r="I92" s="2"/>
      <c r="J92" s="5">
        <f t="shared" si="13"/>
        <v>-0.32173438752424816</v>
      </c>
      <c r="K92" s="2"/>
      <c r="L92" s="2">
        <f t="shared" si="14"/>
        <v>3391.74</v>
      </c>
      <c r="M92" s="2"/>
      <c r="N92" s="5">
        <f t="shared" si="15"/>
        <v>-1</v>
      </c>
      <c r="O92" s="11"/>
      <c r="P92" s="2">
        <f>SUM(OSRRefP22_7x_0)</f>
        <v>0</v>
      </c>
      <c r="Q92" s="2"/>
      <c r="R92" s="5">
        <f t="shared" si="16"/>
        <v>0</v>
      </c>
      <c r="S92" s="2"/>
      <c r="T92" s="2">
        <f>SUM(OSRRefT22_7x_0)</f>
        <v>-4434.76</v>
      </c>
      <c r="U92" s="2"/>
      <c r="V92" s="5">
        <f t="shared" si="17"/>
        <v>-2.2435316027330197E-3</v>
      </c>
      <c r="W92" s="2"/>
      <c r="X92" s="2">
        <f t="shared" si="18"/>
        <v>4434.76</v>
      </c>
      <c r="Y92" s="2"/>
      <c r="Z92" s="5">
        <f t="shared" si="19"/>
        <v>-1</v>
      </c>
    </row>
    <row r="93" spans="1:26" s="69" customFormat="1" ht="15" hidden="1" customHeight="1" outlineLevel="2" x14ac:dyDescent="0.3">
      <c r="A93" s="21"/>
      <c r="B93" s="9" t="str">
        <f>CONCATENATE("          ","6279"," - ","GENERAL EXPENSE")</f>
        <v xml:space="preserve">          6279 - GENERAL EXPENSE</v>
      </c>
      <c r="C93" s="9"/>
      <c r="D93" s="6"/>
      <c r="E93" s="3"/>
      <c r="F93" s="7">
        <f t="shared" ref="F93:F112" si="20">IF(D$12=0,0,D93/D$12)</f>
        <v>0</v>
      </c>
      <c r="G93" s="3"/>
      <c r="H93" s="6">
        <v>-3391.74</v>
      </c>
      <c r="I93" s="3"/>
      <c r="J93" s="7">
        <f t="shared" ref="J93:J112" si="21">IF(H$12=0,0,H93/H$12)</f>
        <v>-0.32173438752424816</v>
      </c>
      <c r="K93" s="3"/>
      <c r="L93" s="6">
        <f t="shared" ref="L93:L112" si="22">+D93-H93</f>
        <v>3391.74</v>
      </c>
      <c r="M93" s="3"/>
      <c r="N93" s="7">
        <f t="shared" ref="N93:N112" si="23">IF(H93=0,0,L93/H93)</f>
        <v>-1</v>
      </c>
      <c r="O93" s="9"/>
      <c r="P93" s="6"/>
      <c r="Q93" s="3"/>
      <c r="R93" s="7">
        <f t="shared" ref="R93:R112" si="24">IF(P$12=0,0,P93/P$12)</f>
        <v>0</v>
      </c>
      <c r="S93" s="3"/>
      <c r="T93" s="6">
        <v>-4434.76</v>
      </c>
      <c r="U93" s="3"/>
      <c r="V93" s="7">
        <f t="shared" ref="V93:V112" si="25">IF(T$12=0,0,T93/T$12)</f>
        <v>-2.2435316027330197E-3</v>
      </c>
      <c r="W93" s="3"/>
      <c r="X93" s="6">
        <f t="shared" ref="X93:X112" si="26">+P93-T93</f>
        <v>4434.76</v>
      </c>
      <c r="Y93" s="3"/>
      <c r="Z93" s="7">
        <f t="shared" ref="Z93:Z112" si="27">IF(T93=0,0,X93/T93)</f>
        <v>-1</v>
      </c>
    </row>
    <row r="94" spans="1:26" s="68" customFormat="1" ht="15" customHeight="1" outlineLevel="1" collapsed="1" x14ac:dyDescent="0.3">
      <c r="A94" s="20"/>
      <c r="B94" s="11" t="str">
        <f>CONCATENATE("     ","Inventory Adjustment                              ")</f>
        <v xml:space="preserve">     Inventory Adjustment                              </v>
      </c>
      <c r="C94" s="11"/>
      <c r="D94" s="2">
        <f>SUM(OSRRefD22_8x_0)</f>
        <v>-15000</v>
      </c>
      <c r="E94" s="2"/>
      <c r="F94" s="5">
        <f t="shared" si="20"/>
        <v>-1.1166513561358502</v>
      </c>
      <c r="G94" s="2"/>
      <c r="H94" s="2">
        <f>SUM(OSRRefH22_8x_0)</f>
        <v>-16000</v>
      </c>
      <c r="I94" s="2"/>
      <c r="J94" s="5">
        <f t="shared" si="21"/>
        <v>-1.5177313710331484</v>
      </c>
      <c r="K94" s="2"/>
      <c r="L94" s="2">
        <f t="shared" si="22"/>
        <v>1000</v>
      </c>
      <c r="M94" s="2"/>
      <c r="N94" s="5">
        <f t="shared" si="23"/>
        <v>-6.25E-2</v>
      </c>
      <c r="O94" s="11"/>
      <c r="P94" s="2">
        <f>SUM(OSRRefP22_8x_0)</f>
        <v>0</v>
      </c>
      <c r="Q94" s="2"/>
      <c r="R94" s="5">
        <f t="shared" si="24"/>
        <v>0</v>
      </c>
      <c r="S94" s="2"/>
      <c r="T94" s="2">
        <f>SUM(OSRRefT22_8x_0)</f>
        <v>0</v>
      </c>
      <c r="U94" s="2"/>
      <c r="V94" s="5">
        <f t="shared" si="25"/>
        <v>0</v>
      </c>
      <c r="W94" s="2"/>
      <c r="X94" s="2">
        <f t="shared" si="26"/>
        <v>0</v>
      </c>
      <c r="Y94" s="2"/>
      <c r="Z94" s="5">
        <f t="shared" si="27"/>
        <v>0</v>
      </c>
    </row>
    <row r="95" spans="1:26" s="69" customFormat="1" ht="15" hidden="1" customHeight="1" outlineLevel="2" x14ac:dyDescent="0.3">
      <c r="A95" s="21"/>
      <c r="B95" s="9" t="str">
        <f>CONCATENATE("          ","6408"," - ","INVENTORY ADJUSTMENT")</f>
        <v xml:space="preserve">          6408 - INVENTORY ADJUSTMENT</v>
      </c>
      <c r="C95" s="9"/>
      <c r="D95" s="6">
        <v>-15000</v>
      </c>
      <c r="E95" s="3"/>
      <c r="F95" s="7">
        <f t="shared" si="20"/>
        <v>-1.1166513561358502</v>
      </c>
      <c r="G95" s="3"/>
      <c r="H95" s="6">
        <v>-16000</v>
      </c>
      <c r="I95" s="3"/>
      <c r="J95" s="7">
        <f t="shared" si="21"/>
        <v>-1.5177313710331484</v>
      </c>
      <c r="K95" s="3"/>
      <c r="L95" s="6">
        <f t="shared" si="22"/>
        <v>1000</v>
      </c>
      <c r="M95" s="3"/>
      <c r="N95" s="7">
        <f t="shared" si="23"/>
        <v>-6.25E-2</v>
      </c>
      <c r="O95" s="9"/>
      <c r="P95" s="6">
        <v>0</v>
      </c>
      <c r="Q95" s="3"/>
      <c r="R95" s="7">
        <f t="shared" si="24"/>
        <v>0</v>
      </c>
      <c r="S95" s="3"/>
      <c r="T95" s="6">
        <v>0</v>
      </c>
      <c r="U95" s="3"/>
      <c r="V95" s="7">
        <f t="shared" si="25"/>
        <v>0</v>
      </c>
      <c r="W95" s="3"/>
      <c r="X95" s="6">
        <f t="shared" si="26"/>
        <v>0</v>
      </c>
      <c r="Y95" s="3"/>
      <c r="Z95" s="7">
        <f t="shared" si="27"/>
        <v>0</v>
      </c>
    </row>
    <row r="96" spans="1:26" s="68" customFormat="1" ht="15" customHeight="1" outlineLevel="1" collapsed="1" x14ac:dyDescent="0.3">
      <c r="A96" s="20"/>
      <c r="B96" s="11" t="str">
        <f>CONCATENATE("     ","Repair and Maintenance                            ")</f>
        <v xml:space="preserve">     Repair and Maintenance                            </v>
      </c>
      <c r="C96" s="11"/>
      <c r="D96" s="2">
        <f>SUM(OSRRefD22_9x_0)</f>
        <v>93.41</v>
      </c>
      <c r="E96" s="2"/>
      <c r="F96" s="5">
        <f t="shared" si="20"/>
        <v>6.9537602117766516E-3</v>
      </c>
      <c r="G96" s="2"/>
      <c r="H96" s="2">
        <f>SUM(OSRRefH22_9x_0)</f>
        <v>10.35</v>
      </c>
      <c r="I96" s="2"/>
      <c r="J96" s="5">
        <f t="shared" si="21"/>
        <v>9.8178248063706774E-4</v>
      </c>
      <c r="K96" s="2"/>
      <c r="L96" s="2">
        <f t="shared" si="22"/>
        <v>83.06</v>
      </c>
      <c r="M96" s="2"/>
      <c r="N96" s="5">
        <f t="shared" si="23"/>
        <v>8.0251207729468597</v>
      </c>
      <c r="O96" s="11"/>
      <c r="P96" s="2">
        <f>SUM(OSRRefP22_9x_0)</f>
        <v>6177.66</v>
      </c>
      <c r="Q96" s="2"/>
      <c r="R96" s="5">
        <f t="shared" si="24"/>
        <v>3.4245616627482343E-3</v>
      </c>
      <c r="S96" s="2"/>
      <c r="T96" s="2">
        <f>SUM(OSRRefT22_9x_0)</f>
        <v>487.34000000000003</v>
      </c>
      <c r="U96" s="2"/>
      <c r="V96" s="5">
        <f t="shared" si="25"/>
        <v>2.4654382453073216E-4</v>
      </c>
      <c r="W96" s="2"/>
      <c r="X96" s="2">
        <f t="shared" si="26"/>
        <v>5690.32</v>
      </c>
      <c r="Y96" s="2"/>
      <c r="Z96" s="5">
        <f t="shared" si="27"/>
        <v>11.676283498173758</v>
      </c>
    </row>
    <row r="97" spans="1:26" s="69" customFormat="1" ht="15" hidden="1" customHeight="1" outlineLevel="2" x14ac:dyDescent="0.3">
      <c r="A97" s="21"/>
      <c r="B97" s="9" t="str">
        <f>CONCATENATE("          ","6371"," - ","COMPUTER SOFTWARE MAINTENANCE")</f>
        <v xml:space="preserve">          6371 - COMPUTER SOFTWARE MAINTENANCE</v>
      </c>
      <c r="C97" s="9"/>
      <c r="D97" s="6"/>
      <c r="E97" s="3"/>
      <c r="F97" s="7">
        <f t="shared" si="20"/>
        <v>0</v>
      </c>
      <c r="G97" s="3"/>
      <c r="H97" s="6"/>
      <c r="I97" s="3"/>
      <c r="J97" s="7">
        <f t="shared" si="21"/>
        <v>0</v>
      </c>
      <c r="K97" s="3"/>
      <c r="L97" s="6">
        <f t="shared" si="22"/>
        <v>0</v>
      </c>
      <c r="M97" s="3"/>
      <c r="N97" s="7">
        <f t="shared" si="23"/>
        <v>0</v>
      </c>
      <c r="O97" s="9"/>
      <c r="P97" s="6">
        <v>5775</v>
      </c>
      <c r="Q97" s="3"/>
      <c r="R97" s="7">
        <f t="shared" si="24"/>
        <v>3.2013486663835583E-3</v>
      </c>
      <c r="S97" s="3"/>
      <c r="T97" s="6"/>
      <c r="U97" s="3"/>
      <c r="V97" s="7">
        <f t="shared" si="25"/>
        <v>0</v>
      </c>
      <c r="W97" s="3"/>
      <c r="X97" s="6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1"/>
      <c r="B98" s="9" t="str">
        <f>CONCATENATE("          ","6373"," - ","MAINTENANCE CONTRACTS")</f>
        <v xml:space="preserve">          6373 - MAINTENANCE CONTRACTS</v>
      </c>
      <c r="C98" s="9"/>
      <c r="D98" s="6">
        <v>93.41</v>
      </c>
      <c r="E98" s="3"/>
      <c r="F98" s="7">
        <f t="shared" si="20"/>
        <v>6.9537602117766516E-3</v>
      </c>
      <c r="G98" s="3"/>
      <c r="H98" s="6">
        <v>10.35</v>
      </c>
      <c r="I98" s="3"/>
      <c r="J98" s="7">
        <f t="shared" si="21"/>
        <v>9.8178248063706774E-4</v>
      </c>
      <c r="K98" s="3"/>
      <c r="L98" s="6">
        <f t="shared" si="22"/>
        <v>83.06</v>
      </c>
      <c r="M98" s="3"/>
      <c r="N98" s="7">
        <f t="shared" si="23"/>
        <v>8.0251207729468597</v>
      </c>
      <c r="O98" s="9"/>
      <c r="P98" s="6">
        <v>265.24</v>
      </c>
      <c r="Q98" s="3"/>
      <c r="R98" s="7">
        <f t="shared" si="24"/>
        <v>1.470347567569827E-4</v>
      </c>
      <c r="S98" s="3"/>
      <c r="T98" s="6">
        <v>229.83</v>
      </c>
      <c r="U98" s="3"/>
      <c r="V98" s="7">
        <f t="shared" si="25"/>
        <v>1.1627029833770709E-4</v>
      </c>
      <c r="W98" s="3"/>
      <c r="X98" s="6">
        <f t="shared" si="26"/>
        <v>35.409999999999997</v>
      </c>
      <c r="Y98" s="3"/>
      <c r="Z98" s="7">
        <f t="shared" si="27"/>
        <v>0.15407039986076662</v>
      </c>
    </row>
    <row r="99" spans="1:26" s="69" customFormat="1" ht="15" hidden="1" customHeight="1" outlineLevel="2" x14ac:dyDescent="0.3">
      <c r="A99" s="21"/>
      <c r="B99" s="9" t="str">
        <f>CONCATENATE("          ","6375"," - ","OUTSIDE REPAIRS &amp; MAINTENANCE")</f>
        <v xml:space="preserve">          6375 - OUTSIDE REPAIRS &amp; MAINTENANCE</v>
      </c>
      <c r="C99" s="9"/>
      <c r="D99" s="6"/>
      <c r="E99" s="3"/>
      <c r="F99" s="7">
        <f t="shared" si="20"/>
        <v>0</v>
      </c>
      <c r="G99" s="3"/>
      <c r="H99" s="6"/>
      <c r="I99" s="3"/>
      <c r="J99" s="7">
        <f t="shared" si="21"/>
        <v>0</v>
      </c>
      <c r="K99" s="3"/>
      <c r="L99" s="6">
        <f t="shared" si="22"/>
        <v>0</v>
      </c>
      <c r="M99" s="3"/>
      <c r="N99" s="7">
        <f t="shared" si="23"/>
        <v>0</v>
      </c>
      <c r="O99" s="9"/>
      <c r="P99" s="6">
        <v>137.41999999999999</v>
      </c>
      <c r="Q99" s="3"/>
      <c r="R99" s="7">
        <f t="shared" si="24"/>
        <v>7.6178239607693253E-5</v>
      </c>
      <c r="S99" s="3"/>
      <c r="T99" s="6">
        <v>257.51</v>
      </c>
      <c r="U99" s="3"/>
      <c r="V99" s="7">
        <f t="shared" si="25"/>
        <v>1.3027352619302506E-4</v>
      </c>
      <c r="W99" s="3"/>
      <c r="X99" s="6">
        <f t="shared" si="26"/>
        <v>-120.09</v>
      </c>
      <c r="Y99" s="3"/>
      <c r="Z99" s="7">
        <f t="shared" si="27"/>
        <v>-0.46635082132732714</v>
      </c>
    </row>
    <row r="100" spans="1:26" s="68" customFormat="1" ht="15" customHeight="1" outlineLevel="1" collapsed="1" x14ac:dyDescent="0.3">
      <c r="A100" s="20"/>
      <c r="B100" s="11" t="str">
        <f>CONCATENATE("     ","Subscriptions &amp; Dues                              ")</f>
        <v xml:space="preserve">     Subscriptions &amp; Dues                              </v>
      </c>
      <c r="C100" s="11"/>
      <c r="D100" s="2">
        <f>SUM(OSRRefD22_10x_0)</f>
        <v>272.35000000000002</v>
      </c>
      <c r="E100" s="2"/>
      <c r="F100" s="5">
        <f t="shared" si="20"/>
        <v>2.0274666456239925E-2</v>
      </c>
      <c r="G100" s="2"/>
      <c r="H100" s="2">
        <f>SUM(OSRRefH22_10x_0)</f>
        <v>-911</v>
      </c>
      <c r="I100" s="2"/>
      <c r="J100" s="5">
        <f t="shared" si="21"/>
        <v>-8.6415829938199878E-2</v>
      </c>
      <c r="K100" s="2"/>
      <c r="L100" s="2">
        <f t="shared" si="22"/>
        <v>1183.3499999999999</v>
      </c>
      <c r="M100" s="2"/>
      <c r="N100" s="5">
        <f t="shared" si="23"/>
        <v>-1.2989571899012073</v>
      </c>
      <c r="O100" s="11"/>
      <c r="P100" s="2">
        <f>SUM(OSRRefP22_10x_0)</f>
        <v>6700.33</v>
      </c>
      <c r="Q100" s="2"/>
      <c r="R100" s="5">
        <f t="shared" si="24"/>
        <v>3.7143017333038527E-3</v>
      </c>
      <c r="S100" s="2"/>
      <c r="T100" s="2">
        <f>SUM(OSRRefT22_10x_0)</f>
        <v>4298.66</v>
      </c>
      <c r="U100" s="2"/>
      <c r="V100" s="5">
        <f t="shared" si="25"/>
        <v>2.1746790264646387E-3</v>
      </c>
      <c r="W100" s="2"/>
      <c r="X100" s="2">
        <f t="shared" si="26"/>
        <v>2401.67</v>
      </c>
      <c r="Y100" s="2"/>
      <c r="Z100" s="5">
        <f t="shared" si="27"/>
        <v>0.55870201411602693</v>
      </c>
    </row>
    <row r="101" spans="1:26" s="69" customFormat="1" ht="15" hidden="1" customHeight="1" outlineLevel="2" x14ac:dyDescent="0.3">
      <c r="A101" s="21"/>
      <c r="B101" s="9" t="str">
        <f>CONCATENATE("          ","6258"," - ","MEMBERSHIP DUES")</f>
        <v xml:space="preserve">          6258 - MEMBERSHIP DUES</v>
      </c>
      <c r="C101" s="9"/>
      <c r="D101" s="6">
        <v>272.35000000000002</v>
      </c>
      <c r="E101" s="3"/>
      <c r="F101" s="7">
        <f t="shared" si="20"/>
        <v>2.0274666456239925E-2</v>
      </c>
      <c r="G101" s="3"/>
      <c r="H101" s="6">
        <v>-911</v>
      </c>
      <c r="I101" s="3"/>
      <c r="J101" s="7">
        <f t="shared" si="21"/>
        <v>-8.6415829938199878E-2</v>
      </c>
      <c r="K101" s="3"/>
      <c r="L101" s="6">
        <f t="shared" si="22"/>
        <v>1183.3499999999999</v>
      </c>
      <c r="M101" s="3"/>
      <c r="N101" s="7">
        <f t="shared" si="23"/>
        <v>-1.2989571899012073</v>
      </c>
      <c r="O101" s="9"/>
      <c r="P101" s="6">
        <v>3348.94</v>
      </c>
      <c r="Q101" s="3"/>
      <c r="R101" s="7">
        <f t="shared" si="24"/>
        <v>1.8564717926923904E-3</v>
      </c>
      <c r="S101" s="3"/>
      <c r="T101" s="6">
        <v>2446.58</v>
      </c>
      <c r="U101" s="3"/>
      <c r="V101" s="7">
        <f t="shared" si="25"/>
        <v>1.2377173846193595E-3</v>
      </c>
      <c r="W101" s="3"/>
      <c r="X101" s="6">
        <f t="shared" si="26"/>
        <v>902.36000000000013</v>
      </c>
      <c r="Y101" s="3"/>
      <c r="Z101" s="7">
        <f t="shared" si="27"/>
        <v>0.36882505374849794</v>
      </c>
    </row>
    <row r="102" spans="1:26" s="69" customFormat="1" ht="15" hidden="1" customHeight="1" outlineLevel="2" x14ac:dyDescent="0.3">
      <c r="A102" s="21"/>
      <c r="B102" s="9" t="str">
        <f>CONCATENATE("          ","6275"," - ","SUBSCRIPTIONS")</f>
        <v xml:space="preserve">          6275 - SUBSCRIPTIONS</v>
      </c>
      <c r="C102" s="9"/>
      <c r="D102" s="6"/>
      <c r="E102" s="3"/>
      <c r="F102" s="7">
        <f t="shared" si="20"/>
        <v>0</v>
      </c>
      <c r="G102" s="3"/>
      <c r="H102" s="6"/>
      <c r="I102" s="3"/>
      <c r="J102" s="7">
        <f t="shared" si="21"/>
        <v>0</v>
      </c>
      <c r="K102" s="3"/>
      <c r="L102" s="6">
        <f t="shared" si="22"/>
        <v>0</v>
      </c>
      <c r="M102" s="3"/>
      <c r="N102" s="7">
        <f t="shared" si="23"/>
        <v>0</v>
      </c>
      <c r="O102" s="9"/>
      <c r="P102" s="6">
        <v>3351.39</v>
      </c>
      <c r="Q102" s="3"/>
      <c r="R102" s="7">
        <f t="shared" si="24"/>
        <v>1.8578299406114621E-3</v>
      </c>
      <c r="S102" s="3"/>
      <c r="T102" s="6">
        <v>1852.08</v>
      </c>
      <c r="U102" s="3"/>
      <c r="V102" s="7">
        <f t="shared" si="25"/>
        <v>9.3696164184527923E-4</v>
      </c>
      <c r="W102" s="3"/>
      <c r="X102" s="6">
        <f t="shared" si="26"/>
        <v>1499.31</v>
      </c>
      <c r="Y102" s="3"/>
      <c r="Z102" s="7">
        <f t="shared" si="27"/>
        <v>0.80952766619152516</v>
      </c>
    </row>
    <row r="103" spans="1:26" s="68" customFormat="1" ht="15" customHeight="1" outlineLevel="1" collapsed="1" x14ac:dyDescent="0.3">
      <c r="A103" s="20"/>
      <c r="B103" s="11" t="str">
        <f>CONCATENATE("     ","Supplies                                          ")</f>
        <v xml:space="preserve">     Supplies                                          </v>
      </c>
      <c r="C103" s="11"/>
      <c r="D103" s="2">
        <f>SUM(OSRRefD22_11x_0)</f>
        <v>969.19</v>
      </c>
      <c r="E103" s="2"/>
      <c r="F103" s="5">
        <f t="shared" si="20"/>
        <v>7.2149821856886981E-2</v>
      </c>
      <c r="G103" s="2"/>
      <c r="H103" s="2">
        <f>SUM(OSRRefH22_11x_0)</f>
        <v>238.34</v>
      </c>
      <c r="I103" s="2"/>
      <c r="J103" s="5">
        <f t="shared" si="21"/>
        <v>2.2608505935752535E-2</v>
      </c>
      <c r="K103" s="2"/>
      <c r="L103" s="2">
        <f t="shared" si="22"/>
        <v>730.85</v>
      </c>
      <c r="M103" s="2"/>
      <c r="N103" s="5">
        <f t="shared" si="23"/>
        <v>3.0664177225811864</v>
      </c>
      <c r="O103" s="11"/>
      <c r="P103" s="2">
        <f>SUM(OSRRefP22_11x_0)</f>
        <v>3452.94</v>
      </c>
      <c r="Q103" s="2"/>
      <c r="R103" s="5">
        <f t="shared" si="24"/>
        <v>1.9141237859917654E-3</v>
      </c>
      <c r="S103" s="2"/>
      <c r="T103" s="2">
        <f>SUM(OSRRefT22_11x_0)</f>
        <v>5604.71</v>
      </c>
      <c r="U103" s="2"/>
      <c r="V103" s="5">
        <f t="shared" si="25"/>
        <v>2.8354057511914472E-3</v>
      </c>
      <c r="W103" s="2"/>
      <c r="X103" s="2">
        <f t="shared" si="26"/>
        <v>-2151.77</v>
      </c>
      <c r="Y103" s="2"/>
      <c r="Z103" s="5">
        <f t="shared" si="27"/>
        <v>-0.38392173725313172</v>
      </c>
    </row>
    <row r="104" spans="1:26" s="69" customFormat="1" ht="15" hidden="1" customHeight="1" outlineLevel="2" x14ac:dyDescent="0.3">
      <c r="A104" s="21"/>
      <c r="B104" s="9" t="str">
        <f>CONCATENATE("          ","6241"," - ","OFFICE EXPENSE")</f>
        <v xml:space="preserve">          6241 - OFFICE EXPENSE</v>
      </c>
      <c r="C104" s="9"/>
      <c r="D104" s="6">
        <v>228.31</v>
      </c>
      <c r="E104" s="3"/>
      <c r="F104" s="7">
        <f t="shared" si="20"/>
        <v>1.6996178074625064E-2</v>
      </c>
      <c r="G104" s="3"/>
      <c r="H104" s="6">
        <v>238.34</v>
      </c>
      <c r="I104" s="3"/>
      <c r="J104" s="7">
        <f t="shared" si="21"/>
        <v>2.2608505935752535E-2</v>
      </c>
      <c r="K104" s="3"/>
      <c r="L104" s="6">
        <f t="shared" si="22"/>
        <v>-10.030000000000001</v>
      </c>
      <c r="M104" s="3"/>
      <c r="N104" s="7">
        <f t="shared" si="23"/>
        <v>-4.2082738944365199E-2</v>
      </c>
      <c r="O104" s="9"/>
      <c r="P104" s="6">
        <v>2000.68</v>
      </c>
      <c r="Q104" s="3"/>
      <c r="R104" s="7">
        <f t="shared" si="24"/>
        <v>1.1090691341749364E-3</v>
      </c>
      <c r="S104" s="3"/>
      <c r="T104" s="6">
        <v>1863.09</v>
      </c>
      <c r="U104" s="3"/>
      <c r="V104" s="7">
        <f t="shared" si="25"/>
        <v>9.4253156737588079E-4</v>
      </c>
      <c r="W104" s="3"/>
      <c r="X104" s="6">
        <f t="shared" si="26"/>
        <v>137.59000000000015</v>
      </c>
      <c r="Y104" s="3"/>
      <c r="Z104" s="7">
        <f t="shared" si="27"/>
        <v>7.38504312727781E-2</v>
      </c>
    </row>
    <row r="105" spans="1:26" s="69" customFormat="1" ht="15" hidden="1" customHeight="1" outlineLevel="2" x14ac:dyDescent="0.3">
      <c r="A105" s="21"/>
      <c r="B105" s="9" t="str">
        <f>CONCATENATE("          ","6247"," - ","STORE SUPPLIES")</f>
        <v xml:space="preserve">          6247 - STORE SUPPLIES</v>
      </c>
      <c r="C105" s="9"/>
      <c r="D105" s="6">
        <v>740.88</v>
      </c>
      <c r="E105" s="3"/>
      <c r="F105" s="7">
        <f t="shared" si="20"/>
        <v>5.5153643782261917E-2</v>
      </c>
      <c r="G105" s="3"/>
      <c r="H105" s="6"/>
      <c r="I105" s="3"/>
      <c r="J105" s="7">
        <f t="shared" si="21"/>
        <v>0</v>
      </c>
      <c r="K105" s="3"/>
      <c r="L105" s="6">
        <f t="shared" si="22"/>
        <v>740.88</v>
      </c>
      <c r="M105" s="3"/>
      <c r="N105" s="7">
        <f t="shared" si="23"/>
        <v>0</v>
      </c>
      <c r="O105" s="9"/>
      <c r="P105" s="6">
        <v>1452.26</v>
      </c>
      <c r="Q105" s="3"/>
      <c r="R105" s="7">
        <f t="shared" si="24"/>
        <v>8.0505465181682884E-4</v>
      </c>
      <c r="S105" s="3"/>
      <c r="T105" s="6">
        <v>3741.62</v>
      </c>
      <c r="U105" s="3"/>
      <c r="V105" s="7">
        <f t="shared" si="25"/>
        <v>1.8928741838155662E-3</v>
      </c>
      <c r="W105" s="3"/>
      <c r="X105" s="6">
        <f t="shared" si="26"/>
        <v>-2289.3599999999997</v>
      </c>
      <c r="Y105" s="3"/>
      <c r="Z105" s="7">
        <f t="shared" si="27"/>
        <v>-0.61186331054463028</v>
      </c>
    </row>
    <row r="106" spans="1:26" s="68" customFormat="1" ht="15" customHeight="1" outlineLevel="1" collapsed="1" x14ac:dyDescent="0.3">
      <c r="A106" s="20"/>
      <c r="B106" s="11" t="str">
        <f>CONCATENATE("     ","Telephone/Data Lines                              ")</f>
        <v xml:space="preserve">     Telephone/Data Lines                              </v>
      </c>
      <c r="C106" s="11"/>
      <c r="D106" s="2">
        <f>SUM(OSRRefD22_12x_0)</f>
        <v>375.29</v>
      </c>
      <c r="E106" s="2"/>
      <c r="F106" s="5">
        <f t="shared" si="20"/>
        <v>2.7937872496281553E-2</v>
      </c>
      <c r="G106" s="2"/>
      <c r="H106" s="2">
        <f>SUM(OSRRefH22_12x_0)</f>
        <v>721.2</v>
      </c>
      <c r="I106" s="2"/>
      <c r="J106" s="5">
        <f t="shared" si="21"/>
        <v>6.8411741549319158E-2</v>
      </c>
      <c r="K106" s="2"/>
      <c r="L106" s="2">
        <f t="shared" si="22"/>
        <v>-345.91</v>
      </c>
      <c r="M106" s="2"/>
      <c r="N106" s="5">
        <f t="shared" si="23"/>
        <v>-0.47963117027176927</v>
      </c>
      <c r="O106" s="11"/>
      <c r="P106" s="2">
        <f>SUM(OSRRefP22_12x_0)</f>
        <v>6334.89</v>
      </c>
      <c r="Q106" s="2"/>
      <c r="R106" s="5">
        <f t="shared" si="24"/>
        <v>3.51172149838728E-3</v>
      </c>
      <c r="S106" s="2"/>
      <c r="T106" s="2">
        <f>SUM(OSRRefT22_12x_0)</f>
        <v>9470.9</v>
      </c>
      <c r="U106" s="2"/>
      <c r="V106" s="5">
        <f t="shared" si="25"/>
        <v>4.791299519325545E-3</v>
      </c>
      <c r="W106" s="2"/>
      <c r="X106" s="2">
        <f t="shared" si="26"/>
        <v>-3136.0099999999993</v>
      </c>
      <c r="Y106" s="2"/>
      <c r="Z106" s="5">
        <f t="shared" si="27"/>
        <v>-0.33112059044019043</v>
      </c>
    </row>
    <row r="107" spans="1:26" s="69" customFormat="1" ht="15" hidden="1" customHeight="1" outlineLevel="2" x14ac:dyDescent="0.3">
      <c r="A107" s="21"/>
      <c r="B107" s="9" t="str">
        <f>CONCATENATE("          ","6303"," - ","DATA PHONE LINES")</f>
        <v xml:space="preserve">          6303 - DATA PHONE LINES</v>
      </c>
      <c r="C107" s="9"/>
      <c r="D107" s="6"/>
      <c r="E107" s="3"/>
      <c r="F107" s="7">
        <f t="shared" si="20"/>
        <v>0</v>
      </c>
      <c r="G107" s="3"/>
      <c r="H107" s="6"/>
      <c r="I107" s="3"/>
      <c r="J107" s="7">
        <f t="shared" si="21"/>
        <v>0</v>
      </c>
      <c r="K107" s="3"/>
      <c r="L107" s="6">
        <f t="shared" si="22"/>
        <v>0</v>
      </c>
      <c r="M107" s="3"/>
      <c r="N107" s="7">
        <f t="shared" si="23"/>
        <v>0</v>
      </c>
      <c r="O107" s="9"/>
      <c r="P107" s="6">
        <v>295</v>
      </c>
      <c r="Q107" s="3"/>
      <c r="R107" s="7">
        <f t="shared" si="24"/>
        <v>1.635320963780346E-4</v>
      </c>
      <c r="S107" s="3"/>
      <c r="T107" s="6">
        <v>3540</v>
      </c>
      <c r="U107" s="3"/>
      <c r="V107" s="7">
        <f t="shared" si="25"/>
        <v>1.7908752387220254E-3</v>
      </c>
      <c r="W107" s="3"/>
      <c r="X107" s="6">
        <f t="shared" si="26"/>
        <v>-3245</v>
      </c>
      <c r="Y107" s="3"/>
      <c r="Z107" s="7">
        <f t="shared" si="27"/>
        <v>-0.91666666666666663</v>
      </c>
    </row>
    <row r="108" spans="1:26" s="69" customFormat="1" ht="15" hidden="1" customHeight="1" outlineLevel="2" x14ac:dyDescent="0.3">
      <c r="A108" s="21"/>
      <c r="B108" s="9" t="str">
        <f>CONCATENATE("          ","6309"," - ","TELEPHONE")</f>
        <v xml:space="preserve">          6309 - TELEPHONE</v>
      </c>
      <c r="C108" s="9"/>
      <c r="D108" s="6">
        <v>375.29</v>
      </c>
      <c r="E108" s="3"/>
      <c r="F108" s="7">
        <f t="shared" si="20"/>
        <v>2.7937872496281553E-2</v>
      </c>
      <c r="G108" s="3"/>
      <c r="H108" s="6">
        <v>721.2</v>
      </c>
      <c r="I108" s="3"/>
      <c r="J108" s="7">
        <f t="shared" si="21"/>
        <v>6.8411741549319158E-2</v>
      </c>
      <c r="K108" s="3"/>
      <c r="L108" s="6">
        <f t="shared" si="22"/>
        <v>-345.91</v>
      </c>
      <c r="M108" s="3"/>
      <c r="N108" s="7">
        <f t="shared" si="23"/>
        <v>-0.47963117027176927</v>
      </c>
      <c r="O108" s="9"/>
      <c r="P108" s="6">
        <v>6039.89</v>
      </c>
      <c r="Q108" s="3"/>
      <c r="R108" s="7">
        <f t="shared" si="24"/>
        <v>3.3481894020092455E-3</v>
      </c>
      <c r="S108" s="3"/>
      <c r="T108" s="6">
        <v>5930.9</v>
      </c>
      <c r="U108" s="3"/>
      <c r="V108" s="7">
        <f t="shared" si="25"/>
        <v>3.0004242806035194E-3</v>
      </c>
      <c r="W108" s="3"/>
      <c r="X108" s="6">
        <f t="shared" si="26"/>
        <v>108.99000000000069</v>
      </c>
      <c r="Y108" s="3"/>
      <c r="Z108" s="7">
        <f t="shared" si="27"/>
        <v>1.8376637609806387E-2</v>
      </c>
    </row>
    <row r="109" spans="1:26" s="68" customFormat="1" ht="15" customHeight="1" outlineLevel="1" collapsed="1" x14ac:dyDescent="0.3">
      <c r="A109" s="20"/>
      <c r="B109" s="11" t="str">
        <f>CONCATENATE("     ","Training                                          ")</f>
        <v xml:space="preserve">     Training                                          </v>
      </c>
      <c r="C109" s="11"/>
      <c r="D109" s="2">
        <f>SUM(OSRRefD22_13x_0)</f>
        <v>0</v>
      </c>
      <c r="E109" s="2"/>
      <c r="F109" s="5">
        <f t="shared" si="20"/>
        <v>0</v>
      </c>
      <c r="G109" s="2"/>
      <c r="H109" s="2">
        <f>SUM(OSRRefH22_13x_0)</f>
        <v>0</v>
      </c>
      <c r="I109" s="2"/>
      <c r="J109" s="5">
        <f t="shared" si="21"/>
        <v>0</v>
      </c>
      <c r="K109" s="2"/>
      <c r="L109" s="2">
        <f t="shared" si="22"/>
        <v>0</v>
      </c>
      <c r="M109" s="2"/>
      <c r="N109" s="5">
        <f t="shared" si="23"/>
        <v>0</v>
      </c>
      <c r="O109" s="11"/>
      <c r="P109" s="2">
        <f>SUM(OSRRefP22_13x_0)</f>
        <v>125</v>
      </c>
      <c r="Q109" s="2"/>
      <c r="R109" s="5">
        <f t="shared" si="24"/>
        <v>6.9293261177133295E-5</v>
      </c>
      <c r="S109" s="2"/>
      <c r="T109" s="2">
        <f>SUM(OSRRefT22_13x_0)</f>
        <v>0</v>
      </c>
      <c r="U109" s="2"/>
      <c r="V109" s="5">
        <f t="shared" si="25"/>
        <v>0</v>
      </c>
      <c r="W109" s="2"/>
      <c r="X109" s="2">
        <f t="shared" si="26"/>
        <v>125</v>
      </c>
      <c r="Y109" s="2"/>
      <c r="Z109" s="5">
        <f t="shared" si="27"/>
        <v>0</v>
      </c>
    </row>
    <row r="110" spans="1:26" s="69" customFormat="1" ht="15" hidden="1" customHeight="1" outlineLevel="2" x14ac:dyDescent="0.3">
      <c r="A110" s="21"/>
      <c r="B110" s="9" t="str">
        <f>CONCATENATE("          ","6376"," - ","TRAINING")</f>
        <v xml:space="preserve">          6376 - TRAINING</v>
      </c>
      <c r="C110" s="9"/>
      <c r="D110" s="6"/>
      <c r="E110" s="3"/>
      <c r="F110" s="7">
        <f t="shared" si="20"/>
        <v>0</v>
      </c>
      <c r="G110" s="3"/>
      <c r="H110" s="6"/>
      <c r="I110" s="3"/>
      <c r="J110" s="7">
        <f t="shared" si="21"/>
        <v>0</v>
      </c>
      <c r="K110" s="3"/>
      <c r="L110" s="6">
        <f t="shared" si="22"/>
        <v>0</v>
      </c>
      <c r="M110" s="3"/>
      <c r="N110" s="7">
        <f t="shared" si="23"/>
        <v>0</v>
      </c>
      <c r="O110" s="9"/>
      <c r="P110" s="6">
        <v>125</v>
      </c>
      <c r="Q110" s="3"/>
      <c r="R110" s="7">
        <f t="shared" si="24"/>
        <v>6.9293261177133295E-5</v>
      </c>
      <c r="S110" s="3"/>
      <c r="T110" s="6"/>
      <c r="U110" s="3"/>
      <c r="V110" s="7">
        <f t="shared" si="25"/>
        <v>0</v>
      </c>
      <c r="W110" s="3"/>
      <c r="X110" s="6">
        <f t="shared" si="26"/>
        <v>125</v>
      </c>
      <c r="Y110" s="3"/>
      <c r="Z110" s="7">
        <f t="shared" si="27"/>
        <v>0</v>
      </c>
    </row>
    <row r="111" spans="1:26" s="68" customFormat="1" ht="15" customHeight="1" outlineLevel="1" collapsed="1" x14ac:dyDescent="0.3">
      <c r="A111" s="20"/>
      <c r="B111" s="11" t="str">
        <f>CONCATENATE("     ","Travel                                            ")</f>
        <v xml:space="preserve">     Travel                                            </v>
      </c>
      <c r="C111" s="11"/>
      <c r="D111" s="2">
        <f>SUM(OSRRefD22_14x_0)</f>
        <v>0</v>
      </c>
      <c r="E111" s="2"/>
      <c r="F111" s="5">
        <f t="shared" si="20"/>
        <v>0</v>
      </c>
      <c r="G111" s="2"/>
      <c r="H111" s="2">
        <f>SUM(OSRRefH22_14x_0)</f>
        <v>0</v>
      </c>
      <c r="I111" s="2"/>
      <c r="J111" s="5">
        <f t="shared" si="21"/>
        <v>0</v>
      </c>
      <c r="K111" s="2"/>
      <c r="L111" s="2">
        <f t="shared" si="22"/>
        <v>0</v>
      </c>
      <c r="M111" s="2"/>
      <c r="N111" s="5">
        <f t="shared" si="23"/>
        <v>0</v>
      </c>
      <c r="O111" s="11"/>
      <c r="P111" s="2">
        <f>SUM(OSRRefP22_14x_0)</f>
        <v>0</v>
      </c>
      <c r="Q111" s="2"/>
      <c r="R111" s="5">
        <f t="shared" si="24"/>
        <v>0</v>
      </c>
      <c r="S111" s="2"/>
      <c r="T111" s="2">
        <f>SUM(OSRRefT22_14x_0)</f>
        <v>0.16</v>
      </c>
      <c r="U111" s="2"/>
      <c r="V111" s="5">
        <f t="shared" si="25"/>
        <v>8.0943513614554822E-8</v>
      </c>
      <c r="W111" s="2"/>
      <c r="X111" s="2">
        <f t="shared" si="26"/>
        <v>-0.16</v>
      </c>
      <c r="Y111" s="2"/>
      <c r="Z111" s="5">
        <f t="shared" si="27"/>
        <v>-1</v>
      </c>
    </row>
    <row r="112" spans="1:26" s="69" customFormat="1" ht="15" hidden="1" customHeight="1" outlineLevel="2" x14ac:dyDescent="0.3">
      <c r="A112" s="21"/>
      <c r="B112" s="9" t="str">
        <f>CONCATENATE("          ","6292"," - ","TRAVEL/CONFERENCE")</f>
        <v xml:space="preserve">          6292 - TRAVEL/CONFERENCE</v>
      </c>
      <c r="C112" s="9"/>
      <c r="D112" s="6"/>
      <c r="E112" s="3"/>
      <c r="F112" s="7">
        <f t="shared" si="20"/>
        <v>0</v>
      </c>
      <c r="G112" s="3"/>
      <c r="H112" s="6"/>
      <c r="I112" s="3"/>
      <c r="J112" s="7">
        <f t="shared" si="21"/>
        <v>0</v>
      </c>
      <c r="K112" s="3"/>
      <c r="L112" s="6">
        <f t="shared" si="22"/>
        <v>0</v>
      </c>
      <c r="M112" s="3"/>
      <c r="N112" s="7">
        <f t="shared" si="23"/>
        <v>0</v>
      </c>
      <c r="O112" s="9"/>
      <c r="P112" s="6"/>
      <c r="Q112" s="3"/>
      <c r="R112" s="7">
        <f t="shared" si="24"/>
        <v>0</v>
      </c>
      <c r="S112" s="3"/>
      <c r="T112" s="6">
        <v>0.16</v>
      </c>
      <c r="U112" s="3"/>
      <c r="V112" s="7">
        <f t="shared" si="25"/>
        <v>8.0943513614554822E-8</v>
      </c>
      <c r="W112" s="3"/>
      <c r="X112" s="6">
        <f t="shared" si="26"/>
        <v>-0.16</v>
      </c>
      <c r="Y112" s="3"/>
      <c r="Z112" s="7">
        <f t="shared" si="27"/>
        <v>-1</v>
      </c>
    </row>
    <row r="113" spans="1:26" s="64" customFormat="1" ht="15" customHeight="1" x14ac:dyDescent="0.3">
      <c r="A113" s="37"/>
      <c r="B113" s="37"/>
      <c r="C113" s="37"/>
      <c r="D113" s="2"/>
      <c r="E113" s="2"/>
      <c r="F113" s="5"/>
      <c r="G113" s="2"/>
      <c r="H113" s="2"/>
      <c r="I113" s="2"/>
      <c r="J113" s="5"/>
      <c r="K113" s="2"/>
      <c r="L113" s="2"/>
      <c r="M113" s="2"/>
      <c r="N113" s="5"/>
      <c r="O113" s="37"/>
      <c r="P113" s="2"/>
      <c r="Q113" s="2"/>
      <c r="R113" s="5"/>
      <c r="S113" s="2"/>
      <c r="T113" s="2"/>
      <c r="U113" s="2"/>
      <c r="V113" s="5"/>
      <c r="W113" s="2"/>
      <c r="X113" s="2"/>
      <c r="Y113" s="2"/>
      <c r="Z113" s="5"/>
    </row>
    <row r="114" spans="1:26" s="62" customFormat="1" ht="15" customHeight="1" collapsed="1" x14ac:dyDescent="0.3">
      <c r="A114" s="13"/>
      <c r="B114" s="27" t="s">
        <v>290</v>
      </c>
      <c r="C114" s="13"/>
      <c r="D114" s="8">
        <f>SUM(OSRRefD25x_0)</f>
        <v>6599.43</v>
      </c>
      <c r="E114" s="8"/>
      <c r="F114" s="14">
        <f>IF(D$12=0,0,D114/D$12)</f>
        <v>0.49128416394824098</v>
      </c>
      <c r="G114" s="8"/>
      <c r="H114" s="8">
        <f>SUM(OSRRefH25x_0)</f>
        <v>-78.120000000000118</v>
      </c>
      <c r="I114" s="8"/>
      <c r="J114" s="14">
        <f>IF(H$12=0,0,H114/H$12)</f>
        <v>-7.4103234190693581E-3</v>
      </c>
      <c r="K114" s="8"/>
      <c r="L114" s="8">
        <f>+D114-H114</f>
        <v>6677.55</v>
      </c>
      <c r="M114" s="8"/>
      <c r="N114" s="14">
        <f>IF(H114=0,0,L114/H114)</f>
        <v>-85.478110599078221</v>
      </c>
      <c r="O114" s="13"/>
      <c r="P114" s="8">
        <f>SUM(OSRRefP25x_0)</f>
        <v>366276.3</v>
      </c>
      <c r="Q114" s="8"/>
      <c r="R114" s="14">
        <f>IF(P$12=0,0,P114/P$12)</f>
        <v>0.20304383455115224</v>
      </c>
      <c r="S114" s="8"/>
      <c r="T114" s="8">
        <f>SUM(OSRRefT25x_0)</f>
        <v>334238.96000000002</v>
      </c>
      <c r="U114" s="8"/>
      <c r="V114" s="14">
        <f>IF(T$12=0,0,T114/T$12)</f>
        <v>0.16909047380796652</v>
      </c>
      <c r="W114" s="8"/>
      <c r="X114" s="8">
        <f>+P114-T114</f>
        <v>32037.339999999967</v>
      </c>
      <c r="Y114" s="8"/>
      <c r="Z114" s="14">
        <f>IF(T114=0,0,X114/T114)</f>
        <v>9.5851602697662672E-2</v>
      </c>
    </row>
    <row r="115" spans="1:26" s="69" customFormat="1" ht="15" hidden="1" customHeight="1" outlineLevel="1" x14ac:dyDescent="0.3">
      <c r="A115" s="47"/>
      <c r="B115" s="9" t="str">
        <f>CONCATENATE("          ","9150"," - ","MISC. INCOME")</f>
        <v xml:space="preserve">          9150 - MISC. INCOME</v>
      </c>
      <c r="C115" s="9"/>
      <c r="D115" s="3">
        <f>--2283.85</f>
        <v>2283.85</v>
      </c>
      <c r="E115" s="3"/>
      <c r="F115" s="26">
        <f>IF(D$12=0,0,D115/D$12)</f>
        <v>0.17001761331405743</v>
      </c>
      <c r="G115" s="3"/>
      <c r="H115" s="3">
        <f>-1833.66</f>
        <v>-1833.66</v>
      </c>
      <c r="I115" s="3"/>
      <c r="J115" s="26">
        <f>IF(H$12=0,0,H115/H$12)</f>
        <v>-0.17393770661304017</v>
      </c>
      <c r="K115" s="3"/>
      <c r="L115" s="3">
        <f>+D115-H115</f>
        <v>4117.51</v>
      </c>
      <c r="M115" s="3"/>
      <c r="N115" s="26">
        <f>IF(H115=0,0,L115/H115)</f>
        <v>-2.245514435609655</v>
      </c>
      <c r="O115" s="9"/>
      <c r="P115" s="3">
        <f>--32325.87</f>
        <v>32325.87</v>
      </c>
      <c r="Q115" s="3"/>
      <c r="R115" s="26">
        <f>IF(P$12=0,0,P115/P$12)</f>
        <v>1.7919719621504463E-2</v>
      </c>
      <c r="S115" s="3"/>
      <c r="T115" s="3">
        <f>--31202.39</f>
        <v>31202.39</v>
      </c>
      <c r="U115" s="3"/>
      <c r="V115" s="26">
        <f>IF(T$12=0,0,T115/T$12)</f>
        <v>1.5785194248572807E-2</v>
      </c>
      <c r="W115" s="3"/>
      <c r="X115" s="3">
        <f>+P115-T115</f>
        <v>1123.4799999999996</v>
      </c>
      <c r="Y115" s="3"/>
      <c r="Z115" s="26">
        <f>IF(T115=0,0,X115/T115)</f>
        <v>3.600621619049052E-2</v>
      </c>
    </row>
    <row r="116" spans="1:26" s="69" customFormat="1" ht="15" hidden="1" customHeight="1" outlineLevel="1" x14ac:dyDescent="0.3">
      <c r="A116" s="47"/>
      <c r="B116" s="9" t="str">
        <f>CONCATENATE("          ","9151"," - ","MISC. INCOME")</f>
        <v xml:space="preserve">          9151 - MISC. INCOME</v>
      </c>
      <c r="C116" s="9"/>
      <c r="D116" s="3">
        <f>--4094.51</f>
        <v>4094.51</v>
      </c>
      <c r="E116" s="3"/>
      <c r="F116" s="26">
        <f>IF(D$12=0,0,D116/D$12)</f>
        <v>0.30480934294745338</v>
      </c>
      <c r="G116" s="3"/>
      <c r="H116" s="3">
        <f>0</f>
        <v>0</v>
      </c>
      <c r="I116" s="3"/>
      <c r="J116" s="26">
        <f>IF(H$12=0,0,H116/H$12)</f>
        <v>0</v>
      </c>
      <c r="K116" s="3"/>
      <c r="L116" s="3">
        <f>+D116-H116</f>
        <v>4094.51</v>
      </c>
      <c r="M116" s="3"/>
      <c r="N116" s="26">
        <f>IF(H116=0,0,L116/H116)</f>
        <v>0</v>
      </c>
      <c r="O116" s="9"/>
      <c r="P116" s="3">
        <f>--328482.25</f>
        <v>328482.25</v>
      </c>
      <c r="Q116" s="3"/>
      <c r="R116" s="26">
        <f>IF(P$12=0,0,P116/P$12)</f>
        <v>0.18209285073041917</v>
      </c>
      <c r="S116" s="3"/>
      <c r="T116" s="3">
        <f>--295628.46</f>
        <v>295628.46000000002</v>
      </c>
      <c r="U116" s="3"/>
      <c r="V116" s="26">
        <f>IF(T$12=0,0,T116/T$12)</f>
        <v>0.14955753923037421</v>
      </c>
      <c r="W116" s="3"/>
      <c r="X116" s="3">
        <f>+P116-T116</f>
        <v>32853.789999999979</v>
      </c>
      <c r="Y116" s="3"/>
      <c r="Z116" s="26">
        <f>IF(T116=0,0,X116/T116)</f>
        <v>0.1111320270044365</v>
      </c>
    </row>
    <row r="117" spans="1:26" s="69" customFormat="1" ht="15" hidden="1" customHeight="1" outlineLevel="1" x14ac:dyDescent="0.3">
      <c r="A117" s="47"/>
      <c r="B117" s="9" t="str">
        <f>CONCATENATE("          ","9152"," - ","MISC. INCOME")</f>
        <v xml:space="preserve">          9152 - MISC. INCOME</v>
      </c>
      <c r="C117" s="9"/>
      <c r="D117" s="3">
        <f>--221.07</f>
        <v>221.07</v>
      </c>
      <c r="E117" s="3"/>
      <c r="F117" s="26">
        <f>IF(D$12=0,0,D117/D$12)</f>
        <v>1.645720768673016E-2</v>
      </c>
      <c r="G117" s="3"/>
      <c r="H117" s="3">
        <f>--1755.54</f>
        <v>1755.54</v>
      </c>
      <c r="I117" s="3"/>
      <c r="J117" s="26">
        <f>IF(H$12=0,0,H117/H$12)</f>
        <v>0.16652738319397081</v>
      </c>
      <c r="K117" s="3"/>
      <c r="L117" s="3">
        <f>+D117-H117</f>
        <v>-1534.47</v>
      </c>
      <c r="M117" s="3"/>
      <c r="N117" s="26">
        <f>IF(H117=0,0,L117/H117)</f>
        <v>-0.87407293482347315</v>
      </c>
      <c r="O117" s="9"/>
      <c r="P117" s="3">
        <f>--5468.18</f>
        <v>5468.18</v>
      </c>
      <c r="Q117" s="3"/>
      <c r="R117" s="26">
        <f>IF(P$12=0,0,P117/P$12)</f>
        <v>3.0312641992286142E-3</v>
      </c>
      <c r="S117" s="3"/>
      <c r="T117" s="3">
        <f>--7408.11</f>
        <v>7408.11</v>
      </c>
      <c r="U117" s="3"/>
      <c r="V117" s="26">
        <f>IF(T$12=0,0,T117/T$12)</f>
        <v>3.7477403290194977E-3</v>
      </c>
      <c r="W117" s="3"/>
      <c r="X117" s="3">
        <f>+P117-T117</f>
        <v>-1939.9299999999994</v>
      </c>
      <c r="Y117" s="3"/>
      <c r="Z117" s="26">
        <f>IF(T117=0,0,X117/T117)</f>
        <v>-0.26186571203721321</v>
      </c>
    </row>
    <row r="118" spans="1:26" ht="15" customHeight="1" x14ac:dyDescent="0.3">
      <c r="A118" s="12"/>
      <c r="B118" s="13"/>
      <c r="C118" s="13"/>
      <c r="D118" s="4"/>
      <c r="E118" s="4"/>
      <c r="F118" s="10"/>
      <c r="G118" s="4"/>
      <c r="H118" s="4"/>
      <c r="I118" s="4"/>
      <c r="J118" s="10"/>
      <c r="K118" s="4"/>
      <c r="L118" s="4"/>
      <c r="M118" s="4"/>
      <c r="N118" s="10"/>
      <c r="O118" s="13"/>
      <c r="P118" s="4"/>
      <c r="Q118" s="4"/>
      <c r="R118" s="10"/>
      <c r="S118" s="4"/>
      <c r="T118" s="4"/>
      <c r="U118" s="4"/>
      <c r="V118" s="10"/>
      <c r="W118" s="4"/>
      <c r="X118" s="4"/>
      <c r="Y118" s="4"/>
      <c r="Z118" s="10"/>
    </row>
    <row r="119" spans="1:26" s="62" customFormat="1" ht="15" customHeight="1" x14ac:dyDescent="0.3">
      <c r="A119" s="13"/>
      <c r="B119" s="28" t="s">
        <v>291</v>
      </c>
      <c r="C119" s="28"/>
      <c r="D119" s="22">
        <f>+D59-D61+D114</f>
        <v>-127552.70999999999</v>
      </c>
      <c r="E119" s="15"/>
      <c r="F119" s="24">
        <f>IF(D$12=0,0,D119/D$12)</f>
        <v>-9.4954604400201887</v>
      </c>
      <c r="G119" s="15"/>
      <c r="H119" s="22">
        <f>+H59-H61+H114</f>
        <v>-83376.459999999963</v>
      </c>
      <c r="I119" s="15"/>
      <c r="J119" s="24">
        <f>IF(H$12=0,0,H119/H$12)</f>
        <v>-7.9089418092306492</v>
      </c>
      <c r="K119" s="17"/>
      <c r="L119" s="22">
        <f>+D119-H119</f>
        <v>-44176.250000000029</v>
      </c>
      <c r="M119" s="17"/>
      <c r="N119" s="24">
        <f>IF(H119=0,0,L119/H119)</f>
        <v>0.52984079679084539</v>
      </c>
      <c r="O119" s="27"/>
      <c r="P119" s="22">
        <f>+P59-P61+P114</f>
        <v>139550.15999999997</v>
      </c>
      <c r="Q119" s="15"/>
      <c r="R119" s="24">
        <f>IF(P$12=0,0,P119/P$12)</f>
        <v>7.7359085473525907E-2</v>
      </c>
      <c r="S119" s="15"/>
      <c r="T119" s="22">
        <f>+T59-T61+T114</f>
        <v>302770.14000000007</v>
      </c>
      <c r="U119" s="15"/>
      <c r="V119" s="24">
        <f>IF(T$12=0,0,T119/T$12)</f>
        <v>0.1531704934323167</v>
      </c>
      <c r="W119" s="17"/>
      <c r="X119" s="22">
        <f>+P119-T119</f>
        <v>-163219.9800000001</v>
      </c>
      <c r="Y119" s="17"/>
      <c r="Z119" s="24">
        <f>IF(T119=0,0,X119/T119)</f>
        <v>-0.53908876218771129</v>
      </c>
    </row>
    <row r="120" spans="1:26" ht="15" customHeight="1" x14ac:dyDescent="0.3">
      <c r="A120" s="12"/>
      <c r="B120" s="13"/>
      <c r="C120" s="12"/>
      <c r="D120" s="4"/>
      <c r="E120" s="4"/>
      <c r="F120" s="10"/>
      <c r="G120" s="4"/>
      <c r="H120" s="4"/>
      <c r="I120" s="4"/>
      <c r="J120" s="10"/>
      <c r="K120" s="4"/>
      <c r="L120" s="4"/>
      <c r="M120" s="4"/>
      <c r="N120" s="10"/>
      <c r="P120" s="4"/>
      <c r="Q120" s="4"/>
      <c r="R120" s="10"/>
      <c r="S120" s="4"/>
      <c r="T120" s="4"/>
      <c r="U120" s="4"/>
      <c r="V120" s="10"/>
      <c r="W120" s="4"/>
      <c r="X120" s="4"/>
      <c r="Y120" s="4"/>
      <c r="Z120" s="10"/>
    </row>
    <row r="121" spans="1:26" s="62" customFormat="1" ht="15" customHeight="1" x14ac:dyDescent="0.3">
      <c r="A121" s="48"/>
      <c r="B121" s="13" t="s">
        <v>292</v>
      </c>
      <c r="C121" s="13"/>
      <c r="D121" s="8">
        <v>-409269.41</v>
      </c>
      <c r="E121" s="8"/>
      <c r="F121" s="14">
        <f>IF(D$12=0,0,D121/D$12)</f>
        <v>-30.467416113427952</v>
      </c>
      <c r="G121" s="8"/>
      <c r="H121" s="8">
        <v>126989.85</v>
      </c>
      <c r="I121" s="8"/>
      <c r="J121" s="14">
        <f>IF(H$12=0,0,H121/H$12)</f>
        <v>12.046029946737116</v>
      </c>
      <c r="K121" s="8"/>
      <c r="L121" s="8">
        <f>+D121-H121</f>
        <v>-536259.26</v>
      </c>
      <c r="M121" s="8"/>
      <c r="N121" s="14">
        <f>IF(H121=0,0,L121/H121)</f>
        <v>-4.2228513538680454</v>
      </c>
      <c r="O121" s="13"/>
      <c r="P121" s="8">
        <v>-207972.47</v>
      </c>
      <c r="Q121" s="8"/>
      <c r="R121" s="14">
        <f>IF(P$12=0,0,P121/P$12)</f>
        <v>-0.11528872545090817</v>
      </c>
      <c r="S121" s="8"/>
      <c r="T121" s="8">
        <v>547136.41</v>
      </c>
      <c r="U121" s="8"/>
      <c r="V121" s="14">
        <f>IF(T$12=0,0,T121/T$12)</f>
        <v>0.27679464657408531</v>
      </c>
      <c r="W121" s="8"/>
      <c r="X121" s="8">
        <f>+P121-T121</f>
        <v>-755108.88</v>
      </c>
      <c r="Y121" s="8"/>
      <c r="Z121" s="14">
        <f>IF(T121=0,0,X121/T121)</f>
        <v>-1.3801108209925199</v>
      </c>
    </row>
    <row r="122" spans="1:26" ht="15" customHeight="1" x14ac:dyDescent="0.3">
      <c r="A122" s="12"/>
      <c r="B122" s="13"/>
      <c r="C122" s="13"/>
      <c r="D122" s="4"/>
      <c r="E122" s="4"/>
      <c r="F122" s="10"/>
      <c r="G122" s="4"/>
      <c r="H122" s="4"/>
      <c r="I122" s="4"/>
      <c r="J122" s="10"/>
      <c r="K122" s="4"/>
      <c r="L122" s="4"/>
      <c r="M122" s="4"/>
      <c r="N122" s="10"/>
      <c r="O122" s="13"/>
      <c r="P122" s="4"/>
      <c r="Q122" s="4"/>
      <c r="R122" s="10"/>
      <c r="S122" s="4"/>
      <c r="T122" s="4"/>
      <c r="U122" s="4"/>
      <c r="V122" s="10"/>
      <c r="W122" s="4"/>
      <c r="X122" s="4"/>
      <c r="Y122" s="4"/>
      <c r="Z122" s="10"/>
    </row>
    <row r="123" spans="1:26" s="62" customFormat="1" ht="15" customHeight="1" x14ac:dyDescent="0.3">
      <c r="A123" s="13"/>
      <c r="B123" s="28" t="s">
        <v>293</v>
      </c>
      <c r="C123" s="28"/>
      <c r="D123" s="29">
        <f>+D119-D121</f>
        <v>281716.69999999995</v>
      </c>
      <c r="E123" s="15"/>
      <c r="F123" s="31">
        <f>IF(D$12=0,0,D123/D$12)</f>
        <v>20.971955673407763</v>
      </c>
      <c r="G123" s="15"/>
      <c r="H123" s="29">
        <f>+H119-H121</f>
        <v>-210366.30999999997</v>
      </c>
      <c r="I123" s="15"/>
      <c r="J123" s="31">
        <f>IF(H$12=0,0,H123/H$12)</f>
        <v>-19.954971755967765</v>
      </c>
      <c r="K123" s="17"/>
      <c r="L123" s="29">
        <f>D123-H123</f>
        <v>492083.00999999989</v>
      </c>
      <c r="M123" s="17"/>
      <c r="N123" s="31">
        <f>IF(H123=0,0,L123/H123)</f>
        <v>-2.3391721326480459</v>
      </c>
      <c r="O123" s="27"/>
      <c r="P123" s="29">
        <f>+P119-P121</f>
        <v>347522.63</v>
      </c>
      <c r="Q123" s="15"/>
      <c r="R123" s="31">
        <f>IF(P$12=0,0,P123/P$12)</f>
        <v>0.19264781092443409</v>
      </c>
      <c r="S123" s="15"/>
      <c r="T123" s="29">
        <f>+T119-T121</f>
        <v>-244366.26999999996</v>
      </c>
      <c r="U123" s="15"/>
      <c r="V123" s="31">
        <f>IF(T$12=0,0,T123/T$12)</f>
        <v>-0.1236241531417686</v>
      </c>
      <c r="W123" s="17"/>
      <c r="X123" s="29">
        <f>P123-T123</f>
        <v>591888.89999999991</v>
      </c>
      <c r="Y123" s="17"/>
      <c r="Z123" s="31">
        <f>IF(T123=0,0,X123/T123)</f>
        <v>-2.4221382926538921</v>
      </c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ht="15" customHeight="1" x14ac:dyDescent="0.3">
      <c r="A125" s="12"/>
      <c r="B125" s="12"/>
      <c r="C125" s="12"/>
      <c r="D125" s="4"/>
      <c r="E125" s="4"/>
      <c r="F125" s="10"/>
      <c r="G125" s="4"/>
      <c r="H125" s="4"/>
      <c r="I125" s="4"/>
      <c r="J125" s="10"/>
      <c r="K125" s="4"/>
      <c r="L125" s="4"/>
      <c r="M125" s="4"/>
      <c r="N125" s="10"/>
      <c r="P125" s="4"/>
      <c r="Q125" s="4"/>
      <c r="R125" s="10"/>
      <c r="S125" s="4"/>
      <c r="T125" s="4"/>
      <c r="U125" s="4"/>
      <c r="V125" s="10"/>
      <c r="W125" s="4"/>
      <c r="X125" s="4"/>
      <c r="Y125" s="4"/>
      <c r="Z125" s="10"/>
    </row>
    <row r="126" spans="1:26" s="62" customFormat="1" ht="15" customHeight="1" x14ac:dyDescent="0.3">
      <c r="A126" s="13"/>
      <c r="B126" s="28" t="s">
        <v>296</v>
      </c>
      <c r="C126" s="28"/>
      <c r="D126" s="30">
        <f>SUM(D123:D125)</f>
        <v>281716.69999999995</v>
      </c>
      <c r="E126" s="15"/>
      <c r="F126" s="35">
        <f>IF(D$12=0,0,D126/D$12)</f>
        <v>20.971955673407763</v>
      </c>
      <c r="G126" s="15"/>
      <c r="H126" s="30">
        <f>SUM(H123:H125)</f>
        <v>-210366.30999999997</v>
      </c>
      <c r="I126" s="15"/>
      <c r="J126" s="35">
        <f>IF(H$12=0,0,H126/H$12)</f>
        <v>-19.954971755967765</v>
      </c>
      <c r="K126" s="17"/>
      <c r="L126" s="30">
        <f>+D126-H126</f>
        <v>492083.00999999989</v>
      </c>
      <c r="M126" s="17"/>
      <c r="N126" s="35">
        <f>IF(H126=0,0,L126/H126)</f>
        <v>-2.3391721326480459</v>
      </c>
      <c r="O126" s="27"/>
      <c r="P126" s="30">
        <f>SUM(P123:P125)</f>
        <v>347522.63</v>
      </c>
      <c r="Q126" s="15"/>
      <c r="R126" s="35">
        <f>IF(P$12=0,0,P126/P$12)</f>
        <v>0.19264781092443409</v>
      </c>
      <c r="S126" s="15"/>
      <c r="T126" s="30">
        <f>SUM(T123:T125)</f>
        <v>-244366.26999999996</v>
      </c>
      <c r="U126" s="15"/>
      <c r="V126" s="35">
        <f>IF(T$12=0,0,T126/T$12)</f>
        <v>-0.1236241531417686</v>
      </c>
      <c r="W126" s="17"/>
      <c r="X126" s="30">
        <f>+P126-T126</f>
        <v>591888.89999999991</v>
      </c>
      <c r="Y126" s="17"/>
      <c r="Z126" s="35">
        <f>IF(T126=0,0,X126/T126)</f>
        <v>-2.4221382926538921</v>
      </c>
    </row>
    <row r="127" spans="1:26" ht="15" customHeight="1" x14ac:dyDescent="0.3">
      <c r="A127" s="12"/>
      <c r="C127" s="12"/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4">
        <v>44767.815885219905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3" t="s">
        <v>297</v>
      </c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A130" s="12"/>
      <c r="B130" s="51"/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  <row r="131" spans="1:24" ht="15" customHeight="1" x14ac:dyDescent="0.3">
      <c r="D131" s="19"/>
      <c r="E131" s="19"/>
      <c r="G131" s="19"/>
      <c r="H131" s="19"/>
      <c r="I131" s="19"/>
      <c r="J131" s="41"/>
      <c r="K131" s="19"/>
      <c r="L131" s="19"/>
      <c r="M131" s="19"/>
      <c r="P131" s="19"/>
      <c r="Q131" s="19"/>
      <c r="R131" s="41"/>
      <c r="S131" s="19"/>
      <c r="T131" s="19"/>
      <c r="U131" s="19"/>
      <c r="V131" s="41"/>
      <c r="W131" s="19"/>
      <c r="X13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4014-A01C-AB3C-1223-351AB5AA6862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","324"," - ","Textbook Rental")</f>
        <v>Department 324 - Textbook Rental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-12971.02</v>
      </c>
      <c r="E12" s="8"/>
      <c r="F12" s="14"/>
      <c r="G12" s="8"/>
      <c r="H12" s="8">
        <f>SUM(OSRRefH13x_0)</f>
        <v>-6490.3100000000013</v>
      </c>
      <c r="I12" s="8"/>
      <c r="J12" s="14"/>
      <c r="K12" s="8"/>
      <c r="L12" s="8">
        <f>+D12-H12</f>
        <v>-6480.7099999999991</v>
      </c>
      <c r="M12" s="8"/>
      <c r="N12" s="14">
        <f>IF(H12=0,0,L12/H12)</f>
        <v>0.99852087188439342</v>
      </c>
      <c r="O12" s="13"/>
      <c r="P12" s="8">
        <f>SUM(OSRRefP13x_0)</f>
        <v>431898.53</v>
      </c>
      <c r="Q12" s="8"/>
      <c r="R12" s="14"/>
      <c r="S12" s="8"/>
      <c r="T12" s="8">
        <f>SUM(OSRRefT13x_0)</f>
        <v>770695.04</v>
      </c>
      <c r="U12" s="8"/>
      <c r="V12" s="14"/>
      <c r="W12" s="8"/>
      <c r="X12" s="8">
        <f>+P12-T12</f>
        <v>-338796.51</v>
      </c>
      <c r="Y12" s="8"/>
      <c r="Z12" s="14">
        <f>IF(T12=0,0,X12/T12)</f>
        <v>-0.43959866408378595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--1059.48</f>
        <v>1059.48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1059.48</v>
      </c>
      <c r="M13" s="3"/>
      <c r="N13" s="26">
        <f>IF(H13=0,0,L13/H13)</f>
        <v>0</v>
      </c>
      <c r="O13" s="9"/>
      <c r="P13" s="3">
        <f>--279127.57</f>
        <v>279127.57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279127.57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--4340.19</f>
        <v>4340.1899999999996</v>
      </c>
      <c r="I14" s="3"/>
      <c r="J14" s="26"/>
      <c r="K14" s="3"/>
      <c r="L14" s="3">
        <f>+D14-H14</f>
        <v>-4340.1899999999996</v>
      </c>
      <c r="M14" s="3"/>
      <c r="N14" s="26">
        <f>IF(H14=0,0,L14/H14)</f>
        <v>-1</v>
      </c>
      <c r="O14" s="9"/>
      <c r="P14" s="3">
        <f>0</f>
        <v>0</v>
      </c>
      <c r="Q14" s="3"/>
      <c r="R14" s="26"/>
      <c r="S14" s="3"/>
      <c r="T14" s="3">
        <f>--274186.86</f>
        <v>274186.86</v>
      </c>
      <c r="U14" s="3"/>
      <c r="V14" s="26"/>
      <c r="W14" s="3"/>
      <c r="X14" s="3">
        <f>+P14-T14</f>
        <v>-274186.86</v>
      </c>
      <c r="Y14" s="3"/>
      <c r="Z14" s="26">
        <f>IF(T14=0,0,X14/T14)</f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--3656.7</f>
        <v>3656.7</v>
      </c>
      <c r="I15" s="3"/>
      <c r="J15" s="26"/>
      <c r="K15" s="3"/>
      <c r="L15" s="3">
        <f>+D15-H15</f>
        <v>-3656.7</v>
      </c>
      <c r="M15" s="3"/>
      <c r="N15" s="26">
        <f>IF(H15=0,0,L15/H15)</f>
        <v>-1</v>
      </c>
      <c r="O15" s="9"/>
      <c r="P15" s="3">
        <f>0</f>
        <v>0</v>
      </c>
      <c r="Q15" s="3"/>
      <c r="R15" s="26"/>
      <c r="S15" s="3"/>
      <c r="T15" s="3">
        <f>--233610.4</f>
        <v>233610.4</v>
      </c>
      <c r="U15" s="3"/>
      <c r="V15" s="26"/>
      <c r="W15" s="3"/>
      <c r="X15" s="3">
        <f>+P15-T15</f>
        <v>-233610.4</v>
      </c>
      <c r="Y15" s="3"/>
      <c r="Z15" s="26">
        <f>IF(T15=0,0,X15/T15)</f>
        <v>-1</v>
      </c>
    </row>
    <row r="16" spans="1:26" s="69" customFormat="1" ht="15" hidden="1" customHeight="1" outlineLevel="1" x14ac:dyDescent="0.3">
      <c r="A16" s="47"/>
      <c r="B16" s="9" t="str">
        <f>CONCATENATE("          ","4100"," - ","NON-TAXABLE SALES")</f>
        <v xml:space="preserve">          4100 - NON-TAXABLE SALES</v>
      </c>
      <c r="C16" s="9"/>
      <c r="D16" s="3">
        <f>-14030.5</f>
        <v>-14030.5</v>
      </c>
      <c r="E16" s="3"/>
      <c r="F16" s="26"/>
      <c r="G16" s="3"/>
      <c r="H16" s="3">
        <f>-14487.2</f>
        <v>-14487.2</v>
      </c>
      <c r="I16" s="3"/>
      <c r="J16" s="26"/>
      <c r="K16" s="3"/>
      <c r="L16" s="3">
        <f>+D16-H16</f>
        <v>456.70000000000073</v>
      </c>
      <c r="M16" s="3"/>
      <c r="N16" s="26">
        <f>IF(H16=0,0,L16/H16)</f>
        <v>-3.1524380142470644E-2</v>
      </c>
      <c r="O16" s="9"/>
      <c r="P16" s="3">
        <f>--152770.96</f>
        <v>152770.96</v>
      </c>
      <c r="Q16" s="3"/>
      <c r="R16" s="26"/>
      <c r="S16" s="3"/>
      <c r="T16" s="3">
        <f>--262897.78</f>
        <v>262897.78000000003</v>
      </c>
      <c r="U16" s="3"/>
      <c r="V16" s="26"/>
      <c r="W16" s="3"/>
      <c r="X16" s="3">
        <f>+P16-T16</f>
        <v>-110126.82000000004</v>
      </c>
      <c r="Y16" s="3"/>
      <c r="Z16" s="26">
        <f>IF(T16=0,0,X16/T16)</f>
        <v>-0.4188959678548827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collapsed="1" x14ac:dyDescent="0.3">
      <c r="A18" s="13"/>
      <c r="B18" s="27" t="s">
        <v>287</v>
      </c>
      <c r="C18" s="13"/>
      <c r="D18" s="8">
        <f>SUM(OSRRefD16x_0)</f>
        <v>24455.67</v>
      </c>
      <c r="E18" s="8"/>
      <c r="F18" s="14">
        <f>IF(D$12=0,0,D18/D$12)</f>
        <v>-1.8854083950221339</v>
      </c>
      <c r="G18" s="8"/>
      <c r="H18" s="8">
        <f>SUM(OSRRefH16x_0)</f>
        <v>0</v>
      </c>
      <c r="I18" s="8"/>
      <c r="J18" s="14">
        <f>IF(H$12=0,0,H18/H$12)</f>
        <v>0</v>
      </c>
      <c r="K18" s="8"/>
      <c r="L18" s="8">
        <f>+D18-H18</f>
        <v>24455.67</v>
      </c>
      <c r="M18" s="8"/>
      <c r="N18" s="14">
        <f>IF(H18=0,0,L18/H18)</f>
        <v>0</v>
      </c>
      <c r="O18" s="13"/>
      <c r="P18" s="8">
        <f>SUM(OSRRefP16x_0)</f>
        <v>329452.68</v>
      </c>
      <c r="Q18" s="8"/>
      <c r="R18" s="14">
        <f>IF(P$12=0,0,P18/P$12)</f>
        <v>0.76280111441916687</v>
      </c>
      <c r="S18" s="8"/>
      <c r="T18" s="8">
        <f>SUM(OSRRefT16x_0)</f>
        <v>550555.76</v>
      </c>
      <c r="U18" s="8"/>
      <c r="V18" s="14">
        <f>IF(T$12=0,0,T18/T$12)</f>
        <v>0.71436266152692507</v>
      </c>
      <c r="W18" s="8"/>
      <c r="X18" s="8">
        <f>+P18-T18</f>
        <v>-221103.08000000002</v>
      </c>
      <c r="Y18" s="8"/>
      <c r="Z18" s="14">
        <f>IF(T18=0,0,X18/T18)</f>
        <v>-0.4015997943605204</v>
      </c>
    </row>
    <row r="19" spans="1:26" s="69" customFormat="1" ht="15" hidden="1" customHeight="1" outlineLevel="1" x14ac:dyDescent="0.3">
      <c r="A19" s="47"/>
      <c r="B19" s="9" t="str">
        <f>CONCATENATE("          ","5000"," - ","PURCHASES @ COST")</f>
        <v xml:space="preserve">          5000 - PURCHASES @ COST</v>
      </c>
      <c r="C19" s="9"/>
      <c r="D19" s="3">
        <v>24455.67</v>
      </c>
      <c r="E19" s="3"/>
      <c r="F19" s="26">
        <f>IF(D$12=0,0,D19/D$12)</f>
        <v>-1.8854083950221339</v>
      </c>
      <c r="G19" s="3"/>
      <c r="H19" s="3"/>
      <c r="I19" s="3"/>
      <c r="J19" s="26">
        <f>IF(H$12=0,0,H19/H$12)</f>
        <v>0</v>
      </c>
      <c r="K19" s="3"/>
      <c r="L19" s="3">
        <f>+D19-H19</f>
        <v>24455.67</v>
      </c>
      <c r="M19" s="3"/>
      <c r="N19" s="26">
        <f>IF(H19=0,0,L19/H19)</f>
        <v>0</v>
      </c>
      <c r="O19" s="9"/>
      <c r="P19" s="3">
        <v>329452.68</v>
      </c>
      <c r="Q19" s="3"/>
      <c r="R19" s="26">
        <f>IF(P$12=0,0,P19/P$12)</f>
        <v>0.76280111441916687</v>
      </c>
      <c r="S19" s="3"/>
      <c r="T19" s="3"/>
      <c r="U19" s="3"/>
      <c r="V19" s="26">
        <f>IF(T$12=0,0,T19/T$12)</f>
        <v>0</v>
      </c>
      <c r="W19" s="3"/>
      <c r="X19" s="3">
        <f>+P19-T19</f>
        <v>329452.68</v>
      </c>
      <c r="Y19" s="3"/>
      <c r="Z19" s="26">
        <f>IF(T19=0,0,X19/T19)</f>
        <v>0</v>
      </c>
    </row>
    <row r="20" spans="1:26" s="69" customFormat="1" ht="15" hidden="1" customHeight="1" outlineLevel="1" x14ac:dyDescent="0.3">
      <c r="A20" s="47"/>
      <c r="B20" s="9" t="str">
        <f>CONCATENATE("          ","5001"," - ","PURCHASES @ COST-NEW TEXT")</f>
        <v xml:space="preserve">          5001 - PURCHASES @ COST-NEW TEXT</v>
      </c>
      <c r="C20" s="9"/>
      <c r="D20" s="3"/>
      <c r="E20" s="3"/>
      <c r="F20" s="26">
        <f>IF(D$12=0,0,D20/D$12)</f>
        <v>0</v>
      </c>
      <c r="G20" s="3"/>
      <c r="H20" s="3"/>
      <c r="I20" s="3"/>
      <c r="J20" s="26">
        <f>IF(H$12=0,0,H20/H$12)</f>
        <v>0</v>
      </c>
      <c r="K20" s="3"/>
      <c r="L20" s="3">
        <f>+D20-H20</f>
        <v>0</v>
      </c>
      <c r="M20" s="3"/>
      <c r="N20" s="26">
        <f>IF(H20=0,0,L20/H20)</f>
        <v>0</v>
      </c>
      <c r="O20" s="9"/>
      <c r="P20" s="3"/>
      <c r="Q20" s="3"/>
      <c r="R20" s="26">
        <f>IF(P$12=0,0,P20/P$12)</f>
        <v>0</v>
      </c>
      <c r="S20" s="3"/>
      <c r="T20" s="3">
        <v>305344.96999999997</v>
      </c>
      <c r="U20" s="3"/>
      <c r="V20" s="26">
        <f>IF(T$12=0,0,T20/T$12)</f>
        <v>0.39619428457720446</v>
      </c>
      <c r="W20" s="3"/>
      <c r="X20" s="3">
        <f>+P20-T20</f>
        <v>-305344.96999999997</v>
      </c>
      <c r="Y20" s="3"/>
      <c r="Z20" s="26">
        <f>IF(T20=0,0,X20/T20)</f>
        <v>-1</v>
      </c>
    </row>
    <row r="21" spans="1:26" s="69" customFormat="1" ht="15" hidden="1" customHeight="1" outlineLevel="1" x14ac:dyDescent="0.3">
      <c r="A21" s="47"/>
      <c r="B21" s="9" t="str">
        <f>CONCATENATE("          ","5002"," - ","PURCHASES @ COST-USED TEXT")</f>
        <v xml:space="preserve">          5002 - PURCHASES @ COST-USED TEXT</v>
      </c>
      <c r="C21" s="9"/>
      <c r="D21" s="3"/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/>
      <c r="Q21" s="3"/>
      <c r="R21" s="26">
        <f>IF(P$12=0,0,P21/P$12)</f>
        <v>0</v>
      </c>
      <c r="S21" s="3"/>
      <c r="T21" s="3">
        <v>245210.79</v>
      </c>
      <c r="U21" s="3"/>
      <c r="V21" s="26">
        <f>IF(T$12=0,0,T21/T$12)</f>
        <v>0.31816837694972061</v>
      </c>
      <c r="W21" s="3"/>
      <c r="X21" s="3">
        <f>+P21-T21</f>
        <v>-245210.79</v>
      </c>
      <c r="Y21" s="3"/>
      <c r="Z21" s="26">
        <f>IF(T21=0,0,X21/T21)</f>
        <v>-1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2" customFormat="1" ht="15" customHeight="1" x14ac:dyDescent="0.3">
      <c r="A23" s="13"/>
      <c r="B23" s="28" t="s">
        <v>288</v>
      </c>
      <c r="C23" s="28"/>
      <c r="D23" s="22">
        <f>D12-D18</f>
        <v>-37426.69</v>
      </c>
      <c r="E23" s="15"/>
      <c r="F23" s="24">
        <f>IF(D$12=0,0,D23/D$12)</f>
        <v>2.8854083950221341</v>
      </c>
      <c r="G23" s="15"/>
      <c r="H23" s="22">
        <f>H12-H18</f>
        <v>-6490.3100000000013</v>
      </c>
      <c r="I23" s="15"/>
      <c r="J23" s="24">
        <f>IF(H$12=0,0,H23/H$12)</f>
        <v>1</v>
      </c>
      <c r="K23" s="17"/>
      <c r="L23" s="22">
        <f>+D23-H23</f>
        <v>-30936.38</v>
      </c>
      <c r="M23" s="17"/>
      <c r="N23" s="24">
        <f>IF(H23=0,0,L23/H23)</f>
        <v>4.7665489013621833</v>
      </c>
      <c r="O23" s="27"/>
      <c r="P23" s="22">
        <f>P12-P18</f>
        <v>102445.85000000003</v>
      </c>
      <c r="Q23" s="15"/>
      <c r="R23" s="24">
        <f>IF(P$12=0,0,P23/P$12)</f>
        <v>0.23719888558083313</v>
      </c>
      <c r="S23" s="15"/>
      <c r="T23" s="22">
        <f>T12-T18</f>
        <v>220139.28000000003</v>
      </c>
      <c r="U23" s="15"/>
      <c r="V23" s="24">
        <f>IF(T$12=0,0,T23/T$12)</f>
        <v>0.28563733847307493</v>
      </c>
      <c r="W23" s="17"/>
      <c r="X23" s="22">
        <f>+P23-T23</f>
        <v>-117693.43</v>
      </c>
      <c r="Y23" s="17"/>
      <c r="Z23" s="24">
        <f>IF(T23=0,0,X23/T23)</f>
        <v>-0.53463166591623257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7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2" customFormat="1" ht="15" customHeight="1" x14ac:dyDescent="0.3">
      <c r="A25" s="13"/>
      <c r="B25" s="27" t="s">
        <v>289</v>
      </c>
      <c r="C25" s="13"/>
      <c r="D25" s="23">
        <f>SUM(0)</f>
        <v>0</v>
      </c>
      <c r="E25" s="23"/>
      <c r="F25" s="34">
        <f>IF(D$12=0,0,D25/D$12)</f>
        <v>0</v>
      </c>
      <c r="G25" s="23"/>
      <c r="H25" s="23">
        <f>SUM(0)</f>
        <v>0</v>
      </c>
      <c r="I25" s="23"/>
      <c r="J25" s="34">
        <f>IF(H$12=0,0,H25/H$12)</f>
        <v>0</v>
      </c>
      <c r="K25" s="8"/>
      <c r="L25" s="23">
        <f>+D25-H25</f>
        <v>0</v>
      </c>
      <c r="M25" s="8"/>
      <c r="N25" s="34">
        <f>IF(H25=0,0,L25/H25)</f>
        <v>0</v>
      </c>
      <c r="O25" s="13"/>
      <c r="P25" s="23">
        <f>SUM(0)</f>
        <v>0</v>
      </c>
      <c r="Q25" s="23"/>
      <c r="R25" s="34">
        <f>IF(P$12=0,0,P25/P$12)</f>
        <v>0</v>
      </c>
      <c r="S25" s="23"/>
      <c r="T25" s="23">
        <f>SUM(0)</f>
        <v>0</v>
      </c>
      <c r="U25" s="23"/>
      <c r="V25" s="34">
        <f>IF(T$12=0,0,T25/T$12)</f>
        <v>0</v>
      </c>
      <c r="W25" s="8"/>
      <c r="X25" s="23">
        <f>+P25-T25</f>
        <v>0</v>
      </c>
      <c r="Y25" s="8"/>
      <c r="Z25" s="34">
        <f>IF(T25=0,0,X25/T25)</f>
        <v>0</v>
      </c>
    </row>
    <row r="26" spans="1:26" s="64" customFormat="1" ht="15" customHeight="1" x14ac:dyDescent="0.3">
      <c r="A26" s="37"/>
      <c r="B26" s="37"/>
      <c r="C26" s="37"/>
      <c r="D26" s="2"/>
      <c r="E26" s="2"/>
      <c r="F26" s="5"/>
      <c r="G26" s="2"/>
      <c r="H26" s="2"/>
      <c r="I26" s="2"/>
      <c r="J26" s="5"/>
      <c r="K26" s="2"/>
      <c r="L26" s="2"/>
      <c r="M26" s="2"/>
      <c r="N26" s="5"/>
      <c r="O26" s="37"/>
      <c r="P26" s="2"/>
      <c r="Q26" s="2"/>
      <c r="R26" s="5"/>
      <c r="S26" s="2"/>
      <c r="T26" s="2"/>
      <c r="U26" s="2"/>
      <c r="V26" s="5"/>
      <c r="W26" s="2"/>
      <c r="X26" s="2"/>
      <c r="Y26" s="2"/>
      <c r="Z26" s="5"/>
    </row>
    <row r="27" spans="1:26" s="62" customFormat="1" ht="15" customHeight="1" x14ac:dyDescent="0.3">
      <c r="A27" s="13"/>
      <c r="B27" s="27" t="s">
        <v>290</v>
      </c>
      <c r="C27" s="13"/>
      <c r="D27" s="8">
        <f>SUM(0)</f>
        <v>0</v>
      </c>
      <c r="E27" s="8"/>
      <c r="F27" s="14">
        <f>IF(D$12=0,0,D27/D$12)</f>
        <v>0</v>
      </c>
      <c r="G27" s="8"/>
      <c r="H27" s="8">
        <f>SUM(0)</f>
        <v>0</v>
      </c>
      <c r="I27" s="8"/>
      <c r="J27" s="14">
        <f>IF(H$12=0,0,H27/H$12)</f>
        <v>0</v>
      </c>
      <c r="K27" s="8"/>
      <c r="L27" s="8">
        <f>+D27-H27</f>
        <v>0</v>
      </c>
      <c r="M27" s="8"/>
      <c r="N27" s="14">
        <f>IF(H27=0,0,L27/H27)</f>
        <v>0</v>
      </c>
      <c r="O27" s="13"/>
      <c r="P27" s="8">
        <f>SUM(0)</f>
        <v>0</v>
      </c>
      <c r="Q27" s="8"/>
      <c r="R27" s="14">
        <f>IF(P$12=0,0,P27/P$12)</f>
        <v>0</v>
      </c>
      <c r="S27" s="8"/>
      <c r="T27" s="8">
        <f>SUM(0)</f>
        <v>0</v>
      </c>
      <c r="U27" s="8"/>
      <c r="V27" s="14">
        <f>IF(T$12=0,0,T27/T$12)</f>
        <v>0</v>
      </c>
      <c r="W27" s="8"/>
      <c r="X27" s="8">
        <f>+P27-T27</f>
        <v>0</v>
      </c>
      <c r="Y27" s="8"/>
      <c r="Z27" s="14">
        <f>IF(T27=0,0,X27/T27)</f>
        <v>0</v>
      </c>
    </row>
    <row r="28" spans="1:26" ht="15" customHeight="1" x14ac:dyDescent="0.3">
      <c r="A28" s="12"/>
      <c r="B28" s="13"/>
      <c r="C28" s="13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O28" s="13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2" customFormat="1" ht="15" customHeight="1" x14ac:dyDescent="0.3">
      <c r="A29" s="13"/>
      <c r="B29" s="28" t="s">
        <v>291</v>
      </c>
      <c r="C29" s="28"/>
      <c r="D29" s="22">
        <f>+D23-D25+D27</f>
        <v>-37426.69</v>
      </c>
      <c r="E29" s="15"/>
      <c r="F29" s="24">
        <f>IF(D$12=0,0,D29/D$12)</f>
        <v>2.8854083950221341</v>
      </c>
      <c r="G29" s="15"/>
      <c r="H29" s="22">
        <f>+H23-H25+H27</f>
        <v>-6490.3100000000013</v>
      </c>
      <c r="I29" s="15"/>
      <c r="J29" s="24">
        <f>IF(H$12=0,0,H29/H$12)</f>
        <v>1</v>
      </c>
      <c r="K29" s="17"/>
      <c r="L29" s="22">
        <f>+D29-H29</f>
        <v>-30936.38</v>
      </c>
      <c r="M29" s="17"/>
      <c r="N29" s="24">
        <f>IF(H29=0,0,L29/H29)</f>
        <v>4.7665489013621833</v>
      </c>
      <c r="O29" s="27"/>
      <c r="P29" s="22">
        <f>+P23-P25+P27</f>
        <v>102445.85000000003</v>
      </c>
      <c r="Q29" s="15"/>
      <c r="R29" s="24">
        <f>IF(P$12=0,0,P29/P$12)</f>
        <v>0.23719888558083313</v>
      </c>
      <c r="S29" s="15"/>
      <c r="T29" s="22">
        <f>+T23-T25+T27</f>
        <v>220139.28000000003</v>
      </c>
      <c r="U29" s="15"/>
      <c r="V29" s="24">
        <f>IF(T$12=0,0,T29/T$12)</f>
        <v>0.28563733847307493</v>
      </c>
      <c r="W29" s="17"/>
      <c r="X29" s="22">
        <f>+P29-T29</f>
        <v>-117693.43</v>
      </c>
      <c r="Y29" s="17"/>
      <c r="Z29" s="24">
        <f>IF(T29=0,0,X29/T29)</f>
        <v>-0.53463166591623257</v>
      </c>
    </row>
    <row r="30" spans="1:26" ht="15" customHeight="1" x14ac:dyDescent="0.3">
      <c r="A30" s="12"/>
      <c r="B30" s="13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48"/>
      <c r="B31" s="13" t="s">
        <v>292</v>
      </c>
      <c r="C31" s="13"/>
      <c r="D31" s="8">
        <v>-99807.65</v>
      </c>
      <c r="E31" s="8"/>
      <c r="F31" s="14">
        <f>IF(D$12=0,0,D31/D$12)</f>
        <v>7.6946647218183299</v>
      </c>
      <c r="G31" s="8"/>
      <c r="H31" s="8">
        <v>47247.12</v>
      </c>
      <c r="I31" s="8"/>
      <c r="J31" s="14">
        <f>IF(H$12=0,0,H31/H$12)</f>
        <v>-7.2796399555645248</v>
      </c>
      <c r="K31" s="8"/>
      <c r="L31" s="8">
        <f>+D31-H31</f>
        <v>-147054.76999999999</v>
      </c>
      <c r="M31" s="8"/>
      <c r="N31" s="14">
        <f>IF(H31=0,0,L31/H31)</f>
        <v>-3.1124599763964444</v>
      </c>
      <c r="O31" s="13"/>
      <c r="P31" s="8">
        <v>-49793.03</v>
      </c>
      <c r="Q31" s="8"/>
      <c r="R31" s="14">
        <f>IF(P$12=0,0,P31/P$12)</f>
        <v>-0.11528872302482714</v>
      </c>
      <c r="S31" s="8"/>
      <c r="T31" s="8">
        <v>213324.26</v>
      </c>
      <c r="U31" s="8"/>
      <c r="V31" s="14">
        <f>IF(T$12=0,0,T31/T$12)</f>
        <v>0.27679464499992112</v>
      </c>
      <c r="W31" s="8"/>
      <c r="X31" s="8">
        <f>+P31-T31</f>
        <v>-263117.29000000004</v>
      </c>
      <c r="Y31" s="8"/>
      <c r="Z31" s="14">
        <f>IF(T31=0,0,X31/T31)</f>
        <v>-1.233414755546322</v>
      </c>
    </row>
    <row r="32" spans="1:26" ht="15" customHeight="1" x14ac:dyDescent="0.3">
      <c r="A32" s="12"/>
      <c r="B32" s="13"/>
      <c r="C32" s="13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O32" s="13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2" customFormat="1" ht="15" customHeight="1" x14ac:dyDescent="0.3">
      <c r="A33" s="13"/>
      <c r="B33" s="28" t="s">
        <v>293</v>
      </c>
      <c r="C33" s="28"/>
      <c r="D33" s="29">
        <f>+D29-D31</f>
        <v>62380.959999999992</v>
      </c>
      <c r="E33" s="15"/>
      <c r="F33" s="31">
        <f>IF(D$12=0,0,D33/D$12)</f>
        <v>-4.8092563267961959</v>
      </c>
      <c r="G33" s="15"/>
      <c r="H33" s="29">
        <f>+H29-H31</f>
        <v>-53737.430000000008</v>
      </c>
      <c r="I33" s="15"/>
      <c r="J33" s="31">
        <f>IF(H$12=0,0,H33/H$12)</f>
        <v>8.2796399555645248</v>
      </c>
      <c r="K33" s="17"/>
      <c r="L33" s="29">
        <f>D33-H33</f>
        <v>116118.39</v>
      </c>
      <c r="M33" s="17"/>
      <c r="N33" s="31">
        <f>IF(H33=0,0,L33/H33)</f>
        <v>-2.1608474763307433</v>
      </c>
      <c r="O33" s="27"/>
      <c r="P33" s="29">
        <f>+P29-P31</f>
        <v>152238.88000000003</v>
      </c>
      <c r="Q33" s="15"/>
      <c r="R33" s="31">
        <f>IF(P$12=0,0,P33/P$12)</f>
        <v>0.35248760860566025</v>
      </c>
      <c r="S33" s="15"/>
      <c r="T33" s="29">
        <f>+T29-T31</f>
        <v>6815.0200000000186</v>
      </c>
      <c r="U33" s="15"/>
      <c r="V33" s="31">
        <f>IF(T$12=0,0,T33/T$12)</f>
        <v>8.8426934731538152E-3</v>
      </c>
      <c r="W33" s="17"/>
      <c r="X33" s="29">
        <f>P33-T33</f>
        <v>145423.86000000002</v>
      </c>
      <c r="Y33" s="17"/>
      <c r="Z33" s="31">
        <f>IF(T33=0,0,X33/T33)</f>
        <v>21.338728279594136</v>
      </c>
    </row>
    <row r="34" spans="1:26" ht="15" customHeight="1" x14ac:dyDescent="0.3">
      <c r="A34" s="12"/>
      <c r="B34" s="12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x14ac:dyDescent="0.3">
      <c r="A36" s="13"/>
      <c r="B36" s="28" t="s">
        <v>296</v>
      </c>
      <c r="C36" s="28"/>
      <c r="D36" s="30">
        <f>SUM(D33:D35)</f>
        <v>62380.959999999992</v>
      </c>
      <c r="E36" s="15"/>
      <c r="F36" s="35">
        <f>IF(D$12=0,0,D36/D$12)</f>
        <v>-4.8092563267961959</v>
      </c>
      <c r="G36" s="15"/>
      <c r="H36" s="30">
        <f>SUM(H33:H35)</f>
        <v>-53737.430000000008</v>
      </c>
      <c r="I36" s="15"/>
      <c r="J36" s="35">
        <f>IF(H$12=0,0,H36/H$12)</f>
        <v>8.2796399555645248</v>
      </c>
      <c r="K36" s="17"/>
      <c r="L36" s="30">
        <f>+D36-H36</f>
        <v>116118.39</v>
      </c>
      <c r="M36" s="17"/>
      <c r="N36" s="35">
        <f>IF(H36=0,0,L36/H36)</f>
        <v>-2.1608474763307433</v>
      </c>
      <c r="O36" s="27"/>
      <c r="P36" s="30">
        <f>SUM(P33:P35)</f>
        <v>152238.88000000003</v>
      </c>
      <c r="Q36" s="15"/>
      <c r="R36" s="35">
        <f>IF(P$12=0,0,P36/P$12)</f>
        <v>0.35248760860566025</v>
      </c>
      <c r="S36" s="15"/>
      <c r="T36" s="30">
        <f>SUM(T33:T35)</f>
        <v>6815.0200000000186</v>
      </c>
      <c r="U36" s="15"/>
      <c r="V36" s="35">
        <f>IF(T$12=0,0,T36/T$12)</f>
        <v>8.8426934731538152E-3</v>
      </c>
      <c r="W36" s="17"/>
      <c r="X36" s="30">
        <f>+P36-T36</f>
        <v>145423.86000000002</v>
      </c>
      <c r="Y36" s="17"/>
      <c r="Z36" s="35">
        <f>IF(T36=0,0,X36/T36)</f>
        <v>21.338728279594136</v>
      </c>
    </row>
    <row r="37" spans="1:26" ht="15" customHeight="1" x14ac:dyDescent="0.3">
      <c r="A37" s="12"/>
      <c r="C37" s="12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4">
        <v>44767.815885219905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3" t="s">
        <v>297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1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5744C-1C8D-0FA1-61D6-9AF129B54319}">
  <sheetPr>
    <tabColor rgb="FFFFFF00"/>
    <outlinePr summaryBelow="0" summaryRight="0"/>
  </sheetPr>
  <dimension ref="A2:Z18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282453.05</v>
      </c>
      <c r="E12" s="8"/>
      <c r="F12" s="14"/>
      <c r="G12" s="8"/>
      <c r="H12" s="8">
        <f>SUM(OSRRefH13x_0)</f>
        <v>255640.00000000003</v>
      </c>
      <c r="I12" s="8"/>
      <c r="J12" s="14"/>
      <c r="K12" s="8"/>
      <c r="L12" s="8">
        <f t="shared" ref="L12:L57" si="0">+D12-H12</f>
        <v>26813.049999999959</v>
      </c>
      <c r="M12" s="8"/>
      <c r="N12" s="14">
        <f t="shared" ref="N12:N57" si="1">IF(H12=0,0,L12/H12)</f>
        <v>0.1048859724612735</v>
      </c>
      <c r="O12" s="13"/>
      <c r="P12" s="8">
        <f>SUM(OSRRefP13x_0)</f>
        <v>5342934.26</v>
      </c>
      <c r="Q12" s="8"/>
      <c r="R12" s="14"/>
      <c r="S12" s="8"/>
      <c r="T12" s="8">
        <f>SUM(OSRRefT13x_0)</f>
        <v>2594067.7400000007</v>
      </c>
      <c r="U12" s="8"/>
      <c r="V12" s="14"/>
      <c r="W12" s="8"/>
      <c r="X12" s="8">
        <f t="shared" ref="X12:X57" si="2">+P12-T12</f>
        <v>2748866.5199999991</v>
      </c>
      <c r="Y12" s="8"/>
      <c r="Z12" s="14">
        <f t="shared" ref="Z12:Z57" si="3">IF(T12=0,0,X12/T12)</f>
        <v>1.0596741471369588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--278306.49</f>
        <v>278306.49</v>
      </c>
      <c r="E13" s="3"/>
      <c r="F13" s="26"/>
      <c r="G13" s="3"/>
      <c r="H13" s="3">
        <f>-6259.7</f>
        <v>-6259.7</v>
      </c>
      <c r="I13" s="3"/>
      <c r="J13" s="26"/>
      <c r="K13" s="3"/>
      <c r="L13" s="3">
        <f t="shared" si="0"/>
        <v>284566.19</v>
      </c>
      <c r="M13" s="3"/>
      <c r="N13" s="26">
        <f t="shared" si="1"/>
        <v>-45.460036423470775</v>
      </c>
      <c r="O13" s="9"/>
      <c r="P13" s="3">
        <f>--4979481.26</f>
        <v>4979481.26</v>
      </c>
      <c r="Q13" s="3"/>
      <c r="R13" s="26"/>
      <c r="S13" s="3"/>
      <c r="T13" s="3">
        <f>-141418.09</f>
        <v>-141418.09</v>
      </c>
      <c r="U13" s="3"/>
      <c r="V13" s="26"/>
      <c r="W13" s="3"/>
      <c r="X13" s="3">
        <f t="shared" si="2"/>
        <v>5120899.3499999996</v>
      </c>
      <c r="Y13" s="3"/>
      <c r="Z13" s="26">
        <f t="shared" si="3"/>
        <v>-36.211062884529127</v>
      </c>
    </row>
    <row r="14" spans="1:26" s="69" customFormat="1" ht="15" hidden="1" customHeight="1" outlineLevel="1" x14ac:dyDescent="0.3">
      <c r="A14" s="47"/>
      <c r="B14" s="9" t="str">
        <f>CONCATENATE("          ","4026"," - ","TAXABLE SALES-WRITING INSTRUME")</f>
        <v xml:space="preserve">          4026 - TAXABLE SALES-WRITING INSTRUME</v>
      </c>
      <c r="C14" s="9"/>
      <c r="D14" s="3">
        <f>0</f>
        <v>0</v>
      </c>
      <c r="E14" s="3"/>
      <c r="F14" s="26"/>
      <c r="G14" s="3"/>
      <c r="H14" s="3">
        <f>--25.1</f>
        <v>25.1</v>
      </c>
      <c r="I14" s="3"/>
      <c r="J14" s="26"/>
      <c r="K14" s="3"/>
      <c r="L14" s="3">
        <f t="shared" si="0"/>
        <v>-25.1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--547.64</f>
        <v>547.64</v>
      </c>
      <c r="U14" s="3"/>
      <c r="V14" s="26"/>
      <c r="W14" s="3"/>
      <c r="X14" s="3">
        <f t="shared" si="2"/>
        <v>-547.64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","4027"," - ","TAXABLE SALES-SCHOOL SUPPLIES")</f>
        <v xml:space="preserve">          4027 - TAXABLE SALES-SCHOOL SUPPLIES</v>
      </c>
      <c r="C15" s="9"/>
      <c r="D15" s="3">
        <f>0</f>
        <v>0</v>
      </c>
      <c r="E15" s="3"/>
      <c r="F15" s="26"/>
      <c r="G15" s="3"/>
      <c r="H15" s="3">
        <f>--3459.71</f>
        <v>3459.71</v>
      </c>
      <c r="I15" s="3"/>
      <c r="J15" s="26"/>
      <c r="K15" s="3"/>
      <c r="L15" s="3">
        <f t="shared" si="0"/>
        <v>-3459.71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--73564</f>
        <v>73564</v>
      </c>
      <c r="U15" s="3"/>
      <c r="V15" s="26"/>
      <c r="W15" s="3"/>
      <c r="X15" s="3">
        <f t="shared" si="2"/>
        <v>-73564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","4028"," - ","TAXABLE SALES-ART/TECH")</f>
        <v xml:space="preserve">          4028 - TAXABLE SALES-ART/TECH</v>
      </c>
      <c r="C16" s="9"/>
      <c r="D16" s="3">
        <f>0</f>
        <v>0</v>
      </c>
      <c r="E16" s="3"/>
      <c r="F16" s="26"/>
      <c r="G16" s="3"/>
      <c r="H16" s="3">
        <f>--2312.88</f>
        <v>2312.88</v>
      </c>
      <c r="I16" s="3"/>
      <c r="J16" s="26"/>
      <c r="K16" s="3"/>
      <c r="L16" s="3">
        <f t="shared" si="0"/>
        <v>-2312.88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--50708.2</f>
        <v>50708.2</v>
      </c>
      <c r="U16" s="3"/>
      <c r="V16" s="26"/>
      <c r="W16" s="3"/>
      <c r="X16" s="3">
        <f t="shared" si="2"/>
        <v>-50708.2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","4031"," - ","TAXABLE SALES-FOOD")</f>
        <v xml:space="preserve">          4031 - TAXABLE SALES-FOOD</v>
      </c>
      <c r="C17" s="9"/>
      <c r="D17" s="3">
        <f>0</f>
        <v>0</v>
      </c>
      <c r="E17" s="3"/>
      <c r="F17" s="26"/>
      <c r="G17" s="3"/>
      <c r="H17" s="3">
        <f>--380.76</f>
        <v>380.76</v>
      </c>
      <c r="I17" s="3"/>
      <c r="J17" s="26"/>
      <c r="K17" s="3"/>
      <c r="L17" s="3">
        <f t="shared" si="0"/>
        <v>-380.76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--5081.47</f>
        <v>5081.47</v>
      </c>
      <c r="U17" s="3"/>
      <c r="V17" s="26"/>
      <c r="W17" s="3"/>
      <c r="X17" s="3">
        <f t="shared" si="2"/>
        <v>-5081.47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","4034"," - ","TAXABLE SALES-SODA")</f>
        <v xml:space="preserve">          4034 - TAXABLE SALES-SODA</v>
      </c>
      <c r="C18" s="9"/>
      <c r="D18" s="3">
        <f>0</f>
        <v>0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>
        <f>--6.78</f>
        <v>6.78</v>
      </c>
      <c r="U18" s="3"/>
      <c r="V18" s="26"/>
      <c r="W18" s="3"/>
      <c r="X18" s="3">
        <f t="shared" si="2"/>
        <v>-6.78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","4040"," - ","TAXABLE SALES-LOGO CLOTHING")</f>
        <v xml:space="preserve">          4040 - TAXABLE SALES-LOGO CLOTHING</v>
      </c>
      <c r="C19" s="9"/>
      <c r="D19" s="3">
        <f>0</f>
        <v>0</v>
      </c>
      <c r="E19" s="3"/>
      <c r="F19" s="26"/>
      <c r="G19" s="3"/>
      <c r="H19" s="3">
        <f>--109798.76</f>
        <v>109798.76</v>
      </c>
      <c r="I19" s="3"/>
      <c r="J19" s="26"/>
      <c r="K19" s="3"/>
      <c r="L19" s="3">
        <f t="shared" si="0"/>
        <v>-109798.76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--1210378.91</f>
        <v>1210378.9099999999</v>
      </c>
      <c r="U19" s="3"/>
      <c r="V19" s="26"/>
      <c r="W19" s="3"/>
      <c r="X19" s="3">
        <f t="shared" si="2"/>
        <v>-1210378.9099999999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","4041"," - ","TAXABLE SALES-LOGO GIFTS")</f>
        <v xml:space="preserve">          4041 - TAXABLE SALES-LOGO GIFTS</v>
      </c>
      <c r="C20" s="9"/>
      <c r="D20" s="3">
        <f>0</f>
        <v>0</v>
      </c>
      <c r="E20" s="3"/>
      <c r="F20" s="26"/>
      <c r="G20" s="3"/>
      <c r="H20" s="3">
        <f>--80214.77</f>
        <v>80214.77</v>
      </c>
      <c r="I20" s="3"/>
      <c r="J20" s="26"/>
      <c r="K20" s="3"/>
      <c r="L20" s="3">
        <f t="shared" si="0"/>
        <v>-80214.77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--618685.64</f>
        <v>618685.64</v>
      </c>
      <c r="U20" s="3"/>
      <c r="V20" s="26"/>
      <c r="W20" s="3"/>
      <c r="X20" s="3">
        <f t="shared" si="2"/>
        <v>-618685.64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","4042"," - ","TAXABLE SALES-EVERYDAY GIFTS")</f>
        <v xml:space="preserve">          4042 - TAXABLE SALES-EVERYDAY GIFTS</v>
      </c>
      <c r="C21" s="9"/>
      <c r="D21" s="3">
        <f>0</f>
        <v>0</v>
      </c>
      <c r="E21" s="3"/>
      <c r="F21" s="26"/>
      <c r="G21" s="3"/>
      <c r="H21" s="3">
        <f>--4764.33</f>
        <v>4764.33</v>
      </c>
      <c r="I21" s="3"/>
      <c r="J21" s="26"/>
      <c r="K21" s="3"/>
      <c r="L21" s="3">
        <f t="shared" si="0"/>
        <v>-4764.33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--95345.21</f>
        <v>95345.21</v>
      </c>
      <c r="U21" s="3"/>
      <c r="V21" s="26"/>
      <c r="W21" s="3"/>
      <c r="X21" s="3">
        <f t="shared" si="2"/>
        <v>-95345.21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","4043"," - ","TAXABLE SALES-CARDS")</f>
        <v xml:space="preserve">          4043 - TAXABLE SALES-CARDS</v>
      </c>
      <c r="C22" s="9"/>
      <c r="D22" s="3">
        <f>0</f>
        <v>0</v>
      </c>
      <c r="E22" s="3"/>
      <c r="F22" s="26"/>
      <c r="G22" s="3"/>
      <c r="H22" s="3">
        <f>--2905.23</f>
        <v>2905.23</v>
      </c>
      <c r="I22" s="3"/>
      <c r="J22" s="26"/>
      <c r="K22" s="3"/>
      <c r="L22" s="3">
        <f t="shared" si="0"/>
        <v>-2905.23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--146920.75</f>
        <v>146920.75</v>
      </c>
      <c r="U22" s="3"/>
      <c r="V22" s="26"/>
      <c r="W22" s="3"/>
      <c r="X22" s="3">
        <f t="shared" si="2"/>
        <v>-146920.75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","4044"," - ","TAXABLE SALES-ACCESSORIES")</f>
        <v xml:space="preserve">          4044 - TAXABLE SALES-ACCESSORIES</v>
      </c>
      <c r="C23" s="9"/>
      <c r="D23" s="3">
        <f>0</f>
        <v>0</v>
      </c>
      <c r="E23" s="3"/>
      <c r="F23" s="26"/>
      <c r="G23" s="3"/>
      <c r="H23" s="3">
        <f>--2172.33</f>
        <v>2172.33</v>
      </c>
      <c r="I23" s="3"/>
      <c r="J23" s="26"/>
      <c r="K23" s="3"/>
      <c r="L23" s="3">
        <f t="shared" si="0"/>
        <v>-2172.33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--43288.66</f>
        <v>43288.66</v>
      </c>
      <c r="U23" s="3"/>
      <c r="V23" s="26"/>
      <c r="W23" s="3"/>
      <c r="X23" s="3">
        <f t="shared" si="2"/>
        <v>-43288.66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","4045"," - ","TAXABLE SALES-SPECIAL ORDERS")</f>
        <v xml:space="preserve">          4045 - TAXABLE SALES-SPECIAL ORDERS</v>
      </c>
      <c r="C24" s="9"/>
      <c r="D24" s="3">
        <f>0</f>
        <v>0</v>
      </c>
      <c r="E24" s="3"/>
      <c r="F24" s="26"/>
      <c r="G24" s="3"/>
      <c r="H24" s="3">
        <f>--81300.55</f>
        <v>81300.55</v>
      </c>
      <c r="I24" s="3"/>
      <c r="J24" s="26"/>
      <c r="K24" s="3"/>
      <c r="L24" s="3">
        <f t="shared" si="0"/>
        <v>-81300.55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--314878.48</f>
        <v>314878.48</v>
      </c>
      <c r="U24" s="3"/>
      <c r="V24" s="26"/>
      <c r="W24" s="3"/>
      <c r="X24" s="3">
        <f t="shared" si="2"/>
        <v>-314878.48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","4081"," - ","TAXABLE SALES-ELECTRONICS")</f>
        <v xml:space="preserve">          4081 - TAXABLE SALES-ELECTRONICS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--71.95</f>
        <v>71.95</v>
      </c>
      <c r="U25" s="3"/>
      <c r="V25" s="26"/>
      <c r="W25" s="3"/>
      <c r="X25" s="3">
        <f t="shared" si="2"/>
        <v>-71.95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","4083"," - ","TAXABLE SALES-COMPUTER EQUIPME")</f>
        <v xml:space="preserve">          4083 - TAXABLE SALES-COMPUTER EQUIPME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--9.99</f>
        <v>9.99</v>
      </c>
      <c r="U26" s="3"/>
      <c r="V26" s="26"/>
      <c r="W26" s="3"/>
      <c r="X26" s="3">
        <f t="shared" si="2"/>
        <v>-9.99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","4100"," - ","NON-TAXABLE SALES")</f>
        <v xml:space="preserve">          4100 - NON-TAXABLE SALES</v>
      </c>
      <c r="C27" s="9"/>
      <c r="D27" s="3">
        <f>--30713.63</f>
        <v>30713.63</v>
      </c>
      <c r="E27" s="3"/>
      <c r="F27" s="26"/>
      <c r="G27" s="3"/>
      <c r="H27" s="3">
        <f>0</f>
        <v>0</v>
      </c>
      <c r="I27" s="3"/>
      <c r="J27" s="26"/>
      <c r="K27" s="3"/>
      <c r="L27" s="3">
        <f t="shared" si="0"/>
        <v>30713.63</v>
      </c>
      <c r="M27" s="3"/>
      <c r="N27" s="26">
        <f t="shared" si="1"/>
        <v>0</v>
      </c>
      <c r="O27" s="9"/>
      <c r="P27" s="3">
        <f>--669856.86</f>
        <v>669856.86</v>
      </c>
      <c r="Q27" s="3"/>
      <c r="R27" s="26"/>
      <c r="S27" s="3"/>
      <c r="T27" s="3">
        <f>0</f>
        <v>0</v>
      </c>
      <c r="U27" s="3"/>
      <c r="V27" s="26"/>
      <c r="W27" s="3"/>
      <c r="X27" s="3">
        <f t="shared" si="2"/>
        <v>669856.86</v>
      </c>
      <c r="Y27" s="3"/>
      <c r="Z27" s="26">
        <f t="shared" si="3"/>
        <v>0</v>
      </c>
    </row>
    <row r="28" spans="1:26" s="69" customFormat="1" ht="15" hidden="1" customHeight="1" outlineLevel="1" x14ac:dyDescent="0.3">
      <c r="A28" s="47"/>
      <c r="B28" s="9" t="str">
        <f>CONCATENATE("          ","4126"," - ","NON-TAXABLE SALES-WRITING INST")</f>
        <v xml:space="preserve">          4126 - NON-TAXABLE SALES-WRITING INST</v>
      </c>
      <c r="C28" s="9"/>
      <c r="D28" s="3">
        <f>0</f>
        <v>0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0</v>
      </c>
      <c r="M28" s="3"/>
      <c r="N28" s="26">
        <f t="shared" si="1"/>
        <v>0</v>
      </c>
      <c r="O28" s="9"/>
      <c r="P28" s="3">
        <f>0</f>
        <v>0</v>
      </c>
      <c r="Q28" s="3"/>
      <c r="R28" s="26"/>
      <c r="S28" s="3"/>
      <c r="T28" s="3">
        <f>--52.68</f>
        <v>52.68</v>
      </c>
      <c r="U28" s="3"/>
      <c r="V28" s="26"/>
      <c r="W28" s="3"/>
      <c r="X28" s="3">
        <f t="shared" si="2"/>
        <v>-52.68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","4127"," - ","NON-TAXABLE SALES-SCHOOL SUPPL")</f>
        <v xml:space="preserve">          4127 - NON-TAXABLE SALES-SCHOOL SUPPL</v>
      </c>
      <c r="C29" s="9"/>
      <c r="D29" s="3">
        <f>0</f>
        <v>0</v>
      </c>
      <c r="E29" s="3"/>
      <c r="F29" s="26"/>
      <c r="G29" s="3"/>
      <c r="H29" s="3">
        <f>--99.87</f>
        <v>99.87</v>
      </c>
      <c r="I29" s="3"/>
      <c r="J29" s="26"/>
      <c r="K29" s="3"/>
      <c r="L29" s="3">
        <f t="shared" si="0"/>
        <v>-99.87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--7748.6</f>
        <v>7748.6</v>
      </c>
      <c r="U29" s="3"/>
      <c r="V29" s="26"/>
      <c r="W29" s="3"/>
      <c r="X29" s="3">
        <f t="shared" si="2"/>
        <v>-7748.6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","4128"," - ","NON-TAXABLE SALES-ART/TECH")</f>
        <v xml:space="preserve">          4128 - NON-TAXABLE SALES-ART/TECH</v>
      </c>
      <c r="C30" s="9"/>
      <c r="D30" s="3">
        <f>0</f>
        <v>0</v>
      </c>
      <c r="E30" s="3"/>
      <c r="F30" s="26"/>
      <c r="G30" s="3"/>
      <c r="H30" s="3">
        <f>0</f>
        <v>0</v>
      </c>
      <c r="I30" s="3"/>
      <c r="J30" s="26"/>
      <c r="K30" s="3"/>
      <c r="L30" s="3">
        <f t="shared" si="0"/>
        <v>0</v>
      </c>
      <c r="M30" s="3"/>
      <c r="N30" s="26">
        <f t="shared" si="1"/>
        <v>0</v>
      </c>
      <c r="O30" s="9"/>
      <c r="P30" s="3">
        <f>0</f>
        <v>0</v>
      </c>
      <c r="Q30" s="3"/>
      <c r="R30" s="26"/>
      <c r="S30" s="3"/>
      <c r="T30" s="3">
        <f>--115.91</f>
        <v>115.91</v>
      </c>
      <c r="U30" s="3"/>
      <c r="V30" s="26"/>
      <c r="W30" s="3"/>
      <c r="X30" s="3">
        <f t="shared" si="2"/>
        <v>-115.91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","4131"," - ","NON-TAXABLE SALES-FOOD")</f>
        <v xml:space="preserve">          4131 - NON-TAXABLE SALES-FOOD</v>
      </c>
      <c r="C31" s="9"/>
      <c r="D31" s="3">
        <f>0</f>
        <v>0</v>
      </c>
      <c r="E31" s="3"/>
      <c r="F31" s="26"/>
      <c r="G31" s="3"/>
      <c r="H31" s="3">
        <f>--540.62</f>
        <v>540.62</v>
      </c>
      <c r="I31" s="3"/>
      <c r="J31" s="26"/>
      <c r="K31" s="3"/>
      <c r="L31" s="3">
        <f t="shared" si="0"/>
        <v>-540.62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--12696.76</f>
        <v>12696.76</v>
      </c>
      <c r="U31" s="3"/>
      <c r="V31" s="26"/>
      <c r="W31" s="3"/>
      <c r="X31" s="3">
        <f t="shared" si="2"/>
        <v>-12696.76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","4132"," - ","NON-TAXABLE SALES-JUICE")</f>
        <v xml:space="preserve">          4132 - NON-TAXABLE SALES-JUICE</v>
      </c>
      <c r="C32" s="9"/>
      <c r="D32" s="3">
        <f>0</f>
        <v>0</v>
      </c>
      <c r="E32" s="3"/>
      <c r="F32" s="26"/>
      <c r="G32" s="3"/>
      <c r="H32" s="3">
        <f>0</f>
        <v>0</v>
      </c>
      <c r="I32" s="3"/>
      <c r="J32" s="26"/>
      <c r="K32" s="3"/>
      <c r="L32" s="3">
        <f t="shared" si="0"/>
        <v>0</v>
      </c>
      <c r="M32" s="3"/>
      <c r="N32" s="26">
        <f t="shared" si="1"/>
        <v>0</v>
      </c>
      <c r="O32" s="9"/>
      <c r="P32" s="3">
        <f>0</f>
        <v>0</v>
      </c>
      <c r="Q32" s="3"/>
      <c r="R32" s="26"/>
      <c r="S32" s="3"/>
      <c r="T32" s="3">
        <f>--22.49</f>
        <v>22.49</v>
      </c>
      <c r="U32" s="3"/>
      <c r="V32" s="26"/>
      <c r="W32" s="3"/>
      <c r="X32" s="3">
        <f t="shared" si="2"/>
        <v>-22.49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","4133"," - ","NON-TAXABLE SALES-CANDY")</f>
        <v xml:space="preserve">          4133 - NON-TAXABLE SALES-CANDY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--80.71</f>
        <v>80.709999999999994</v>
      </c>
      <c r="U33" s="3"/>
      <c r="V33" s="26"/>
      <c r="W33" s="3"/>
      <c r="X33" s="3">
        <f t="shared" si="2"/>
        <v>-80.709999999999994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","4134"," - ","NON-TAXABLE SALES-SODA")</f>
        <v xml:space="preserve">          4134 - NON-TAXABLE SALES-SODA</v>
      </c>
      <c r="C34" s="9"/>
      <c r="D34" s="3">
        <f>0</f>
        <v>0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0</v>
      </c>
      <c r="M34" s="3"/>
      <c r="N34" s="26">
        <f t="shared" si="1"/>
        <v>0</v>
      </c>
      <c r="O34" s="9"/>
      <c r="P34" s="3">
        <f>0</f>
        <v>0</v>
      </c>
      <c r="Q34" s="3"/>
      <c r="R34" s="26"/>
      <c r="S34" s="3"/>
      <c r="T34" s="3">
        <f>--45.53</f>
        <v>45.53</v>
      </c>
      <c r="U34" s="3"/>
      <c r="V34" s="26"/>
      <c r="W34" s="3"/>
      <c r="X34" s="3">
        <f t="shared" si="2"/>
        <v>-45.53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","4137"," - ","NON-TAXABLE SALES-WATER")</f>
        <v xml:space="preserve">          4137 - NON-TAXABLE SALES-WATER</v>
      </c>
      <c r="C35" s="9"/>
      <c r="D35" s="3">
        <f>0</f>
        <v>0</v>
      </c>
      <c r="E35" s="3"/>
      <c r="F35" s="26"/>
      <c r="G35" s="3"/>
      <c r="H35" s="3">
        <f>0</f>
        <v>0</v>
      </c>
      <c r="I35" s="3"/>
      <c r="J35" s="26"/>
      <c r="K35" s="3"/>
      <c r="L35" s="3">
        <f t="shared" si="0"/>
        <v>0</v>
      </c>
      <c r="M35" s="3"/>
      <c r="N35" s="26">
        <f t="shared" si="1"/>
        <v>0</v>
      </c>
      <c r="O35" s="9"/>
      <c r="P35" s="3">
        <f>0</f>
        <v>0</v>
      </c>
      <c r="Q35" s="3"/>
      <c r="R35" s="26"/>
      <c r="S35" s="3"/>
      <c r="T35" s="3">
        <f>--68.25</f>
        <v>68.25</v>
      </c>
      <c r="U35" s="3"/>
      <c r="V35" s="26"/>
      <c r="W35" s="3"/>
      <c r="X35" s="3">
        <f t="shared" si="2"/>
        <v>-68.25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","4140"," - ","NON-TAXABLE SALES-LOGO CLOTHIN")</f>
        <v xml:space="preserve">          4140 - NON-TAXABLE SALES-LOGO CLOTHIN</v>
      </c>
      <c r="C36" s="9"/>
      <c r="D36" s="3">
        <f>0</f>
        <v>0</v>
      </c>
      <c r="E36" s="3"/>
      <c r="F36" s="26"/>
      <c r="G36" s="3"/>
      <c r="H36" s="3">
        <f>--9520.45</f>
        <v>9520.4500000000007</v>
      </c>
      <c r="I36" s="3"/>
      <c r="J36" s="26"/>
      <c r="K36" s="3"/>
      <c r="L36" s="3">
        <f t="shared" si="0"/>
        <v>-9520.4500000000007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--181046.21</f>
        <v>181046.21</v>
      </c>
      <c r="U36" s="3"/>
      <c r="V36" s="26"/>
      <c r="W36" s="3"/>
      <c r="X36" s="3">
        <f t="shared" si="2"/>
        <v>-181046.21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","4141"," - ","NON-TAXABLE SALES-LOGO GIFTS")</f>
        <v xml:space="preserve">          4141 - NON-TAXABLE SALES-LOGO GIFTS</v>
      </c>
      <c r="C37" s="9"/>
      <c r="D37" s="3">
        <f>0</f>
        <v>0</v>
      </c>
      <c r="E37" s="3"/>
      <c r="F37" s="26"/>
      <c r="G37" s="3"/>
      <c r="H37" s="3">
        <f>-25127.54</f>
        <v>-25127.54</v>
      </c>
      <c r="I37" s="3"/>
      <c r="J37" s="26"/>
      <c r="K37" s="3"/>
      <c r="L37" s="3">
        <f t="shared" si="0"/>
        <v>25127.54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--12272.45</f>
        <v>12272.45</v>
      </c>
      <c r="U37" s="3"/>
      <c r="V37" s="26"/>
      <c r="W37" s="3"/>
      <c r="X37" s="3">
        <f t="shared" si="2"/>
        <v>-12272.45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","4142"," - ","NON-TAXABLE SALES-EVERYDAY GIF")</f>
        <v xml:space="preserve">          4142 - NON-TAXABLE SALES-EVERYDAY GIF</v>
      </c>
      <c r="C38" s="9"/>
      <c r="D38" s="3">
        <f>0</f>
        <v>0</v>
      </c>
      <c r="E38" s="3"/>
      <c r="F38" s="26"/>
      <c r="G38" s="3"/>
      <c r="H38" s="3">
        <f>--54.07</f>
        <v>54.07</v>
      </c>
      <c r="I38" s="3"/>
      <c r="J38" s="26"/>
      <c r="K38" s="3"/>
      <c r="L38" s="3">
        <f t="shared" si="0"/>
        <v>-54.07</v>
      </c>
      <c r="M38" s="3"/>
      <c r="N38" s="26">
        <f t="shared" si="1"/>
        <v>-1</v>
      </c>
      <c r="O38" s="9"/>
      <c r="P38" s="3">
        <f>0</f>
        <v>0</v>
      </c>
      <c r="Q38" s="3"/>
      <c r="R38" s="26"/>
      <c r="S38" s="3"/>
      <c r="T38" s="3">
        <f>--1521.44</f>
        <v>1521.44</v>
      </c>
      <c r="U38" s="3"/>
      <c r="V38" s="26"/>
      <c r="W38" s="3"/>
      <c r="X38" s="3">
        <f t="shared" si="2"/>
        <v>-1521.44</v>
      </c>
      <c r="Y38" s="3"/>
      <c r="Z38" s="26">
        <f t="shared" si="3"/>
        <v>-1</v>
      </c>
    </row>
    <row r="39" spans="1:26" s="69" customFormat="1" ht="15" hidden="1" customHeight="1" outlineLevel="1" x14ac:dyDescent="0.3">
      <c r="A39" s="47"/>
      <c r="B39" s="9" t="str">
        <f>CONCATENATE("          ","4143"," - ","NON-TAXABLE SALES-CARDS")</f>
        <v xml:space="preserve">          4143 - NON-TAXABLE SALES-CARDS</v>
      </c>
      <c r="C39" s="9"/>
      <c r="D39" s="3">
        <f>0</f>
        <v>0</v>
      </c>
      <c r="E39" s="3"/>
      <c r="F39" s="26"/>
      <c r="G39" s="3"/>
      <c r="H39" s="3">
        <f>--9.95</f>
        <v>9.9499999999999993</v>
      </c>
      <c r="I39" s="3"/>
      <c r="J39" s="26"/>
      <c r="K39" s="3"/>
      <c r="L39" s="3">
        <f t="shared" si="0"/>
        <v>-9.9499999999999993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--2562.11</f>
        <v>2562.11</v>
      </c>
      <c r="U39" s="3"/>
      <c r="V39" s="26"/>
      <c r="W39" s="3"/>
      <c r="X39" s="3">
        <f t="shared" si="2"/>
        <v>-2562.11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","4144"," - ","NON-TAXABLE SALES-ACCESSORIES")</f>
        <v xml:space="preserve">          4144 - NON-TAXABLE SALES-ACCESSORIES</v>
      </c>
      <c r="C40" s="9"/>
      <c r="D40" s="3">
        <f>0</f>
        <v>0</v>
      </c>
      <c r="E40" s="3"/>
      <c r="F40" s="26"/>
      <c r="G40" s="3"/>
      <c r="H40" s="3">
        <f>--129.75</f>
        <v>129.75</v>
      </c>
      <c r="I40" s="3"/>
      <c r="J40" s="26"/>
      <c r="K40" s="3"/>
      <c r="L40" s="3">
        <f t="shared" si="0"/>
        <v>-129.75</v>
      </c>
      <c r="M40" s="3"/>
      <c r="N40" s="26">
        <f t="shared" si="1"/>
        <v>-1</v>
      </c>
      <c r="O40" s="9"/>
      <c r="P40" s="3">
        <f>0</f>
        <v>0</v>
      </c>
      <c r="Q40" s="3"/>
      <c r="R40" s="26"/>
      <c r="S40" s="3"/>
      <c r="T40" s="3">
        <f>--1003.55</f>
        <v>1003.55</v>
      </c>
      <c r="U40" s="3"/>
      <c r="V40" s="26"/>
      <c r="W40" s="3"/>
      <c r="X40" s="3">
        <f t="shared" si="2"/>
        <v>-1003.55</v>
      </c>
      <c r="Y40" s="3"/>
      <c r="Z40" s="26">
        <f t="shared" si="3"/>
        <v>-1</v>
      </c>
    </row>
    <row r="41" spans="1:26" s="69" customFormat="1" ht="15" hidden="1" customHeight="1" outlineLevel="1" x14ac:dyDescent="0.3">
      <c r="A41" s="47"/>
      <c r="B41" s="9" t="str">
        <f>CONCATENATE("          ","4145"," - ","NON-TAXABLE SALES-SPECIAL ORDE")</f>
        <v xml:space="preserve">          4145 - NON-TAXABLE SALES-SPECIAL ORDE</v>
      </c>
      <c r="C41" s="9"/>
      <c r="D41" s="3">
        <f>0</f>
        <v>0</v>
      </c>
      <c r="E41" s="3"/>
      <c r="F41" s="26"/>
      <c r="G41" s="3"/>
      <c r="H41" s="3">
        <f>--30</f>
        <v>30</v>
      </c>
      <c r="I41" s="3"/>
      <c r="J41" s="26"/>
      <c r="K41" s="3"/>
      <c r="L41" s="3">
        <f t="shared" si="0"/>
        <v>-30</v>
      </c>
      <c r="M41" s="3"/>
      <c r="N41" s="26">
        <f t="shared" si="1"/>
        <v>-1</v>
      </c>
      <c r="O41" s="9"/>
      <c r="P41" s="3">
        <f>0</f>
        <v>0</v>
      </c>
      <c r="Q41" s="3"/>
      <c r="R41" s="26"/>
      <c r="S41" s="3"/>
      <c r="T41" s="3">
        <f>--74096.89</f>
        <v>74096.89</v>
      </c>
      <c r="U41" s="3"/>
      <c r="V41" s="26"/>
      <c r="W41" s="3"/>
      <c r="X41" s="3">
        <f t="shared" si="2"/>
        <v>-74096.89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","4200"," - ","TAXABLE RETURNS")</f>
        <v xml:space="preserve">          4200 - TAXABLE RETURNS</v>
      </c>
      <c r="C42" s="9"/>
      <c r="D42" s="3">
        <f>-19314.84</f>
        <v>-19314.84</v>
      </c>
      <c r="E42" s="3"/>
      <c r="F42" s="26"/>
      <c r="G42" s="3"/>
      <c r="H42" s="3">
        <f>0</f>
        <v>0</v>
      </c>
      <c r="I42" s="3"/>
      <c r="J42" s="26"/>
      <c r="K42" s="3"/>
      <c r="L42" s="3">
        <f t="shared" si="0"/>
        <v>-19314.84</v>
      </c>
      <c r="M42" s="3"/>
      <c r="N42" s="26">
        <f t="shared" si="1"/>
        <v>0</v>
      </c>
      <c r="O42" s="9"/>
      <c r="P42" s="3">
        <f>-175491.71</f>
        <v>-175491.71</v>
      </c>
      <c r="Q42" s="3"/>
      <c r="R42" s="26"/>
      <c r="S42" s="3"/>
      <c r="T42" s="3">
        <f>0</f>
        <v>0</v>
      </c>
      <c r="U42" s="3"/>
      <c r="V42" s="26"/>
      <c r="W42" s="3"/>
      <c r="X42" s="3">
        <f t="shared" si="2"/>
        <v>-175491.71</v>
      </c>
      <c r="Y42" s="3"/>
      <c r="Z42" s="26">
        <f t="shared" si="3"/>
        <v>0</v>
      </c>
    </row>
    <row r="43" spans="1:26" s="69" customFormat="1" ht="15" hidden="1" customHeight="1" outlineLevel="1" x14ac:dyDescent="0.3">
      <c r="A43" s="47"/>
      <c r="B43" s="9" t="str">
        <f>CONCATENATE("          ","4226"," - ","SALES RETURN TAXABLE-WRITING I")</f>
        <v xml:space="preserve">          4226 - SALES RETURN TAXABLE-WRITING I</v>
      </c>
      <c r="C43" s="9"/>
      <c r="D43" s="3">
        <f>0</f>
        <v>0</v>
      </c>
      <c r="E43" s="3"/>
      <c r="F43" s="26"/>
      <c r="G43" s="3"/>
      <c r="H43" s="3">
        <f>0</f>
        <v>0</v>
      </c>
      <c r="I43" s="3"/>
      <c r="J43" s="26"/>
      <c r="K43" s="3"/>
      <c r="L43" s="3">
        <f t="shared" si="0"/>
        <v>0</v>
      </c>
      <c r="M43" s="3"/>
      <c r="N43" s="26">
        <f t="shared" si="1"/>
        <v>0</v>
      </c>
      <c r="O43" s="9"/>
      <c r="P43" s="3">
        <f>0</f>
        <v>0</v>
      </c>
      <c r="Q43" s="3"/>
      <c r="R43" s="26"/>
      <c r="S43" s="3"/>
      <c r="T43" s="3">
        <f>-35.02</f>
        <v>-35.020000000000003</v>
      </c>
      <c r="U43" s="3"/>
      <c r="V43" s="26"/>
      <c r="W43" s="3"/>
      <c r="X43" s="3">
        <f t="shared" si="2"/>
        <v>35.020000000000003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","4227"," - ","SALES RETURN TAXABLE-SCHOOL SU")</f>
        <v xml:space="preserve">          4227 - SALES RETURN TAXABLE-SCHOOL SU</v>
      </c>
      <c r="C44" s="9"/>
      <c r="D44" s="3">
        <f>0</f>
        <v>0</v>
      </c>
      <c r="E44" s="3"/>
      <c r="F44" s="26"/>
      <c r="G44" s="3"/>
      <c r="H44" s="3">
        <f>-80.63</f>
        <v>-80.63</v>
      </c>
      <c r="I44" s="3"/>
      <c r="J44" s="26"/>
      <c r="K44" s="3"/>
      <c r="L44" s="3">
        <f t="shared" si="0"/>
        <v>80.63</v>
      </c>
      <c r="M44" s="3"/>
      <c r="N44" s="26">
        <f t="shared" si="1"/>
        <v>-1</v>
      </c>
      <c r="O44" s="9"/>
      <c r="P44" s="3">
        <f>0</f>
        <v>0</v>
      </c>
      <c r="Q44" s="3"/>
      <c r="R44" s="26"/>
      <c r="S44" s="3"/>
      <c r="T44" s="3">
        <f>-1565.11</f>
        <v>-1565.11</v>
      </c>
      <c r="U44" s="3"/>
      <c r="V44" s="26"/>
      <c r="W44" s="3"/>
      <c r="X44" s="3">
        <f t="shared" si="2"/>
        <v>1565.11</v>
      </c>
      <c r="Y44" s="3"/>
      <c r="Z44" s="26">
        <f t="shared" si="3"/>
        <v>-1</v>
      </c>
    </row>
    <row r="45" spans="1:26" s="69" customFormat="1" ht="15" hidden="1" customHeight="1" outlineLevel="1" x14ac:dyDescent="0.3">
      <c r="A45" s="47"/>
      <c r="B45" s="9" t="str">
        <f>CONCATENATE("          ","4228"," - ","SALES RETURN TAXABLE-ART/TECH")</f>
        <v xml:space="preserve">          4228 - SALES RETURN TAXABLE-ART/TECH</v>
      </c>
      <c r="C45" s="9"/>
      <c r="D45" s="3">
        <f>0</f>
        <v>0</v>
      </c>
      <c r="E45" s="3"/>
      <c r="F45" s="26"/>
      <c r="G45" s="3"/>
      <c r="H45" s="3">
        <f>-105.6</f>
        <v>-105.6</v>
      </c>
      <c r="I45" s="3"/>
      <c r="J45" s="26"/>
      <c r="K45" s="3"/>
      <c r="L45" s="3">
        <f t="shared" si="0"/>
        <v>105.6</v>
      </c>
      <c r="M45" s="3"/>
      <c r="N45" s="26">
        <f t="shared" si="1"/>
        <v>-1</v>
      </c>
      <c r="O45" s="9"/>
      <c r="P45" s="3">
        <f>0</f>
        <v>0</v>
      </c>
      <c r="Q45" s="3"/>
      <c r="R45" s="26"/>
      <c r="S45" s="3"/>
      <c r="T45" s="3">
        <f>-13079.33</f>
        <v>-13079.33</v>
      </c>
      <c r="U45" s="3"/>
      <c r="V45" s="26"/>
      <c r="W45" s="3"/>
      <c r="X45" s="3">
        <f t="shared" si="2"/>
        <v>13079.33</v>
      </c>
      <c r="Y45" s="3"/>
      <c r="Z45" s="26">
        <f t="shared" si="3"/>
        <v>-1</v>
      </c>
    </row>
    <row r="46" spans="1:26" s="69" customFormat="1" ht="15" hidden="1" customHeight="1" outlineLevel="1" x14ac:dyDescent="0.3">
      <c r="A46" s="47"/>
      <c r="B46" s="9" t="str">
        <f>CONCATENATE("          ","4240"," - ","SALES RETURN TAXABLE-LOGO CLOT")</f>
        <v xml:space="preserve">          4240 - SALES RETURN TAXABLE-LOGO CLOT</v>
      </c>
      <c r="C46" s="9"/>
      <c r="D46" s="3">
        <f>0</f>
        <v>0</v>
      </c>
      <c r="E46" s="3"/>
      <c r="F46" s="26"/>
      <c r="G46" s="3"/>
      <c r="H46" s="3">
        <f>-4795.71</f>
        <v>-4795.71</v>
      </c>
      <c r="I46" s="3"/>
      <c r="J46" s="26"/>
      <c r="K46" s="3"/>
      <c r="L46" s="3">
        <f t="shared" si="0"/>
        <v>4795.71</v>
      </c>
      <c r="M46" s="3"/>
      <c r="N46" s="26">
        <f t="shared" si="1"/>
        <v>-1</v>
      </c>
      <c r="O46" s="9"/>
      <c r="P46" s="3">
        <f>0</f>
        <v>0</v>
      </c>
      <c r="Q46" s="3"/>
      <c r="R46" s="26"/>
      <c r="S46" s="3"/>
      <c r="T46" s="3">
        <f>-51889.15</f>
        <v>-51889.15</v>
      </c>
      <c r="U46" s="3"/>
      <c r="V46" s="26"/>
      <c r="W46" s="3"/>
      <c r="X46" s="3">
        <f t="shared" si="2"/>
        <v>51889.15</v>
      </c>
      <c r="Y46" s="3"/>
      <c r="Z46" s="26">
        <f t="shared" si="3"/>
        <v>-1</v>
      </c>
    </row>
    <row r="47" spans="1:26" s="69" customFormat="1" ht="15" hidden="1" customHeight="1" outlineLevel="1" x14ac:dyDescent="0.3">
      <c r="A47" s="47"/>
      <c r="B47" s="9" t="str">
        <f>CONCATENATE("          ","4241"," - ","SALES RETURN TAXABLE-LOGO GIFT")</f>
        <v xml:space="preserve">          4241 - SALES RETURN TAXABLE-LOGO GIFT</v>
      </c>
      <c r="C47" s="9"/>
      <c r="D47" s="3">
        <f>0</f>
        <v>0</v>
      </c>
      <c r="E47" s="3"/>
      <c r="F47" s="26"/>
      <c r="G47" s="3"/>
      <c r="H47" s="3">
        <f>-1907.39</f>
        <v>-1907.39</v>
      </c>
      <c r="I47" s="3"/>
      <c r="J47" s="26"/>
      <c r="K47" s="3"/>
      <c r="L47" s="3">
        <f t="shared" si="0"/>
        <v>1907.39</v>
      </c>
      <c r="M47" s="3"/>
      <c r="N47" s="26">
        <f t="shared" si="1"/>
        <v>-1</v>
      </c>
      <c r="O47" s="9"/>
      <c r="P47" s="3">
        <f>0</f>
        <v>0</v>
      </c>
      <c r="Q47" s="3"/>
      <c r="R47" s="26"/>
      <c r="S47" s="3"/>
      <c r="T47" s="3">
        <f>-17294.93</f>
        <v>-17294.93</v>
      </c>
      <c r="U47" s="3"/>
      <c r="V47" s="26"/>
      <c r="W47" s="3"/>
      <c r="X47" s="3">
        <f t="shared" si="2"/>
        <v>17294.93</v>
      </c>
      <c r="Y47" s="3"/>
      <c r="Z47" s="26">
        <f t="shared" si="3"/>
        <v>-1</v>
      </c>
    </row>
    <row r="48" spans="1:26" s="69" customFormat="1" ht="15" hidden="1" customHeight="1" outlineLevel="1" x14ac:dyDescent="0.3">
      <c r="A48" s="47"/>
      <c r="B48" s="9" t="str">
        <f>CONCATENATE("          ","4242"," - ","SALES RETURN TAXABLE-EVERYDAY")</f>
        <v xml:space="preserve">          4242 - SALES RETURN TAXABLE-EVERYDAY</v>
      </c>
      <c r="C48" s="9"/>
      <c r="D48" s="3">
        <f>0</f>
        <v>0</v>
      </c>
      <c r="E48" s="3"/>
      <c r="F48" s="26"/>
      <c r="G48" s="3"/>
      <c r="H48" s="3">
        <f>-131.98</f>
        <v>-131.97999999999999</v>
      </c>
      <c r="I48" s="3"/>
      <c r="J48" s="26"/>
      <c r="K48" s="3"/>
      <c r="L48" s="3">
        <f t="shared" si="0"/>
        <v>131.97999999999999</v>
      </c>
      <c r="M48" s="3"/>
      <c r="N48" s="26">
        <f t="shared" si="1"/>
        <v>-1</v>
      </c>
      <c r="O48" s="9"/>
      <c r="P48" s="3">
        <f>0</f>
        <v>0</v>
      </c>
      <c r="Q48" s="3"/>
      <c r="R48" s="26"/>
      <c r="S48" s="3"/>
      <c r="T48" s="3">
        <f>-2875.07</f>
        <v>-2875.07</v>
      </c>
      <c r="U48" s="3"/>
      <c r="V48" s="26"/>
      <c r="W48" s="3"/>
      <c r="X48" s="3">
        <f t="shared" si="2"/>
        <v>2875.07</v>
      </c>
      <c r="Y48" s="3"/>
      <c r="Z48" s="26">
        <f t="shared" si="3"/>
        <v>-1</v>
      </c>
    </row>
    <row r="49" spans="1:26" s="69" customFormat="1" ht="15" hidden="1" customHeight="1" outlineLevel="1" x14ac:dyDescent="0.3">
      <c r="A49" s="47"/>
      <c r="B49" s="9" t="str">
        <f>CONCATENATE("          ","4243"," - ","SALES RETURN TAXABLE-CARDS")</f>
        <v xml:space="preserve">          4243 - SALES RETURN TAXABLE-CARDS</v>
      </c>
      <c r="C49" s="9"/>
      <c r="D49" s="3">
        <f>0</f>
        <v>0</v>
      </c>
      <c r="E49" s="3"/>
      <c r="F49" s="26"/>
      <c r="G49" s="3"/>
      <c r="H49" s="3">
        <f>-9.99</f>
        <v>-9.99</v>
      </c>
      <c r="I49" s="3"/>
      <c r="J49" s="26"/>
      <c r="K49" s="3"/>
      <c r="L49" s="3">
        <f t="shared" si="0"/>
        <v>9.99</v>
      </c>
      <c r="M49" s="3"/>
      <c r="N49" s="26">
        <f t="shared" si="1"/>
        <v>-1</v>
      </c>
      <c r="O49" s="9"/>
      <c r="P49" s="3">
        <f>0</f>
        <v>0</v>
      </c>
      <c r="Q49" s="3"/>
      <c r="R49" s="26"/>
      <c r="S49" s="3"/>
      <c r="T49" s="3">
        <f>-6228.98</f>
        <v>-6228.98</v>
      </c>
      <c r="U49" s="3"/>
      <c r="V49" s="26"/>
      <c r="W49" s="3"/>
      <c r="X49" s="3">
        <f t="shared" si="2"/>
        <v>6228.98</v>
      </c>
      <c r="Y49" s="3"/>
      <c r="Z49" s="26">
        <f t="shared" si="3"/>
        <v>-1</v>
      </c>
    </row>
    <row r="50" spans="1:26" s="69" customFormat="1" ht="15" hidden="1" customHeight="1" outlineLevel="1" x14ac:dyDescent="0.3">
      <c r="A50" s="47"/>
      <c r="B50" s="9" t="str">
        <f>CONCATENATE("          ","4244"," - ","SALES RETURN TAXABLE-ACCESSORI")</f>
        <v xml:space="preserve">          4244 - SALES RETURN TAXABLE-ACCESSORI</v>
      </c>
      <c r="C50" s="9"/>
      <c r="D50" s="3">
        <f>0</f>
        <v>0</v>
      </c>
      <c r="E50" s="3"/>
      <c r="F50" s="26"/>
      <c r="G50" s="3"/>
      <c r="H50" s="3">
        <f>-34.84</f>
        <v>-34.840000000000003</v>
      </c>
      <c r="I50" s="3"/>
      <c r="J50" s="26"/>
      <c r="K50" s="3"/>
      <c r="L50" s="3">
        <f t="shared" si="0"/>
        <v>34.840000000000003</v>
      </c>
      <c r="M50" s="3"/>
      <c r="N50" s="26">
        <f t="shared" si="1"/>
        <v>-1</v>
      </c>
      <c r="O50" s="9"/>
      <c r="P50" s="3">
        <f>0</f>
        <v>0</v>
      </c>
      <c r="Q50" s="3"/>
      <c r="R50" s="26"/>
      <c r="S50" s="3"/>
      <c r="T50" s="3">
        <f>-1302.75</f>
        <v>-1302.75</v>
      </c>
      <c r="U50" s="3"/>
      <c r="V50" s="26"/>
      <c r="W50" s="3"/>
      <c r="X50" s="3">
        <f t="shared" si="2"/>
        <v>1302.75</v>
      </c>
      <c r="Y50" s="3"/>
      <c r="Z50" s="26">
        <f t="shared" si="3"/>
        <v>-1</v>
      </c>
    </row>
    <row r="51" spans="1:26" s="69" customFormat="1" ht="15" hidden="1" customHeight="1" outlineLevel="1" x14ac:dyDescent="0.3">
      <c r="A51" s="47"/>
      <c r="B51" s="9" t="str">
        <f>CONCATENATE("          ","4245"," - ","SALES RETURN TAXABLE-SPECIAL O")</f>
        <v xml:space="preserve">          4245 - SALES RETURN TAXABLE-SPECIAL O</v>
      </c>
      <c r="C51" s="9"/>
      <c r="D51" s="3">
        <f>0</f>
        <v>0</v>
      </c>
      <c r="E51" s="3"/>
      <c r="F51" s="26"/>
      <c r="G51" s="3"/>
      <c r="H51" s="3">
        <f>-3318.4</f>
        <v>-3318.4</v>
      </c>
      <c r="I51" s="3"/>
      <c r="J51" s="26"/>
      <c r="K51" s="3"/>
      <c r="L51" s="3">
        <f t="shared" si="0"/>
        <v>3318.4</v>
      </c>
      <c r="M51" s="3"/>
      <c r="N51" s="26">
        <f t="shared" si="1"/>
        <v>-1</v>
      </c>
      <c r="O51" s="9"/>
      <c r="P51" s="3">
        <f>0</f>
        <v>0</v>
      </c>
      <c r="Q51" s="3"/>
      <c r="R51" s="26"/>
      <c r="S51" s="3"/>
      <c r="T51" s="3">
        <f>-18779.13</f>
        <v>-18779.13</v>
      </c>
      <c r="U51" s="3"/>
      <c r="V51" s="26"/>
      <c r="W51" s="3"/>
      <c r="X51" s="3">
        <f t="shared" si="2"/>
        <v>18779.13</v>
      </c>
      <c r="Y51" s="3"/>
      <c r="Z51" s="26">
        <f t="shared" si="3"/>
        <v>-1</v>
      </c>
    </row>
    <row r="52" spans="1:26" s="69" customFormat="1" ht="15" hidden="1" customHeight="1" outlineLevel="1" x14ac:dyDescent="0.3">
      <c r="A52" s="47"/>
      <c r="B52" s="9" t="str">
        <f>CONCATENATE("          ","4300"," - ","NON-TAX RETURNS")</f>
        <v xml:space="preserve">          4300 - NON-TAX RETURNS</v>
      </c>
      <c r="C52" s="9"/>
      <c r="D52" s="3">
        <f>-364.5</f>
        <v>-364.5</v>
      </c>
      <c r="E52" s="3"/>
      <c r="F52" s="26"/>
      <c r="G52" s="3"/>
      <c r="H52" s="3">
        <f>0</f>
        <v>0</v>
      </c>
      <c r="I52" s="3"/>
      <c r="J52" s="26"/>
      <c r="K52" s="3"/>
      <c r="L52" s="3">
        <f t="shared" si="0"/>
        <v>-364.5</v>
      </c>
      <c r="M52" s="3"/>
      <c r="N52" s="26">
        <f t="shared" si="1"/>
        <v>0</v>
      </c>
      <c r="O52" s="9"/>
      <c r="P52" s="3">
        <f>-3861.19</f>
        <v>-3861.19</v>
      </c>
      <c r="Q52" s="3"/>
      <c r="R52" s="26"/>
      <c r="S52" s="3"/>
      <c r="T52" s="3">
        <f>0</f>
        <v>0</v>
      </c>
      <c r="U52" s="3"/>
      <c r="V52" s="26"/>
      <c r="W52" s="3"/>
      <c r="X52" s="3">
        <f t="shared" si="2"/>
        <v>-3861.19</v>
      </c>
      <c r="Y52" s="3"/>
      <c r="Z52" s="26">
        <f t="shared" si="3"/>
        <v>0</v>
      </c>
    </row>
    <row r="53" spans="1:26" s="69" customFormat="1" ht="15" hidden="1" customHeight="1" outlineLevel="1" x14ac:dyDescent="0.3">
      <c r="A53" s="47"/>
      <c r="B53" s="9" t="str">
        <f>CONCATENATE("          ","4327"," - ","SALES RETURN NON TAXABLE-SCHOO")</f>
        <v xml:space="preserve">          4327 - SALES RETURN NON TAXABLE-SCHOO</v>
      </c>
      <c r="C53" s="9"/>
      <c r="D53" s="3">
        <f>0</f>
        <v>0</v>
      </c>
      <c r="E53" s="3"/>
      <c r="F53" s="26"/>
      <c r="G53" s="3"/>
      <c r="H53" s="3">
        <f>0</f>
        <v>0</v>
      </c>
      <c r="I53" s="3"/>
      <c r="J53" s="26"/>
      <c r="K53" s="3"/>
      <c r="L53" s="3">
        <f t="shared" si="0"/>
        <v>0</v>
      </c>
      <c r="M53" s="3"/>
      <c r="N53" s="26">
        <f t="shared" si="1"/>
        <v>0</v>
      </c>
      <c r="O53" s="9"/>
      <c r="P53" s="3">
        <f>0</f>
        <v>0</v>
      </c>
      <c r="Q53" s="3"/>
      <c r="R53" s="26"/>
      <c r="S53" s="3"/>
      <c r="T53" s="3">
        <f>-17.41</f>
        <v>-17.41</v>
      </c>
      <c r="U53" s="3"/>
      <c r="V53" s="26"/>
      <c r="W53" s="3"/>
      <c r="X53" s="3">
        <f t="shared" si="2"/>
        <v>17.41</v>
      </c>
      <c r="Y53" s="3"/>
      <c r="Z53" s="26">
        <f t="shared" si="3"/>
        <v>-1</v>
      </c>
    </row>
    <row r="54" spans="1:26" s="69" customFormat="1" ht="15" hidden="1" customHeight="1" outlineLevel="1" x14ac:dyDescent="0.3">
      <c r="A54" s="47"/>
      <c r="B54" s="9" t="str">
        <f>CONCATENATE("          ","4340"," - ","SALES RETURN NON TAXABLE-LOGO")</f>
        <v xml:space="preserve">          4340 - SALES RETURN NON TAXABLE-LOGO</v>
      </c>
      <c r="C54" s="9"/>
      <c r="D54" s="3">
        <f>0</f>
        <v>0</v>
      </c>
      <c r="E54" s="3"/>
      <c r="F54" s="26"/>
      <c r="G54" s="3"/>
      <c r="H54" s="3">
        <f>-286.5</f>
        <v>-286.5</v>
      </c>
      <c r="I54" s="3"/>
      <c r="J54" s="26"/>
      <c r="K54" s="3"/>
      <c r="L54" s="3">
        <f t="shared" si="0"/>
        <v>286.5</v>
      </c>
      <c r="M54" s="3"/>
      <c r="N54" s="26">
        <f t="shared" si="1"/>
        <v>-1</v>
      </c>
      <c r="O54" s="9"/>
      <c r="P54" s="3">
        <f>0</f>
        <v>0</v>
      </c>
      <c r="Q54" s="3"/>
      <c r="R54" s="26"/>
      <c r="S54" s="3"/>
      <c r="T54" s="3">
        <f>-3737.76</f>
        <v>-3737.76</v>
      </c>
      <c r="U54" s="3"/>
      <c r="V54" s="26"/>
      <c r="W54" s="3"/>
      <c r="X54" s="3">
        <f t="shared" si="2"/>
        <v>3737.76</v>
      </c>
      <c r="Y54" s="3"/>
      <c r="Z54" s="26">
        <f t="shared" si="3"/>
        <v>-1</v>
      </c>
    </row>
    <row r="55" spans="1:26" s="69" customFormat="1" ht="15" hidden="1" customHeight="1" outlineLevel="1" x14ac:dyDescent="0.3">
      <c r="A55" s="47"/>
      <c r="B55" s="9" t="str">
        <f>CONCATENATE("          ","4341"," - ","SALES RETURN NON TAXABLE-LOGO")</f>
        <v xml:space="preserve">          4341 - SALES RETURN NON TAXABLE-LOGO</v>
      </c>
      <c r="C55" s="9"/>
      <c r="D55" s="3">
        <f>0</f>
        <v>0</v>
      </c>
      <c r="E55" s="3"/>
      <c r="F55" s="26"/>
      <c r="G55" s="3"/>
      <c r="H55" s="3">
        <f>-20.85</f>
        <v>-20.85</v>
      </c>
      <c r="I55" s="3"/>
      <c r="J55" s="26"/>
      <c r="K55" s="3"/>
      <c r="L55" s="3">
        <f t="shared" si="0"/>
        <v>20.85</v>
      </c>
      <c r="M55" s="3"/>
      <c r="N55" s="26">
        <f t="shared" si="1"/>
        <v>-1</v>
      </c>
      <c r="O55" s="9"/>
      <c r="P55" s="3">
        <f>0</f>
        <v>0</v>
      </c>
      <c r="Q55" s="3"/>
      <c r="R55" s="26"/>
      <c r="S55" s="3"/>
      <c r="T55" s="3">
        <f>-412.09</f>
        <v>-412.09</v>
      </c>
      <c r="U55" s="3"/>
      <c r="V55" s="26"/>
      <c r="W55" s="3"/>
      <c r="X55" s="3">
        <f t="shared" si="2"/>
        <v>412.09</v>
      </c>
      <c r="Y55" s="3"/>
      <c r="Z55" s="26">
        <f t="shared" si="3"/>
        <v>-1</v>
      </c>
    </row>
    <row r="56" spans="1:26" s="69" customFormat="1" ht="15" hidden="1" customHeight="1" outlineLevel="1" x14ac:dyDescent="0.3">
      <c r="A56" s="47"/>
      <c r="B56" s="9" t="str">
        <f>CONCATENATE("          ","4342"," - ","SALES RETURN NON TAXABLE-EVERY")</f>
        <v xml:space="preserve">          4342 - SALES RETURN NON TAXABLE-EVERY</v>
      </c>
      <c r="C56" s="9"/>
      <c r="D56" s="3">
        <f>0</f>
        <v>0</v>
      </c>
      <c r="E56" s="3"/>
      <c r="F56" s="26"/>
      <c r="G56" s="3"/>
      <c r="H56" s="3">
        <f>0</f>
        <v>0</v>
      </c>
      <c r="I56" s="3"/>
      <c r="J56" s="26"/>
      <c r="K56" s="3"/>
      <c r="L56" s="3">
        <f t="shared" si="0"/>
        <v>0</v>
      </c>
      <c r="M56" s="3"/>
      <c r="N56" s="26">
        <f t="shared" si="1"/>
        <v>0</v>
      </c>
      <c r="O56" s="9"/>
      <c r="P56" s="3">
        <f>0</f>
        <v>0</v>
      </c>
      <c r="Q56" s="3"/>
      <c r="R56" s="26"/>
      <c r="S56" s="3"/>
      <c r="T56" s="3">
        <f>-118.7</f>
        <v>-118.7</v>
      </c>
      <c r="U56" s="3"/>
      <c r="V56" s="26"/>
      <c r="W56" s="3"/>
      <c r="X56" s="3">
        <f t="shared" si="2"/>
        <v>118.7</v>
      </c>
      <c r="Y56" s="3"/>
      <c r="Z56" s="26">
        <f t="shared" si="3"/>
        <v>-1</v>
      </c>
    </row>
    <row r="57" spans="1:26" s="69" customFormat="1" ht="15" hidden="1" customHeight="1" outlineLevel="1" x14ac:dyDescent="0.3">
      <c r="A57" s="47"/>
      <c r="B57" s="9" t="str">
        <f>CONCATENATE("          ","4500"," - ","SALES DISCOUNT")</f>
        <v xml:space="preserve">          4500 - SALES DISCOUNT</v>
      </c>
      <c r="C57" s="9"/>
      <c r="D57" s="3">
        <f>-6887.73</f>
        <v>-6887.73</v>
      </c>
      <c r="E57" s="3"/>
      <c r="F57" s="26"/>
      <c r="G57" s="3"/>
      <c r="H57" s="3">
        <f>0</f>
        <v>0</v>
      </c>
      <c r="I57" s="3"/>
      <c r="J57" s="26"/>
      <c r="K57" s="3"/>
      <c r="L57" s="3">
        <f t="shared" si="0"/>
        <v>-6887.73</v>
      </c>
      <c r="M57" s="3"/>
      <c r="N57" s="26">
        <f t="shared" si="1"/>
        <v>0</v>
      </c>
      <c r="O57" s="9"/>
      <c r="P57" s="3">
        <f>-127050.96</f>
        <v>-127050.96</v>
      </c>
      <c r="Q57" s="3"/>
      <c r="R57" s="26"/>
      <c r="S57" s="3"/>
      <c r="T57" s="3">
        <f>0</f>
        <v>0</v>
      </c>
      <c r="U57" s="3"/>
      <c r="V57" s="26"/>
      <c r="W57" s="3"/>
      <c r="X57" s="3">
        <f t="shared" si="2"/>
        <v>-127050.96</v>
      </c>
      <c r="Y57" s="3"/>
      <c r="Z57" s="26">
        <f t="shared" si="3"/>
        <v>0</v>
      </c>
    </row>
    <row r="58" spans="1:26" ht="15" customHeight="1" x14ac:dyDescent="0.3">
      <c r="A58" s="12"/>
      <c r="B58" s="13"/>
      <c r="C58" s="12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2" customFormat="1" ht="15" customHeight="1" collapsed="1" x14ac:dyDescent="0.3">
      <c r="A59" s="13"/>
      <c r="B59" s="27" t="s">
        <v>287</v>
      </c>
      <c r="C59" s="13"/>
      <c r="D59" s="8">
        <f>SUM(OSRRefD16x_0)</f>
        <v>281657.35000000003</v>
      </c>
      <c r="E59" s="8"/>
      <c r="F59" s="14">
        <f t="shared" ref="F59:F93" si="4">IF(D$12=0,0,D59/D$12)</f>
        <v>0.99718289464390653</v>
      </c>
      <c r="G59" s="8"/>
      <c r="H59" s="8">
        <f>SUM(OSRRefH16x_0)</f>
        <v>190789.29</v>
      </c>
      <c r="I59" s="8"/>
      <c r="J59" s="14">
        <f t="shared" ref="J59:J93" si="5">IF(H$12=0,0,H59/H$12)</f>
        <v>0.7463201768111406</v>
      </c>
      <c r="K59" s="8"/>
      <c r="L59" s="8">
        <f t="shared" ref="L59:L93" si="6">+D59-H59</f>
        <v>90868.060000000027</v>
      </c>
      <c r="M59" s="8"/>
      <c r="N59" s="14">
        <f t="shared" ref="N59:N93" si="7">IF(H59=0,0,L59/H59)</f>
        <v>0.47627442819248411</v>
      </c>
      <c r="O59" s="13"/>
      <c r="P59" s="8">
        <f>SUM(OSRRefP16x_0)</f>
        <v>2649995.69</v>
      </c>
      <c r="Q59" s="8"/>
      <c r="R59" s="14">
        <f t="shared" ref="R59:R93" si="8">IF(P$12=0,0,P59/P$12)</f>
        <v>0.49598133928752475</v>
      </c>
      <c r="S59" s="8"/>
      <c r="T59" s="8">
        <f>SUM(OSRRefT16x_0)</f>
        <v>1426106.35</v>
      </c>
      <c r="U59" s="8"/>
      <c r="V59" s="14">
        <f t="shared" ref="V59:V93" si="9">IF(T$12=0,0,T59/T$12)</f>
        <v>0.54975678854091903</v>
      </c>
      <c r="W59" s="8"/>
      <c r="X59" s="8">
        <f t="shared" ref="X59:X93" si="10">+P59-T59</f>
        <v>1223889.3399999999</v>
      </c>
      <c r="Y59" s="8"/>
      <c r="Z59" s="14">
        <f t="shared" ref="Z59:Z93" si="11">IF(T59=0,0,X59/T59)</f>
        <v>0.85820341519410515</v>
      </c>
    </row>
    <row r="60" spans="1:26" s="69" customFormat="1" ht="15" hidden="1" customHeight="1" outlineLevel="1" x14ac:dyDescent="0.3">
      <c r="A60" s="47"/>
      <c r="B60" s="9" t="str">
        <f>CONCATENATE("          ","5000"," - ","PURCHASES @ COST")</f>
        <v xml:space="preserve">          5000 - PURCHASES @ COST</v>
      </c>
      <c r="C60" s="9"/>
      <c r="D60" s="3">
        <v>371405.63</v>
      </c>
      <c r="E60" s="3"/>
      <c r="F60" s="26">
        <f t="shared" si="4"/>
        <v>1.3149287288630802</v>
      </c>
      <c r="G60" s="3"/>
      <c r="H60" s="3"/>
      <c r="I60" s="3"/>
      <c r="J60" s="26">
        <f t="shared" si="5"/>
        <v>0</v>
      </c>
      <c r="K60" s="3"/>
      <c r="L60" s="3">
        <f t="shared" si="6"/>
        <v>371405.63</v>
      </c>
      <c r="M60" s="3"/>
      <c r="N60" s="26">
        <f t="shared" si="7"/>
        <v>0</v>
      </c>
      <c r="O60" s="9"/>
      <c r="P60" s="3">
        <v>2896655.4</v>
      </c>
      <c r="Q60" s="3"/>
      <c r="R60" s="26">
        <f t="shared" si="8"/>
        <v>0.54214692883007698</v>
      </c>
      <c r="S60" s="3"/>
      <c r="T60" s="3"/>
      <c r="U60" s="3"/>
      <c r="V60" s="26">
        <f t="shared" si="9"/>
        <v>0</v>
      </c>
      <c r="W60" s="3"/>
      <c r="X60" s="3">
        <f t="shared" si="10"/>
        <v>2896655.4</v>
      </c>
      <c r="Y60" s="3"/>
      <c r="Z60" s="26">
        <f t="shared" si="11"/>
        <v>0</v>
      </c>
    </row>
    <row r="61" spans="1:26" s="69" customFormat="1" ht="15" hidden="1" customHeight="1" outlineLevel="1" x14ac:dyDescent="0.3">
      <c r="A61" s="47"/>
      <c r="B61" s="9" t="str">
        <f>CONCATENATE("          ","5025"," - ","PURCHASES @ COST-TEST FORMS")</f>
        <v xml:space="preserve">          5025 - PURCHASES @ COST-TEST FORMS</v>
      </c>
      <c r="C61" s="9"/>
      <c r="D61" s="3"/>
      <c r="E61" s="3"/>
      <c r="F61" s="26">
        <f t="shared" si="4"/>
        <v>0</v>
      </c>
      <c r="G61" s="3"/>
      <c r="H61" s="3">
        <v>161</v>
      </c>
      <c r="I61" s="3"/>
      <c r="J61" s="26">
        <f t="shared" si="5"/>
        <v>6.2979189485213574E-4</v>
      </c>
      <c r="K61" s="3"/>
      <c r="L61" s="3">
        <f t="shared" si="6"/>
        <v>-161</v>
      </c>
      <c r="M61" s="3"/>
      <c r="N61" s="26">
        <f t="shared" si="7"/>
        <v>-1</v>
      </c>
      <c r="O61" s="9"/>
      <c r="P61" s="3"/>
      <c r="Q61" s="3"/>
      <c r="R61" s="26">
        <f t="shared" si="8"/>
        <v>0</v>
      </c>
      <c r="S61" s="3"/>
      <c r="T61" s="3">
        <v>760.29</v>
      </c>
      <c r="U61" s="3"/>
      <c r="V61" s="26">
        <f t="shared" si="9"/>
        <v>2.9308795151201402E-4</v>
      </c>
      <c r="W61" s="3"/>
      <c r="X61" s="3">
        <f t="shared" si="10"/>
        <v>-760.29</v>
      </c>
      <c r="Y61" s="3"/>
      <c r="Z61" s="26">
        <f t="shared" si="11"/>
        <v>-1</v>
      </c>
    </row>
    <row r="62" spans="1:26" s="69" customFormat="1" ht="15" hidden="1" customHeight="1" outlineLevel="1" x14ac:dyDescent="0.3">
      <c r="A62" s="47"/>
      <c r="B62" s="9" t="str">
        <f>CONCATENATE("          ","5026"," - ","PURCHASES @ COST-WRITING INSTR")</f>
        <v xml:space="preserve">          5026 - PURCHASES @ COST-WRITING INSTR</v>
      </c>
      <c r="C62" s="9"/>
      <c r="D62" s="3"/>
      <c r="E62" s="3"/>
      <c r="F62" s="26">
        <f t="shared" si="4"/>
        <v>0</v>
      </c>
      <c r="G62" s="3"/>
      <c r="H62" s="3">
        <v>1361.75</v>
      </c>
      <c r="I62" s="3"/>
      <c r="J62" s="26">
        <f t="shared" si="5"/>
        <v>5.3268267876701606E-3</v>
      </c>
      <c r="K62" s="3"/>
      <c r="L62" s="3">
        <f t="shared" si="6"/>
        <v>-1361.75</v>
      </c>
      <c r="M62" s="3"/>
      <c r="N62" s="26">
        <f t="shared" si="7"/>
        <v>-1</v>
      </c>
      <c r="O62" s="9"/>
      <c r="P62" s="3">
        <v>0</v>
      </c>
      <c r="Q62" s="3"/>
      <c r="R62" s="26">
        <f t="shared" si="8"/>
        <v>0</v>
      </c>
      <c r="S62" s="3"/>
      <c r="T62" s="3">
        <v>1944.25</v>
      </c>
      <c r="U62" s="3"/>
      <c r="V62" s="26">
        <f t="shared" si="9"/>
        <v>7.4949854624844895E-4</v>
      </c>
      <c r="W62" s="3"/>
      <c r="X62" s="3">
        <f t="shared" si="10"/>
        <v>-1944.25</v>
      </c>
      <c r="Y62" s="3"/>
      <c r="Z62" s="26">
        <f t="shared" si="11"/>
        <v>-1</v>
      </c>
    </row>
    <row r="63" spans="1:26" s="69" customFormat="1" ht="15" hidden="1" customHeight="1" outlineLevel="1" x14ac:dyDescent="0.3">
      <c r="A63" s="47"/>
      <c r="B63" s="9" t="str">
        <f>CONCATENATE("          ","5027"," - ","PURCHASES @ COST-SCHOOL SUPPLI")</f>
        <v xml:space="preserve">          5027 - PURCHASES @ COST-SCHOOL SUPPLI</v>
      </c>
      <c r="C63" s="9"/>
      <c r="D63" s="3"/>
      <c r="E63" s="3"/>
      <c r="F63" s="26">
        <f t="shared" si="4"/>
        <v>0</v>
      </c>
      <c r="G63" s="3"/>
      <c r="H63" s="3">
        <v>-23546.66</v>
      </c>
      <c r="I63" s="3"/>
      <c r="J63" s="26">
        <f t="shared" si="5"/>
        <v>-9.2108668439993727E-2</v>
      </c>
      <c r="K63" s="3"/>
      <c r="L63" s="3">
        <f t="shared" si="6"/>
        <v>23546.66</v>
      </c>
      <c r="M63" s="3"/>
      <c r="N63" s="26">
        <f t="shared" si="7"/>
        <v>-1</v>
      </c>
      <c r="O63" s="9"/>
      <c r="P63" s="3">
        <v>0</v>
      </c>
      <c r="Q63" s="3"/>
      <c r="R63" s="26">
        <f t="shared" si="8"/>
        <v>0</v>
      </c>
      <c r="S63" s="3"/>
      <c r="T63" s="3">
        <v>188.33</v>
      </c>
      <c r="U63" s="3"/>
      <c r="V63" s="26">
        <f t="shared" si="9"/>
        <v>7.2600262936849895E-5</v>
      </c>
      <c r="W63" s="3"/>
      <c r="X63" s="3">
        <f t="shared" si="10"/>
        <v>-188.33</v>
      </c>
      <c r="Y63" s="3"/>
      <c r="Z63" s="26">
        <f t="shared" si="11"/>
        <v>-1</v>
      </c>
    </row>
    <row r="64" spans="1:26" s="69" customFormat="1" ht="15" hidden="1" customHeight="1" outlineLevel="1" x14ac:dyDescent="0.3">
      <c r="A64" s="47"/>
      <c r="B64" s="9" t="str">
        <f>CONCATENATE("          ","5028"," - ","PURCHASES @ COST-ART/TECH")</f>
        <v xml:space="preserve">          5028 - PURCHASES @ COST-ART/TECH</v>
      </c>
      <c r="C64" s="9"/>
      <c r="D64" s="3"/>
      <c r="E64" s="3"/>
      <c r="F64" s="26">
        <f t="shared" si="4"/>
        <v>0</v>
      </c>
      <c r="G64" s="3"/>
      <c r="H64" s="3">
        <v>4965.34</v>
      </c>
      <c r="I64" s="3"/>
      <c r="J64" s="26">
        <f t="shared" si="5"/>
        <v>1.9423173212329836E-2</v>
      </c>
      <c r="K64" s="3"/>
      <c r="L64" s="3">
        <f t="shared" si="6"/>
        <v>-4965.34</v>
      </c>
      <c r="M64" s="3"/>
      <c r="N64" s="26">
        <f t="shared" si="7"/>
        <v>-1</v>
      </c>
      <c r="O64" s="9"/>
      <c r="P64" s="3">
        <v>0</v>
      </c>
      <c r="Q64" s="3"/>
      <c r="R64" s="26">
        <f t="shared" si="8"/>
        <v>0</v>
      </c>
      <c r="S64" s="3"/>
      <c r="T64" s="3">
        <v>52646.080000000002</v>
      </c>
      <c r="U64" s="3"/>
      <c r="V64" s="26">
        <f t="shared" si="9"/>
        <v>2.0294797698690779E-2</v>
      </c>
      <c r="W64" s="3"/>
      <c r="X64" s="3">
        <f t="shared" si="10"/>
        <v>-52646.080000000002</v>
      </c>
      <c r="Y64" s="3"/>
      <c r="Z64" s="26">
        <f t="shared" si="11"/>
        <v>-1</v>
      </c>
    </row>
    <row r="65" spans="1:26" s="69" customFormat="1" ht="15" hidden="1" customHeight="1" outlineLevel="1" x14ac:dyDescent="0.3">
      <c r="A65" s="47"/>
      <c r="B65" s="9" t="str">
        <f>CONCATENATE("          ","5031"," - ","PURCHASES @ COST-FOOD")</f>
        <v xml:space="preserve">          5031 - PURCHASES @ COST-FOOD</v>
      </c>
      <c r="C65" s="9"/>
      <c r="D65" s="3"/>
      <c r="E65" s="3"/>
      <c r="F65" s="26">
        <f t="shared" si="4"/>
        <v>0</v>
      </c>
      <c r="G65" s="3"/>
      <c r="H65" s="3">
        <v>75599.55</v>
      </c>
      <c r="I65" s="3"/>
      <c r="J65" s="26">
        <f t="shared" si="5"/>
        <v>0.29572660772961973</v>
      </c>
      <c r="K65" s="3"/>
      <c r="L65" s="3">
        <f t="shared" si="6"/>
        <v>-75599.55</v>
      </c>
      <c r="M65" s="3"/>
      <c r="N65" s="26">
        <f t="shared" si="7"/>
        <v>-1</v>
      </c>
      <c r="O65" s="9"/>
      <c r="P65" s="3">
        <v>0</v>
      </c>
      <c r="Q65" s="3"/>
      <c r="R65" s="26">
        <f t="shared" si="8"/>
        <v>0</v>
      </c>
      <c r="S65" s="3"/>
      <c r="T65" s="3">
        <v>83665.64</v>
      </c>
      <c r="U65" s="3"/>
      <c r="V65" s="26">
        <f t="shared" si="9"/>
        <v>3.2252681265755992E-2</v>
      </c>
      <c r="W65" s="3"/>
      <c r="X65" s="3">
        <f t="shared" si="10"/>
        <v>-83665.64</v>
      </c>
      <c r="Y65" s="3"/>
      <c r="Z65" s="26">
        <f t="shared" si="11"/>
        <v>-1</v>
      </c>
    </row>
    <row r="66" spans="1:26" s="69" customFormat="1" ht="15" hidden="1" customHeight="1" outlineLevel="1" x14ac:dyDescent="0.3">
      <c r="A66" s="47"/>
      <c r="B66" s="9" t="str">
        <f>CONCATENATE("          ","5032"," - ","PURCHASES @ COST-JUICE")</f>
        <v xml:space="preserve">          5032 - PURCHASES @ COST-JUICE</v>
      </c>
      <c r="C66" s="9"/>
      <c r="D66" s="3"/>
      <c r="E66" s="3"/>
      <c r="F66" s="26">
        <f t="shared" si="4"/>
        <v>0</v>
      </c>
      <c r="G66" s="3"/>
      <c r="H66" s="3">
        <v>291</v>
      </c>
      <c r="I66" s="3"/>
      <c r="J66" s="26">
        <f t="shared" si="5"/>
        <v>1.1383195118134877E-3</v>
      </c>
      <c r="K66" s="3"/>
      <c r="L66" s="3">
        <f t="shared" si="6"/>
        <v>-291</v>
      </c>
      <c r="M66" s="3"/>
      <c r="N66" s="26">
        <f t="shared" si="7"/>
        <v>-1</v>
      </c>
      <c r="O66" s="9"/>
      <c r="P66" s="3"/>
      <c r="Q66" s="3"/>
      <c r="R66" s="26">
        <f t="shared" si="8"/>
        <v>0</v>
      </c>
      <c r="S66" s="3"/>
      <c r="T66" s="3">
        <v>291</v>
      </c>
      <c r="U66" s="3"/>
      <c r="V66" s="26">
        <f t="shared" si="9"/>
        <v>1.1217902891001602E-4</v>
      </c>
      <c r="W66" s="3"/>
      <c r="X66" s="3">
        <f t="shared" si="10"/>
        <v>-291</v>
      </c>
      <c r="Y66" s="3"/>
      <c r="Z66" s="26">
        <f t="shared" si="11"/>
        <v>-1</v>
      </c>
    </row>
    <row r="67" spans="1:26" s="69" customFormat="1" ht="15" hidden="1" customHeight="1" outlineLevel="1" x14ac:dyDescent="0.3">
      <c r="A67" s="47"/>
      <c r="B67" s="9" t="str">
        <f>CONCATENATE("          ","5033"," - ","PURCHASES @ COST-CANDY")</f>
        <v xml:space="preserve">          5033 - PURCHASES @ COST-CANDY</v>
      </c>
      <c r="C67" s="9"/>
      <c r="D67" s="3"/>
      <c r="E67" s="3"/>
      <c r="F67" s="26">
        <f t="shared" si="4"/>
        <v>0</v>
      </c>
      <c r="G67" s="3"/>
      <c r="H67" s="3">
        <v>1266</v>
      </c>
      <c r="I67" s="3"/>
      <c r="J67" s="26">
        <f t="shared" si="5"/>
        <v>4.9522766390236268E-3</v>
      </c>
      <c r="K67" s="3"/>
      <c r="L67" s="3">
        <f t="shared" si="6"/>
        <v>-1266</v>
      </c>
      <c r="M67" s="3"/>
      <c r="N67" s="26">
        <f t="shared" si="7"/>
        <v>-1</v>
      </c>
      <c r="O67" s="9"/>
      <c r="P67" s="3"/>
      <c r="Q67" s="3"/>
      <c r="R67" s="26">
        <f t="shared" si="8"/>
        <v>0</v>
      </c>
      <c r="S67" s="3"/>
      <c r="T67" s="3">
        <v>1266</v>
      </c>
      <c r="U67" s="3"/>
      <c r="V67" s="26">
        <f t="shared" si="9"/>
        <v>4.8803660000027588E-4</v>
      </c>
      <c r="W67" s="3"/>
      <c r="X67" s="3">
        <f t="shared" si="10"/>
        <v>-1266</v>
      </c>
      <c r="Y67" s="3"/>
      <c r="Z67" s="26">
        <f t="shared" si="11"/>
        <v>-1</v>
      </c>
    </row>
    <row r="68" spans="1:26" s="69" customFormat="1" ht="15" hidden="1" customHeight="1" outlineLevel="1" x14ac:dyDescent="0.3">
      <c r="A68" s="47"/>
      <c r="B68" s="9" t="str">
        <f>CONCATENATE("          ","5034"," - ","PURCHASES @ COST-SODA")</f>
        <v xml:space="preserve">          5034 - PURCHASES @ COST-SODA</v>
      </c>
      <c r="C68" s="9"/>
      <c r="D68" s="3"/>
      <c r="E68" s="3"/>
      <c r="F68" s="26">
        <f t="shared" si="4"/>
        <v>0</v>
      </c>
      <c r="G68" s="3"/>
      <c r="H68" s="3">
        <v>567</v>
      </c>
      <c r="I68" s="3"/>
      <c r="J68" s="26">
        <f t="shared" si="5"/>
        <v>2.2179627601314348E-3</v>
      </c>
      <c r="K68" s="3"/>
      <c r="L68" s="3">
        <f t="shared" si="6"/>
        <v>-567</v>
      </c>
      <c r="M68" s="3"/>
      <c r="N68" s="26">
        <f t="shared" si="7"/>
        <v>-1</v>
      </c>
      <c r="O68" s="9"/>
      <c r="P68" s="3"/>
      <c r="Q68" s="3"/>
      <c r="R68" s="26">
        <f t="shared" si="8"/>
        <v>0</v>
      </c>
      <c r="S68" s="3"/>
      <c r="T68" s="3">
        <v>567</v>
      </c>
      <c r="U68" s="3"/>
      <c r="V68" s="26">
        <f t="shared" si="9"/>
        <v>2.1857563364941266E-4</v>
      </c>
      <c r="W68" s="3"/>
      <c r="X68" s="3">
        <f t="shared" si="10"/>
        <v>-567</v>
      </c>
      <c r="Y68" s="3"/>
      <c r="Z68" s="26">
        <f t="shared" si="11"/>
        <v>-1</v>
      </c>
    </row>
    <row r="69" spans="1:26" s="69" customFormat="1" ht="15" hidden="1" customHeight="1" outlineLevel="1" x14ac:dyDescent="0.3">
      <c r="A69" s="47"/>
      <c r="B69" s="9" t="str">
        <f>CONCATENATE("          ","5035"," - ","PURCHASES @ COST-HEALTH &amp; BEAU")</f>
        <v xml:space="preserve">          5035 - PURCHASES @ COST-HEALTH &amp; BEAU</v>
      </c>
      <c r="C69" s="9"/>
      <c r="D69" s="3"/>
      <c r="E69" s="3"/>
      <c r="F69" s="26">
        <f t="shared" si="4"/>
        <v>0</v>
      </c>
      <c r="G69" s="3"/>
      <c r="H69" s="3">
        <v>339</v>
      </c>
      <c r="I69" s="3"/>
      <c r="J69" s="26">
        <f t="shared" si="5"/>
        <v>1.3260835549992174E-3</v>
      </c>
      <c r="K69" s="3"/>
      <c r="L69" s="3">
        <f t="shared" si="6"/>
        <v>-339</v>
      </c>
      <c r="M69" s="3"/>
      <c r="N69" s="26">
        <f t="shared" si="7"/>
        <v>-1</v>
      </c>
      <c r="O69" s="9"/>
      <c r="P69" s="3"/>
      <c r="Q69" s="3"/>
      <c r="R69" s="26">
        <f t="shared" si="8"/>
        <v>0</v>
      </c>
      <c r="S69" s="3"/>
      <c r="T69" s="3">
        <v>339</v>
      </c>
      <c r="U69" s="3"/>
      <c r="V69" s="26">
        <f t="shared" si="9"/>
        <v>1.3068278625599805E-4</v>
      </c>
      <c r="W69" s="3"/>
      <c r="X69" s="3">
        <f t="shared" si="10"/>
        <v>-339</v>
      </c>
      <c r="Y69" s="3"/>
      <c r="Z69" s="26">
        <f t="shared" si="11"/>
        <v>-1</v>
      </c>
    </row>
    <row r="70" spans="1:26" s="69" customFormat="1" ht="15" hidden="1" customHeight="1" outlineLevel="1" x14ac:dyDescent="0.3">
      <c r="A70" s="47"/>
      <c r="B70" s="9" t="str">
        <f>CONCATENATE("          ","5037"," - ","PURCHASES @ COST-WATER")</f>
        <v xml:space="preserve">          5037 - PURCHASES @ COST-WATER</v>
      </c>
      <c r="C70" s="9"/>
      <c r="D70" s="3"/>
      <c r="E70" s="3"/>
      <c r="F70" s="26">
        <f t="shared" si="4"/>
        <v>0</v>
      </c>
      <c r="G70" s="3"/>
      <c r="H70" s="3">
        <v>190.95</v>
      </c>
      <c r="I70" s="3"/>
      <c r="J70" s="26">
        <f t="shared" si="5"/>
        <v>7.4694883429823173E-4</v>
      </c>
      <c r="K70" s="3"/>
      <c r="L70" s="3">
        <f t="shared" si="6"/>
        <v>-190.95</v>
      </c>
      <c r="M70" s="3"/>
      <c r="N70" s="26">
        <f t="shared" si="7"/>
        <v>-1</v>
      </c>
      <c r="O70" s="9"/>
      <c r="P70" s="3"/>
      <c r="Q70" s="3"/>
      <c r="R70" s="26">
        <f t="shared" si="8"/>
        <v>0</v>
      </c>
      <c r="S70" s="3"/>
      <c r="T70" s="3">
        <v>190.95</v>
      </c>
      <c r="U70" s="3"/>
      <c r="V70" s="26">
        <f t="shared" si="9"/>
        <v>7.3610259691984735E-5</v>
      </c>
      <c r="W70" s="3"/>
      <c r="X70" s="3">
        <f t="shared" si="10"/>
        <v>-190.95</v>
      </c>
      <c r="Y70" s="3"/>
      <c r="Z70" s="26">
        <f t="shared" si="11"/>
        <v>-1</v>
      </c>
    </row>
    <row r="71" spans="1:26" s="69" customFormat="1" ht="15" hidden="1" customHeight="1" outlineLevel="1" x14ac:dyDescent="0.3">
      <c r="A71" s="47"/>
      <c r="B71" s="9" t="str">
        <f>CONCATENATE("          ","5040"," - ","PURCHASES @ COST-LOGO CLOTHING")</f>
        <v xml:space="preserve">          5040 - PURCHASES @ COST-LOGO CLOTHING</v>
      </c>
      <c r="C71" s="9"/>
      <c r="D71" s="3"/>
      <c r="E71" s="3"/>
      <c r="F71" s="26">
        <f t="shared" si="4"/>
        <v>0</v>
      </c>
      <c r="G71" s="3"/>
      <c r="H71" s="3">
        <v>65486.18</v>
      </c>
      <c r="I71" s="3"/>
      <c r="J71" s="26">
        <f t="shared" si="5"/>
        <v>0.25616562353309341</v>
      </c>
      <c r="K71" s="3"/>
      <c r="L71" s="3">
        <f t="shared" si="6"/>
        <v>-65486.18</v>
      </c>
      <c r="M71" s="3"/>
      <c r="N71" s="26">
        <f t="shared" si="7"/>
        <v>-1</v>
      </c>
      <c r="O71" s="9"/>
      <c r="P71" s="3">
        <v>0</v>
      </c>
      <c r="Q71" s="3"/>
      <c r="R71" s="26">
        <f t="shared" si="8"/>
        <v>0</v>
      </c>
      <c r="S71" s="3"/>
      <c r="T71" s="3">
        <v>392865.16</v>
      </c>
      <c r="U71" s="3"/>
      <c r="V71" s="26">
        <f t="shared" si="9"/>
        <v>0.15144753313188339</v>
      </c>
      <c r="W71" s="3"/>
      <c r="X71" s="3">
        <f t="shared" si="10"/>
        <v>-392865.16</v>
      </c>
      <c r="Y71" s="3"/>
      <c r="Z71" s="26">
        <f t="shared" si="11"/>
        <v>-1</v>
      </c>
    </row>
    <row r="72" spans="1:26" s="69" customFormat="1" ht="15" hidden="1" customHeight="1" outlineLevel="1" x14ac:dyDescent="0.3">
      <c r="A72" s="47"/>
      <c r="B72" s="9" t="str">
        <f>CONCATENATE("          ","5041"," - ","PURCHASES @ COST-LOGO GIFTS")</f>
        <v xml:space="preserve">          5041 - PURCHASES @ COST-LOGO GIFTS</v>
      </c>
      <c r="C72" s="9"/>
      <c r="D72" s="3"/>
      <c r="E72" s="3"/>
      <c r="F72" s="26">
        <f t="shared" si="4"/>
        <v>0</v>
      </c>
      <c r="G72" s="3"/>
      <c r="H72" s="3">
        <v>115476.79</v>
      </c>
      <c r="I72" s="3"/>
      <c r="J72" s="26">
        <f t="shared" si="5"/>
        <v>0.45171643717728049</v>
      </c>
      <c r="K72" s="3"/>
      <c r="L72" s="3">
        <f t="shared" si="6"/>
        <v>-115476.79</v>
      </c>
      <c r="M72" s="3"/>
      <c r="N72" s="26">
        <f t="shared" si="7"/>
        <v>-1</v>
      </c>
      <c r="O72" s="9"/>
      <c r="P72" s="3">
        <v>0</v>
      </c>
      <c r="Q72" s="3"/>
      <c r="R72" s="26">
        <f t="shared" si="8"/>
        <v>0</v>
      </c>
      <c r="S72" s="3"/>
      <c r="T72" s="3">
        <v>221875.64</v>
      </c>
      <c r="U72" s="3"/>
      <c r="V72" s="26">
        <f t="shared" si="9"/>
        <v>8.5531937573842989E-2</v>
      </c>
      <c r="W72" s="3"/>
      <c r="X72" s="3">
        <f t="shared" si="10"/>
        <v>-221875.64</v>
      </c>
      <c r="Y72" s="3"/>
      <c r="Z72" s="26">
        <f t="shared" si="11"/>
        <v>-1</v>
      </c>
    </row>
    <row r="73" spans="1:26" s="69" customFormat="1" ht="15" hidden="1" customHeight="1" outlineLevel="1" x14ac:dyDescent="0.3">
      <c r="A73" s="47"/>
      <c r="B73" s="9" t="str">
        <f>CONCATENATE("          ","5042"," - ","PURCHASES @ COST-EVERYDAY GIFT")</f>
        <v xml:space="preserve">          5042 - PURCHASES @ COST-EVERYDAY GIFT</v>
      </c>
      <c r="C73" s="9"/>
      <c r="D73" s="3"/>
      <c r="E73" s="3"/>
      <c r="F73" s="26">
        <f t="shared" si="4"/>
        <v>0</v>
      </c>
      <c r="G73" s="3"/>
      <c r="H73" s="3">
        <v>-39.200000000000003</v>
      </c>
      <c r="I73" s="3"/>
      <c r="J73" s="26">
        <f t="shared" si="5"/>
        <v>-1.5334063526834611E-4</v>
      </c>
      <c r="K73" s="3"/>
      <c r="L73" s="3">
        <f t="shared" si="6"/>
        <v>39.200000000000003</v>
      </c>
      <c r="M73" s="3"/>
      <c r="N73" s="26">
        <f t="shared" si="7"/>
        <v>-1</v>
      </c>
      <c r="O73" s="9"/>
      <c r="P73" s="3">
        <v>0</v>
      </c>
      <c r="Q73" s="3"/>
      <c r="R73" s="26">
        <f t="shared" si="8"/>
        <v>0</v>
      </c>
      <c r="S73" s="3"/>
      <c r="T73" s="3">
        <v>18708.87</v>
      </c>
      <c r="U73" s="3"/>
      <c r="V73" s="26">
        <f t="shared" si="9"/>
        <v>7.2121748061983893E-3</v>
      </c>
      <c r="W73" s="3"/>
      <c r="X73" s="3">
        <f t="shared" si="10"/>
        <v>-18708.87</v>
      </c>
      <c r="Y73" s="3"/>
      <c r="Z73" s="26">
        <f t="shared" si="11"/>
        <v>-1</v>
      </c>
    </row>
    <row r="74" spans="1:26" s="69" customFormat="1" ht="15" hidden="1" customHeight="1" outlineLevel="1" x14ac:dyDescent="0.3">
      <c r="A74" s="47"/>
      <c r="B74" s="9" t="str">
        <f>CONCATENATE("          ","5043"," - ","PURCHASES @ COST-CARDS")</f>
        <v xml:space="preserve">          5043 - PURCHASES @ COST-CARDS</v>
      </c>
      <c r="C74" s="9"/>
      <c r="D74" s="3"/>
      <c r="E74" s="3"/>
      <c r="F74" s="26">
        <f t="shared" si="4"/>
        <v>0</v>
      </c>
      <c r="G74" s="3"/>
      <c r="H74" s="3">
        <v>-4615.6499999999996</v>
      </c>
      <c r="I74" s="3"/>
      <c r="J74" s="26">
        <f t="shared" si="5"/>
        <v>-1.8055273040212795E-2</v>
      </c>
      <c r="K74" s="3"/>
      <c r="L74" s="3">
        <f t="shared" si="6"/>
        <v>4615.6499999999996</v>
      </c>
      <c r="M74" s="3"/>
      <c r="N74" s="26">
        <f t="shared" si="7"/>
        <v>-1</v>
      </c>
      <c r="O74" s="9"/>
      <c r="P74" s="3">
        <v>0</v>
      </c>
      <c r="Q74" s="3"/>
      <c r="R74" s="26">
        <f t="shared" si="8"/>
        <v>0</v>
      </c>
      <c r="S74" s="3"/>
      <c r="T74" s="3">
        <v>50967.68</v>
      </c>
      <c r="U74" s="3"/>
      <c r="V74" s="26">
        <f t="shared" si="9"/>
        <v>1.9647782983492939E-2</v>
      </c>
      <c r="W74" s="3"/>
      <c r="X74" s="3">
        <f t="shared" si="10"/>
        <v>-50967.68</v>
      </c>
      <c r="Y74" s="3"/>
      <c r="Z74" s="26">
        <f t="shared" si="11"/>
        <v>-1</v>
      </c>
    </row>
    <row r="75" spans="1:26" s="69" customFormat="1" ht="15" hidden="1" customHeight="1" outlineLevel="1" x14ac:dyDescent="0.3">
      <c r="A75" s="47"/>
      <c r="B75" s="9" t="str">
        <f>CONCATENATE("          ","5044"," - ","PURCHASES @ COST-ACCESSORIES")</f>
        <v xml:space="preserve">          5044 - PURCHASES @ COST-ACCESSORIES</v>
      </c>
      <c r="C75" s="9"/>
      <c r="D75" s="3"/>
      <c r="E75" s="3"/>
      <c r="F75" s="26">
        <f t="shared" si="4"/>
        <v>0</v>
      </c>
      <c r="G75" s="3"/>
      <c r="H75" s="3">
        <v>4371.2</v>
      </c>
      <c r="I75" s="3"/>
      <c r="J75" s="26">
        <f t="shared" si="5"/>
        <v>1.7099045532780469E-2</v>
      </c>
      <c r="K75" s="3"/>
      <c r="L75" s="3">
        <f t="shared" si="6"/>
        <v>-4371.2</v>
      </c>
      <c r="M75" s="3"/>
      <c r="N75" s="26">
        <f t="shared" si="7"/>
        <v>-1</v>
      </c>
      <c r="O75" s="9"/>
      <c r="P75" s="3">
        <v>0</v>
      </c>
      <c r="Q75" s="3"/>
      <c r="R75" s="26">
        <f t="shared" si="8"/>
        <v>0</v>
      </c>
      <c r="S75" s="3"/>
      <c r="T75" s="3">
        <v>6926.91</v>
      </c>
      <c r="U75" s="3"/>
      <c r="V75" s="26">
        <f t="shared" si="9"/>
        <v>2.6702887874470072E-3</v>
      </c>
      <c r="W75" s="3"/>
      <c r="X75" s="3">
        <f t="shared" si="10"/>
        <v>-6926.91</v>
      </c>
      <c r="Y75" s="3"/>
      <c r="Z75" s="26">
        <f t="shared" si="11"/>
        <v>-1</v>
      </c>
    </row>
    <row r="76" spans="1:26" s="69" customFormat="1" ht="15" hidden="1" customHeight="1" outlineLevel="1" x14ac:dyDescent="0.3">
      <c r="A76" s="47"/>
      <c r="B76" s="9" t="str">
        <f>CONCATENATE("          ","5045"," - ","PURCHASES @ COST-SPECIAL ORDER")</f>
        <v xml:space="preserve">          5045 - PURCHASES @ COST-SPECIAL ORDER</v>
      </c>
      <c r="C76" s="9"/>
      <c r="D76" s="3"/>
      <c r="E76" s="3"/>
      <c r="F76" s="26">
        <f t="shared" si="4"/>
        <v>0</v>
      </c>
      <c r="G76" s="3"/>
      <c r="H76" s="3">
        <v>33785.81</v>
      </c>
      <c r="I76" s="3"/>
      <c r="J76" s="26">
        <f t="shared" si="5"/>
        <v>0.13216167266468468</v>
      </c>
      <c r="K76" s="3"/>
      <c r="L76" s="3">
        <f t="shared" si="6"/>
        <v>-33785.81</v>
      </c>
      <c r="M76" s="3"/>
      <c r="N76" s="26">
        <f t="shared" si="7"/>
        <v>-1</v>
      </c>
      <c r="O76" s="9"/>
      <c r="P76" s="3">
        <v>0</v>
      </c>
      <c r="Q76" s="3"/>
      <c r="R76" s="26">
        <f t="shared" si="8"/>
        <v>0</v>
      </c>
      <c r="S76" s="3"/>
      <c r="T76" s="3">
        <v>172925.05</v>
      </c>
      <c r="U76" s="3"/>
      <c r="V76" s="26">
        <f t="shared" si="9"/>
        <v>6.6661732588371006E-2</v>
      </c>
      <c r="W76" s="3"/>
      <c r="X76" s="3">
        <f t="shared" si="10"/>
        <v>-172925.05</v>
      </c>
      <c r="Y76" s="3"/>
      <c r="Z76" s="26">
        <f t="shared" si="11"/>
        <v>-1</v>
      </c>
    </row>
    <row r="77" spans="1:26" s="69" customFormat="1" ht="15" hidden="1" customHeight="1" outlineLevel="1" x14ac:dyDescent="0.3">
      <c r="A77" s="47"/>
      <c r="B77" s="9" t="str">
        <f>CONCATENATE("          ","5081"," - ","PURCHASES @ COST-ELECTRONICS")</f>
        <v xml:space="preserve">          5081 - PURCHASES @ COST-ELECTRONICS</v>
      </c>
      <c r="C77" s="9"/>
      <c r="D77" s="3"/>
      <c r="E77" s="3"/>
      <c r="F77" s="26">
        <f t="shared" si="4"/>
        <v>0</v>
      </c>
      <c r="G77" s="3"/>
      <c r="H77" s="3">
        <v>227</v>
      </c>
      <c r="I77" s="3"/>
      <c r="J77" s="26">
        <f t="shared" si="5"/>
        <v>8.8796745423251437E-4</v>
      </c>
      <c r="K77" s="3"/>
      <c r="L77" s="3">
        <f t="shared" si="6"/>
        <v>-227</v>
      </c>
      <c r="M77" s="3"/>
      <c r="N77" s="26">
        <f t="shared" si="7"/>
        <v>-1</v>
      </c>
      <c r="O77" s="9"/>
      <c r="P77" s="3"/>
      <c r="Q77" s="3"/>
      <c r="R77" s="26">
        <f t="shared" si="8"/>
        <v>0</v>
      </c>
      <c r="S77" s="3"/>
      <c r="T77" s="3">
        <v>227</v>
      </c>
      <c r="U77" s="3"/>
      <c r="V77" s="26">
        <f t="shared" si="9"/>
        <v>8.7507352448706655E-5</v>
      </c>
      <c r="W77" s="3"/>
      <c r="X77" s="3">
        <f t="shared" si="10"/>
        <v>-227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","5082"," - ","PURCHASES @ COST-COMPUTER HARD")</f>
        <v xml:space="preserve">          5082 - PURCHASES @ COST-COMPUTER HARD</v>
      </c>
      <c r="C78" s="9"/>
      <c r="D78" s="3"/>
      <c r="E78" s="3"/>
      <c r="F78" s="26">
        <f t="shared" si="4"/>
        <v>0</v>
      </c>
      <c r="G78" s="3"/>
      <c r="H78" s="3">
        <v>972</v>
      </c>
      <c r="I78" s="3"/>
      <c r="J78" s="26">
        <f t="shared" si="5"/>
        <v>3.8022218745110306E-3</v>
      </c>
      <c r="K78" s="3"/>
      <c r="L78" s="3">
        <f t="shared" si="6"/>
        <v>-972</v>
      </c>
      <c r="M78" s="3"/>
      <c r="N78" s="26">
        <f t="shared" si="7"/>
        <v>-1</v>
      </c>
      <c r="O78" s="9"/>
      <c r="P78" s="3"/>
      <c r="Q78" s="3"/>
      <c r="R78" s="26">
        <f t="shared" si="8"/>
        <v>0</v>
      </c>
      <c r="S78" s="3"/>
      <c r="T78" s="3">
        <v>972</v>
      </c>
      <c r="U78" s="3"/>
      <c r="V78" s="26">
        <f t="shared" si="9"/>
        <v>3.7470108625613598E-4</v>
      </c>
      <c r="W78" s="3"/>
      <c r="X78" s="3">
        <f t="shared" si="10"/>
        <v>-972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","5083"," - ","PURCHASES @ COST-COMPUTER EQUI")</f>
        <v xml:space="preserve">          5083 - PURCHASES @ COST-COMPUTER EQUI</v>
      </c>
      <c r="C79" s="9"/>
      <c r="D79" s="3"/>
      <c r="E79" s="3"/>
      <c r="F79" s="26">
        <f t="shared" si="4"/>
        <v>0</v>
      </c>
      <c r="G79" s="3"/>
      <c r="H79" s="3">
        <v>170</v>
      </c>
      <c r="I79" s="3"/>
      <c r="J79" s="26">
        <f t="shared" si="5"/>
        <v>6.6499765294946009E-4</v>
      </c>
      <c r="K79" s="3"/>
      <c r="L79" s="3">
        <f t="shared" si="6"/>
        <v>-170</v>
      </c>
      <c r="M79" s="3"/>
      <c r="N79" s="26">
        <f t="shared" si="7"/>
        <v>-1</v>
      </c>
      <c r="O79" s="9"/>
      <c r="P79" s="3"/>
      <c r="Q79" s="3"/>
      <c r="R79" s="26">
        <f t="shared" si="8"/>
        <v>0</v>
      </c>
      <c r="S79" s="3"/>
      <c r="T79" s="3">
        <v>170</v>
      </c>
      <c r="U79" s="3"/>
      <c r="V79" s="26">
        <f t="shared" si="9"/>
        <v>6.5534140600353002E-5</v>
      </c>
      <c r="W79" s="3"/>
      <c r="X79" s="3">
        <f t="shared" si="10"/>
        <v>-170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","5086"," - ","PURCHASES @ COST-COMPUTER SUPP")</f>
        <v xml:space="preserve">          5086 - PURCHASES @ COST-COMPUTER SUPP</v>
      </c>
      <c r="C80" s="9"/>
      <c r="D80" s="3"/>
      <c r="E80" s="3"/>
      <c r="F80" s="26">
        <f t="shared" si="4"/>
        <v>0</v>
      </c>
      <c r="G80" s="3"/>
      <c r="H80" s="3">
        <v>156.21</v>
      </c>
      <c r="I80" s="3"/>
      <c r="J80" s="26">
        <f t="shared" si="5"/>
        <v>6.1105460804255986E-4</v>
      </c>
      <c r="K80" s="3"/>
      <c r="L80" s="3">
        <f t="shared" si="6"/>
        <v>-156.21</v>
      </c>
      <c r="M80" s="3"/>
      <c r="N80" s="26">
        <f t="shared" si="7"/>
        <v>-1</v>
      </c>
      <c r="O80" s="9"/>
      <c r="P80" s="3"/>
      <c r="Q80" s="3"/>
      <c r="R80" s="26">
        <f t="shared" si="8"/>
        <v>0</v>
      </c>
      <c r="S80" s="3"/>
      <c r="T80" s="3">
        <v>169.42</v>
      </c>
      <c r="U80" s="3"/>
      <c r="V80" s="26">
        <f t="shared" si="9"/>
        <v>6.5310553532422382E-5</v>
      </c>
      <c r="W80" s="3"/>
      <c r="X80" s="3">
        <f t="shared" si="10"/>
        <v>-169.42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","5200"," - ","PURCHASES OFFSET")</f>
        <v xml:space="preserve">          5200 - PURCHASES OFFSET</v>
      </c>
      <c r="C81" s="9"/>
      <c r="D81" s="3">
        <v>-233803.8</v>
      </c>
      <c r="E81" s="3"/>
      <c r="F81" s="26">
        <f t="shared" si="4"/>
        <v>-0.82776164038589772</v>
      </c>
      <c r="G81" s="3"/>
      <c r="H81" s="3">
        <v>-236426.85</v>
      </c>
      <c r="I81" s="3"/>
      <c r="J81" s="26">
        <f t="shared" si="5"/>
        <v>-0.92484294320137683</v>
      </c>
      <c r="K81" s="3"/>
      <c r="L81" s="3">
        <f t="shared" si="6"/>
        <v>2623.0500000000175</v>
      </c>
      <c r="M81" s="3"/>
      <c r="N81" s="26">
        <f t="shared" si="7"/>
        <v>-1.1094552078158709E-2</v>
      </c>
      <c r="O81" s="9"/>
      <c r="P81" s="3">
        <v>-2876512.94</v>
      </c>
      <c r="Q81" s="3"/>
      <c r="R81" s="26">
        <f t="shared" si="8"/>
        <v>-0.5383770040996162</v>
      </c>
      <c r="S81" s="3"/>
      <c r="T81" s="3">
        <v>-995892.32</v>
      </c>
      <c r="U81" s="3"/>
      <c r="V81" s="26">
        <f t="shared" si="9"/>
        <v>-0.38391145483348083</v>
      </c>
      <c r="W81" s="3"/>
      <c r="X81" s="3">
        <f t="shared" si="10"/>
        <v>-1880620.62</v>
      </c>
      <c r="Y81" s="3"/>
      <c r="Z81" s="26">
        <f t="shared" si="11"/>
        <v>1.8883774703674794</v>
      </c>
    </row>
    <row r="82" spans="1:26" s="69" customFormat="1" ht="15" hidden="1" customHeight="1" outlineLevel="1" x14ac:dyDescent="0.3">
      <c r="A82" s="47"/>
      <c r="B82" s="9" t="str">
        <f>CONCATENATE("          ","5300"," - ","COG$ OFFSET")</f>
        <v xml:space="preserve">          5300 - COG$ OFFSET</v>
      </c>
      <c r="C82" s="9"/>
      <c r="D82" s="3">
        <v>135859.93</v>
      </c>
      <c r="E82" s="3"/>
      <c r="F82" s="26">
        <f t="shared" si="4"/>
        <v>0.48100004584832773</v>
      </c>
      <c r="G82" s="3"/>
      <c r="H82" s="3">
        <v>146675</v>
      </c>
      <c r="I82" s="3"/>
      <c r="J82" s="26">
        <f t="shared" si="5"/>
        <v>0.5737560632138945</v>
      </c>
      <c r="K82" s="3"/>
      <c r="L82" s="3">
        <f t="shared" si="6"/>
        <v>-10815.070000000007</v>
      </c>
      <c r="M82" s="3"/>
      <c r="N82" s="26">
        <f t="shared" si="7"/>
        <v>-7.3734924152036863E-2</v>
      </c>
      <c r="O82" s="9"/>
      <c r="P82" s="3">
        <v>2507198.27</v>
      </c>
      <c r="Q82" s="3"/>
      <c r="R82" s="26">
        <f t="shared" si="8"/>
        <v>0.46925493520857958</v>
      </c>
      <c r="S82" s="3"/>
      <c r="T82" s="3">
        <v>1381399</v>
      </c>
      <c r="U82" s="3"/>
      <c r="V82" s="26">
        <f t="shared" si="9"/>
        <v>0.53252233112462966</v>
      </c>
      <c r="W82" s="3"/>
      <c r="X82" s="3">
        <f t="shared" si="10"/>
        <v>1125799.27</v>
      </c>
      <c r="Y82" s="3"/>
      <c r="Z82" s="26">
        <f t="shared" si="11"/>
        <v>0.81497038147559109</v>
      </c>
    </row>
    <row r="83" spans="1:26" s="69" customFormat="1" ht="15" hidden="1" customHeight="1" outlineLevel="1" x14ac:dyDescent="0.3">
      <c r="A83" s="47"/>
      <c r="B83" s="9" t="str">
        <f>CONCATENATE("          ","5500"," - ","FREIGHT-IN")</f>
        <v xml:space="preserve">          5500 - FREIGHT-IN</v>
      </c>
      <c r="C83" s="9"/>
      <c r="D83" s="3">
        <v>8195.59</v>
      </c>
      <c r="E83" s="3"/>
      <c r="F83" s="26">
        <f t="shared" si="4"/>
        <v>2.901576031839628E-2</v>
      </c>
      <c r="G83" s="3"/>
      <c r="H83" s="3">
        <v>65</v>
      </c>
      <c r="I83" s="3"/>
      <c r="J83" s="26">
        <f t="shared" si="5"/>
        <v>2.5426380848067592E-4</v>
      </c>
      <c r="K83" s="3"/>
      <c r="L83" s="3">
        <f t="shared" si="6"/>
        <v>8130.59</v>
      </c>
      <c r="M83" s="3"/>
      <c r="N83" s="26">
        <f t="shared" si="7"/>
        <v>125.086</v>
      </c>
      <c r="O83" s="9"/>
      <c r="P83" s="3">
        <v>122654.96</v>
      </c>
      <c r="Q83" s="3"/>
      <c r="R83" s="26">
        <f t="shared" si="8"/>
        <v>2.2956479348484445E-2</v>
      </c>
      <c r="S83" s="3"/>
      <c r="T83" s="3">
        <v>65</v>
      </c>
      <c r="U83" s="3"/>
      <c r="V83" s="26">
        <f t="shared" si="9"/>
        <v>2.5057171406017324E-5</v>
      </c>
      <c r="W83" s="3"/>
      <c r="X83" s="3">
        <f t="shared" si="10"/>
        <v>122589.96</v>
      </c>
      <c r="Y83" s="3"/>
      <c r="Z83" s="26">
        <f t="shared" si="11"/>
        <v>1885.9993846153848</v>
      </c>
    </row>
    <row r="84" spans="1:26" s="69" customFormat="1" ht="15" hidden="1" customHeight="1" outlineLevel="1" x14ac:dyDescent="0.3">
      <c r="A84" s="47"/>
      <c r="B84" s="9" t="str">
        <f>CONCATENATE("          ","5525"," - ","FREIGHT-IN-TEST FORMS")</f>
        <v xml:space="preserve">          5525 - FREIGHT-IN-TEST FORMS</v>
      </c>
      <c r="C84" s="9"/>
      <c r="D84" s="3"/>
      <c r="E84" s="3"/>
      <c r="F84" s="26">
        <f t="shared" si="4"/>
        <v>0</v>
      </c>
      <c r="G84" s="3"/>
      <c r="H84" s="3"/>
      <c r="I84" s="3"/>
      <c r="J84" s="26">
        <f t="shared" si="5"/>
        <v>0</v>
      </c>
      <c r="K84" s="3"/>
      <c r="L84" s="3">
        <f t="shared" si="6"/>
        <v>0</v>
      </c>
      <c r="M84" s="3"/>
      <c r="N84" s="26">
        <f t="shared" si="7"/>
        <v>0</v>
      </c>
      <c r="O84" s="9"/>
      <c r="P84" s="3"/>
      <c r="Q84" s="3"/>
      <c r="R84" s="26">
        <f t="shared" si="8"/>
        <v>0</v>
      </c>
      <c r="S84" s="3"/>
      <c r="T84" s="3">
        <v>48.14</v>
      </c>
      <c r="U84" s="3"/>
      <c r="V84" s="26">
        <f t="shared" si="9"/>
        <v>1.855772663824114E-5</v>
      </c>
      <c r="W84" s="3"/>
      <c r="X84" s="3">
        <f t="shared" si="10"/>
        <v>-48.14</v>
      </c>
      <c r="Y84" s="3"/>
      <c r="Z84" s="26">
        <f t="shared" si="11"/>
        <v>-1</v>
      </c>
    </row>
    <row r="85" spans="1:26" s="69" customFormat="1" ht="15" hidden="1" customHeight="1" outlineLevel="1" x14ac:dyDescent="0.3">
      <c r="A85" s="47"/>
      <c r="B85" s="9" t="str">
        <f>CONCATENATE("          ","5526"," - ","FREIGHT-IN-WRITING INSTRUMENTS")</f>
        <v xml:space="preserve">          5526 - FREIGHT-IN-WRITING INSTRUMENTS</v>
      </c>
      <c r="C85" s="9"/>
      <c r="D85" s="3"/>
      <c r="E85" s="3"/>
      <c r="F85" s="26">
        <f t="shared" si="4"/>
        <v>0</v>
      </c>
      <c r="G85" s="3"/>
      <c r="H85" s="3"/>
      <c r="I85" s="3"/>
      <c r="J85" s="26">
        <f t="shared" si="5"/>
        <v>0</v>
      </c>
      <c r="K85" s="3"/>
      <c r="L85" s="3">
        <f t="shared" si="6"/>
        <v>0</v>
      </c>
      <c r="M85" s="3"/>
      <c r="N85" s="26">
        <f t="shared" si="7"/>
        <v>0</v>
      </c>
      <c r="O85" s="9"/>
      <c r="P85" s="3"/>
      <c r="Q85" s="3"/>
      <c r="R85" s="26">
        <f t="shared" si="8"/>
        <v>0</v>
      </c>
      <c r="S85" s="3"/>
      <c r="T85" s="3">
        <v>0</v>
      </c>
      <c r="U85" s="3"/>
      <c r="V85" s="26">
        <f t="shared" si="9"/>
        <v>0</v>
      </c>
      <c r="W85" s="3"/>
      <c r="X85" s="3">
        <f t="shared" si="10"/>
        <v>0</v>
      </c>
      <c r="Y85" s="3"/>
      <c r="Z85" s="26">
        <f t="shared" si="11"/>
        <v>0</v>
      </c>
    </row>
    <row r="86" spans="1:26" s="69" customFormat="1" ht="15" hidden="1" customHeight="1" outlineLevel="1" x14ac:dyDescent="0.3">
      <c r="A86" s="47"/>
      <c r="B86" s="9" t="str">
        <f>CONCATENATE("          ","5527"," - ","FREIGHT-IN-SCHOOL SUPPLIES")</f>
        <v xml:space="preserve">          5527 - FREIGHT-IN-SCHOOL SUPPLIES</v>
      </c>
      <c r="C86" s="9"/>
      <c r="D86" s="3"/>
      <c r="E86" s="3"/>
      <c r="F86" s="26">
        <f t="shared" si="4"/>
        <v>0</v>
      </c>
      <c r="G86" s="3"/>
      <c r="H86" s="3">
        <v>58.29</v>
      </c>
      <c r="I86" s="3"/>
      <c r="J86" s="26">
        <f t="shared" si="5"/>
        <v>2.2801595994367075E-4</v>
      </c>
      <c r="K86" s="3"/>
      <c r="L86" s="3">
        <f t="shared" si="6"/>
        <v>-58.29</v>
      </c>
      <c r="M86" s="3"/>
      <c r="N86" s="26">
        <f t="shared" si="7"/>
        <v>-1</v>
      </c>
      <c r="O86" s="9"/>
      <c r="P86" s="3">
        <v>0</v>
      </c>
      <c r="Q86" s="3"/>
      <c r="R86" s="26">
        <f t="shared" si="8"/>
        <v>0</v>
      </c>
      <c r="S86" s="3"/>
      <c r="T86" s="3">
        <v>276.91000000000003</v>
      </c>
      <c r="U86" s="3"/>
      <c r="V86" s="26">
        <f t="shared" si="9"/>
        <v>1.0674740513908089E-4</v>
      </c>
      <c r="W86" s="3"/>
      <c r="X86" s="3">
        <f t="shared" si="10"/>
        <v>-276.91000000000003</v>
      </c>
      <c r="Y86" s="3"/>
      <c r="Z86" s="26">
        <f t="shared" si="11"/>
        <v>-1</v>
      </c>
    </row>
    <row r="87" spans="1:26" s="69" customFormat="1" ht="15" hidden="1" customHeight="1" outlineLevel="1" x14ac:dyDescent="0.3">
      <c r="A87" s="47"/>
      <c r="B87" s="9" t="str">
        <f>CONCATENATE("          ","5528"," - ","FREIGHT-IN-ART/TECH")</f>
        <v xml:space="preserve">          5528 - FREIGHT-IN-ART/TECH</v>
      </c>
      <c r="C87" s="9"/>
      <c r="D87" s="3"/>
      <c r="E87" s="3"/>
      <c r="F87" s="26">
        <f t="shared" si="4"/>
        <v>0</v>
      </c>
      <c r="G87" s="3"/>
      <c r="H87" s="3">
        <v>102.68</v>
      </c>
      <c r="I87" s="3"/>
      <c r="J87" s="26">
        <f t="shared" si="5"/>
        <v>4.0165858238147393E-4</v>
      </c>
      <c r="K87" s="3"/>
      <c r="L87" s="3">
        <f t="shared" si="6"/>
        <v>-102.68</v>
      </c>
      <c r="M87" s="3"/>
      <c r="N87" s="26">
        <f t="shared" si="7"/>
        <v>-1</v>
      </c>
      <c r="O87" s="9"/>
      <c r="P87" s="3">
        <v>0</v>
      </c>
      <c r="Q87" s="3"/>
      <c r="R87" s="26">
        <f t="shared" si="8"/>
        <v>0</v>
      </c>
      <c r="S87" s="3"/>
      <c r="T87" s="3">
        <v>675.64</v>
      </c>
      <c r="U87" s="3"/>
      <c r="V87" s="26">
        <f t="shared" si="9"/>
        <v>2.6045580444248532E-4</v>
      </c>
      <c r="W87" s="3"/>
      <c r="X87" s="3">
        <f t="shared" si="10"/>
        <v>-675.64</v>
      </c>
      <c r="Y87" s="3"/>
      <c r="Z87" s="26">
        <f t="shared" si="11"/>
        <v>-1</v>
      </c>
    </row>
    <row r="88" spans="1:26" s="69" customFormat="1" ht="15" hidden="1" customHeight="1" outlineLevel="1" x14ac:dyDescent="0.3">
      <c r="A88" s="47"/>
      <c r="B88" s="9" t="str">
        <f>CONCATENATE("          ","5540"," - ","FREIGHT-IN-LOGO CLOTHING")</f>
        <v xml:space="preserve">          5540 - FREIGHT-IN-LOGO CLOTHING</v>
      </c>
      <c r="C88" s="9"/>
      <c r="D88" s="3"/>
      <c r="E88" s="3"/>
      <c r="F88" s="26">
        <f t="shared" si="4"/>
        <v>0</v>
      </c>
      <c r="G88" s="3"/>
      <c r="H88" s="3">
        <v>1384.09</v>
      </c>
      <c r="I88" s="3"/>
      <c r="J88" s="26">
        <f t="shared" si="5"/>
        <v>5.4142153027695187E-3</v>
      </c>
      <c r="K88" s="3"/>
      <c r="L88" s="3">
        <f t="shared" si="6"/>
        <v>-1384.09</v>
      </c>
      <c r="M88" s="3"/>
      <c r="N88" s="26">
        <f t="shared" si="7"/>
        <v>-1</v>
      </c>
      <c r="O88" s="9"/>
      <c r="P88" s="3">
        <v>0</v>
      </c>
      <c r="Q88" s="3"/>
      <c r="R88" s="26">
        <f t="shared" si="8"/>
        <v>0</v>
      </c>
      <c r="S88" s="3"/>
      <c r="T88" s="3">
        <v>11883.79</v>
      </c>
      <c r="U88" s="3"/>
      <c r="V88" s="26">
        <f t="shared" si="9"/>
        <v>4.5811409689709946E-3</v>
      </c>
      <c r="W88" s="3"/>
      <c r="X88" s="3">
        <f t="shared" si="10"/>
        <v>-11883.79</v>
      </c>
      <c r="Y88" s="3"/>
      <c r="Z88" s="26">
        <f t="shared" si="11"/>
        <v>-1</v>
      </c>
    </row>
    <row r="89" spans="1:26" s="69" customFormat="1" ht="15" hidden="1" customHeight="1" outlineLevel="1" x14ac:dyDescent="0.3">
      <c r="A89" s="47"/>
      <c r="B89" s="9" t="str">
        <f>CONCATENATE("          ","5541"," - ","FREIGHT-IN-LOGO GIFTS")</f>
        <v xml:space="preserve">          5541 - FREIGHT-IN-LOGO GIFTS</v>
      </c>
      <c r="C89" s="9"/>
      <c r="D89" s="3"/>
      <c r="E89" s="3"/>
      <c r="F89" s="26">
        <f t="shared" si="4"/>
        <v>0</v>
      </c>
      <c r="G89" s="3"/>
      <c r="H89" s="3">
        <v>1606.81</v>
      </c>
      <c r="I89" s="3"/>
      <c r="J89" s="26">
        <f t="shared" si="5"/>
        <v>6.2854404631513053E-3</v>
      </c>
      <c r="K89" s="3"/>
      <c r="L89" s="3">
        <f t="shared" si="6"/>
        <v>-1606.81</v>
      </c>
      <c r="M89" s="3"/>
      <c r="N89" s="26">
        <f t="shared" si="7"/>
        <v>-1</v>
      </c>
      <c r="O89" s="9"/>
      <c r="P89" s="3">
        <v>0</v>
      </c>
      <c r="Q89" s="3"/>
      <c r="R89" s="26">
        <f t="shared" si="8"/>
        <v>0</v>
      </c>
      <c r="S89" s="3"/>
      <c r="T89" s="3">
        <v>7584.01</v>
      </c>
      <c r="U89" s="3"/>
      <c r="V89" s="26">
        <f t="shared" si="9"/>
        <v>2.923597515614607E-3</v>
      </c>
      <c r="W89" s="3"/>
      <c r="X89" s="3">
        <f t="shared" si="10"/>
        <v>-7584.01</v>
      </c>
      <c r="Y89" s="3"/>
      <c r="Z89" s="26">
        <f t="shared" si="11"/>
        <v>-1</v>
      </c>
    </row>
    <row r="90" spans="1:26" s="69" customFormat="1" ht="15" hidden="1" customHeight="1" outlineLevel="1" x14ac:dyDescent="0.3">
      <c r="A90" s="47"/>
      <c r="B90" s="9" t="str">
        <f>CONCATENATE("          ","5542"," - ","FREIGHT-IN-EVERYDAY GIFTS")</f>
        <v xml:space="preserve">          5542 - FREIGHT-IN-EVERYDAY GIFTS</v>
      </c>
      <c r="C90" s="9"/>
      <c r="D90" s="3"/>
      <c r="E90" s="3"/>
      <c r="F90" s="26">
        <f t="shared" si="4"/>
        <v>0</v>
      </c>
      <c r="G90" s="3"/>
      <c r="H90" s="3"/>
      <c r="I90" s="3"/>
      <c r="J90" s="26">
        <f t="shared" si="5"/>
        <v>0</v>
      </c>
      <c r="K90" s="3"/>
      <c r="L90" s="3">
        <f t="shared" si="6"/>
        <v>0</v>
      </c>
      <c r="M90" s="3"/>
      <c r="N90" s="26">
        <f t="shared" si="7"/>
        <v>0</v>
      </c>
      <c r="O90" s="9"/>
      <c r="P90" s="3">
        <v>0</v>
      </c>
      <c r="Q90" s="3"/>
      <c r="R90" s="26">
        <f t="shared" si="8"/>
        <v>0</v>
      </c>
      <c r="S90" s="3"/>
      <c r="T90" s="3">
        <v>681.72</v>
      </c>
      <c r="U90" s="3"/>
      <c r="V90" s="26">
        <f t="shared" si="9"/>
        <v>2.627996137063097E-4</v>
      </c>
      <c r="W90" s="3"/>
      <c r="X90" s="3">
        <f t="shared" si="10"/>
        <v>-681.72</v>
      </c>
      <c r="Y90" s="3"/>
      <c r="Z90" s="26">
        <f t="shared" si="11"/>
        <v>-1</v>
      </c>
    </row>
    <row r="91" spans="1:26" s="69" customFormat="1" ht="15" hidden="1" customHeight="1" outlineLevel="1" x14ac:dyDescent="0.3">
      <c r="A91" s="47"/>
      <c r="B91" s="9" t="str">
        <f>CONCATENATE("          ","5543"," - ","FREIGHT-IN-CARDS")</f>
        <v xml:space="preserve">          5543 - FREIGHT-IN-CARDS</v>
      </c>
      <c r="C91" s="9"/>
      <c r="D91" s="3"/>
      <c r="E91" s="3"/>
      <c r="F91" s="26">
        <f t="shared" si="4"/>
        <v>0</v>
      </c>
      <c r="G91" s="3"/>
      <c r="H91" s="3"/>
      <c r="I91" s="3"/>
      <c r="J91" s="26">
        <f t="shared" si="5"/>
        <v>0</v>
      </c>
      <c r="K91" s="3"/>
      <c r="L91" s="3">
        <f t="shared" si="6"/>
        <v>0</v>
      </c>
      <c r="M91" s="3"/>
      <c r="N91" s="26">
        <f t="shared" si="7"/>
        <v>0</v>
      </c>
      <c r="O91" s="9"/>
      <c r="P91" s="3"/>
      <c r="Q91" s="3"/>
      <c r="R91" s="26">
        <f t="shared" si="8"/>
        <v>0</v>
      </c>
      <c r="S91" s="3"/>
      <c r="T91" s="3">
        <v>9110.5300000000007</v>
      </c>
      <c r="U91" s="3"/>
      <c r="V91" s="26">
        <f t="shared" si="9"/>
        <v>3.5120632586102003E-3</v>
      </c>
      <c r="W91" s="3"/>
      <c r="X91" s="3">
        <f t="shared" si="10"/>
        <v>-9110.5300000000007</v>
      </c>
      <c r="Y91" s="3"/>
      <c r="Z91" s="26">
        <f t="shared" si="11"/>
        <v>-1</v>
      </c>
    </row>
    <row r="92" spans="1:26" s="69" customFormat="1" ht="15" hidden="1" customHeight="1" outlineLevel="1" x14ac:dyDescent="0.3">
      <c r="A92" s="47"/>
      <c r="B92" s="9" t="str">
        <f>CONCATENATE("          ","5544"," - ","FREIGHT-IN-ACCESSORIES")</f>
        <v xml:space="preserve">          5544 - FREIGHT-IN-ACCESSORIES</v>
      </c>
      <c r="C92" s="9"/>
      <c r="D92" s="3"/>
      <c r="E92" s="3"/>
      <c r="F92" s="26">
        <f t="shared" si="4"/>
        <v>0</v>
      </c>
      <c r="G92" s="3"/>
      <c r="H92" s="3">
        <v>48.59</v>
      </c>
      <c r="I92" s="3"/>
      <c r="J92" s="26">
        <f t="shared" si="5"/>
        <v>1.9007197621655452E-4</v>
      </c>
      <c r="K92" s="3"/>
      <c r="L92" s="3">
        <f t="shared" si="6"/>
        <v>-48.59</v>
      </c>
      <c r="M92" s="3"/>
      <c r="N92" s="26">
        <f t="shared" si="7"/>
        <v>-1</v>
      </c>
      <c r="O92" s="9"/>
      <c r="P92" s="3">
        <v>0</v>
      </c>
      <c r="Q92" s="3"/>
      <c r="R92" s="26">
        <f t="shared" si="8"/>
        <v>0</v>
      </c>
      <c r="S92" s="3"/>
      <c r="T92" s="3">
        <v>48.59</v>
      </c>
      <c r="U92" s="3"/>
      <c r="V92" s="26">
        <f t="shared" si="9"/>
        <v>1.8731199363359721E-5</v>
      </c>
      <c r="W92" s="3"/>
      <c r="X92" s="3">
        <f t="shared" si="10"/>
        <v>-48.59</v>
      </c>
      <c r="Y92" s="3"/>
      <c r="Z92" s="26">
        <f t="shared" si="11"/>
        <v>-1</v>
      </c>
    </row>
    <row r="93" spans="1:26" s="69" customFormat="1" ht="15" hidden="1" customHeight="1" outlineLevel="1" x14ac:dyDescent="0.3">
      <c r="A93" s="47"/>
      <c r="B93" s="9" t="str">
        <f>CONCATENATE("          ","5545"," - ","FREIGHT-IN-SPECIAL ORDERS")</f>
        <v xml:space="preserve">          5545 - FREIGHT-IN-SPECIAL ORDERS</v>
      </c>
      <c r="C93" s="9"/>
      <c r="D93" s="3"/>
      <c r="E93" s="3"/>
      <c r="F93" s="26">
        <f t="shared" si="4"/>
        <v>0</v>
      </c>
      <c r="G93" s="3"/>
      <c r="H93" s="3">
        <v>90.41</v>
      </c>
      <c r="I93" s="3"/>
      <c r="J93" s="26">
        <f t="shared" si="5"/>
        <v>3.5366139884212167E-4</v>
      </c>
      <c r="K93" s="3"/>
      <c r="L93" s="3">
        <f t="shared" si="6"/>
        <v>-90.41</v>
      </c>
      <c r="M93" s="3"/>
      <c r="N93" s="26">
        <f t="shared" si="7"/>
        <v>-1</v>
      </c>
      <c r="O93" s="9"/>
      <c r="P93" s="3">
        <v>0</v>
      </c>
      <c r="Q93" s="3"/>
      <c r="R93" s="26">
        <f t="shared" si="8"/>
        <v>0</v>
      </c>
      <c r="S93" s="3"/>
      <c r="T93" s="3">
        <v>2559.0700000000002</v>
      </c>
      <c r="U93" s="3"/>
      <c r="V93" s="26">
        <f t="shared" si="9"/>
        <v>9.8650854815379631E-4</v>
      </c>
      <c r="W93" s="3"/>
      <c r="X93" s="3">
        <f t="shared" si="10"/>
        <v>-2559.0700000000002</v>
      </c>
      <c r="Y93" s="3"/>
      <c r="Z93" s="26">
        <f t="shared" si="11"/>
        <v>-1</v>
      </c>
    </row>
    <row r="94" spans="1:26" ht="15" customHeight="1" x14ac:dyDescent="0.3">
      <c r="A94" s="12"/>
      <c r="B94" s="13"/>
      <c r="C94" s="13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O94" s="13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2" customFormat="1" ht="15" customHeight="1" x14ac:dyDescent="0.3">
      <c r="A95" s="13"/>
      <c r="B95" s="28" t="s">
        <v>288</v>
      </c>
      <c r="C95" s="28"/>
      <c r="D95" s="22">
        <f>D12-D59</f>
        <v>795.69999999995343</v>
      </c>
      <c r="E95" s="15"/>
      <c r="F95" s="24">
        <f>IF(D$12=0,0,D95/D$12)</f>
        <v>2.8171053560935295E-3</v>
      </c>
      <c r="G95" s="15"/>
      <c r="H95" s="22">
        <f>H12-H59</f>
        <v>64850.710000000021</v>
      </c>
      <c r="I95" s="15"/>
      <c r="J95" s="24">
        <f>IF(H$12=0,0,H95/H$12)</f>
        <v>0.2536798231888594</v>
      </c>
      <c r="K95" s="17"/>
      <c r="L95" s="22">
        <f>+D95-H95</f>
        <v>-64055.010000000068</v>
      </c>
      <c r="M95" s="17"/>
      <c r="N95" s="24">
        <f>IF(H95=0,0,L95/H95)</f>
        <v>-0.98773028082499092</v>
      </c>
      <c r="O95" s="27"/>
      <c r="P95" s="22">
        <f>P12-P59</f>
        <v>2692938.57</v>
      </c>
      <c r="Q95" s="15"/>
      <c r="R95" s="24">
        <f>IF(P$12=0,0,P95/P$12)</f>
        <v>0.50401866071247525</v>
      </c>
      <c r="S95" s="15"/>
      <c r="T95" s="22">
        <f>T12-T59</f>
        <v>1167961.3900000006</v>
      </c>
      <c r="U95" s="15"/>
      <c r="V95" s="24">
        <f>IF(T$12=0,0,T95/T$12)</f>
        <v>0.45024321145908097</v>
      </c>
      <c r="W95" s="17"/>
      <c r="X95" s="22">
        <f>+P95-T95</f>
        <v>1524977.1799999992</v>
      </c>
      <c r="Y95" s="17"/>
      <c r="Z95" s="24">
        <f>IF(T95=0,0,X95/T95)</f>
        <v>1.3056743082919877</v>
      </c>
    </row>
    <row r="96" spans="1:26" ht="15" customHeight="1" x14ac:dyDescent="0.3">
      <c r="A96" s="12"/>
      <c r="B96" s="13"/>
      <c r="C96" s="12"/>
      <c r="D96" s="2"/>
      <c r="E96" s="2"/>
      <c r="F96" s="5"/>
      <c r="G96" s="2"/>
      <c r="H96" s="2"/>
      <c r="I96" s="2"/>
      <c r="J96" s="5"/>
      <c r="K96" s="2"/>
      <c r="L96" s="2"/>
      <c r="M96" s="2"/>
      <c r="N96" s="5"/>
      <c r="O96" s="37"/>
      <c r="P96" s="2"/>
      <c r="Q96" s="2"/>
      <c r="R96" s="5"/>
      <c r="S96" s="2"/>
      <c r="T96" s="2"/>
      <c r="U96" s="2"/>
      <c r="V96" s="5"/>
      <c r="W96" s="2"/>
      <c r="X96" s="2"/>
      <c r="Y96" s="2"/>
      <c r="Z96" s="5"/>
    </row>
    <row r="97" spans="1:26" s="62" customFormat="1" ht="15" customHeight="1" x14ac:dyDescent="0.3">
      <c r="A97" s="13"/>
      <c r="B97" s="27" t="s">
        <v>289</v>
      </c>
      <c r="C97" s="13"/>
      <c r="D97" s="23" cm="1">
        <f t="array" ref="D97">SUM(OSRRefD22x_0)</f>
        <v>54763.720000000008</v>
      </c>
      <c r="E97" s="23"/>
      <c r="F97" s="34">
        <f t="shared" ref="F97:F128" si="12">IF(D$12=0,0,D97/D$12)</f>
        <v>0.19388609894635589</v>
      </c>
      <c r="G97" s="23"/>
      <c r="H97" s="23" cm="1">
        <f t="array" ref="H97">SUM(OSRRefH22x_0)</f>
        <v>66692.50999999998</v>
      </c>
      <c r="I97" s="23"/>
      <c r="J97" s="34">
        <f t="shared" ref="J97:J128" si="13">IF(H$12=0,0,H97/H$12)</f>
        <v>0.26088448599593167</v>
      </c>
      <c r="K97" s="8"/>
      <c r="L97" s="23">
        <f t="shared" ref="L97:L128" si="14">+D97-H97</f>
        <v>-11928.789999999972</v>
      </c>
      <c r="M97" s="8"/>
      <c r="N97" s="34">
        <f t="shared" ref="N97:N128" si="15">IF(H97=0,0,L97/H97)</f>
        <v>-0.17886251394646829</v>
      </c>
      <c r="O97" s="13"/>
      <c r="P97" s="23" cm="1">
        <f t="array" ref="P97">SUM(OSRRefP22x_0)</f>
        <v>1271508.3700000001</v>
      </c>
      <c r="Q97" s="23"/>
      <c r="R97" s="34">
        <f t="shared" ref="R97:R128" si="16">IF(P$12=0,0,P97/P$12)</f>
        <v>0.23797941507893458</v>
      </c>
      <c r="S97" s="23"/>
      <c r="T97" s="23" cm="1">
        <f t="array" ref="T97">SUM(OSRRefT22x_0)</f>
        <v>833920.25999999989</v>
      </c>
      <c r="U97" s="23"/>
      <c r="V97" s="34">
        <f t="shared" ref="V97:V128" si="17">IF(T$12=0,0,T97/T$12)</f>
        <v>0.32147204451954664</v>
      </c>
      <c r="W97" s="8"/>
      <c r="X97" s="23">
        <f t="shared" ref="X97:X128" si="18">+P97-T97</f>
        <v>437588.11000000022</v>
      </c>
      <c r="Y97" s="8"/>
      <c r="Z97" s="34">
        <f t="shared" ref="Z97:Z128" si="19">IF(T97=0,0,X97/T97)</f>
        <v>0.52473615402988327</v>
      </c>
    </row>
    <row r="98" spans="1:26" s="68" customFormat="1" ht="15" customHeight="1" outlineLevel="1" collapsed="1" x14ac:dyDescent="0.3">
      <c r="A98" s="20"/>
      <c r="B98" s="11" t="str">
        <f>CONCATENATE("     ","*Benefits                                         ")</f>
        <v xml:space="preserve">     *Benefits                                         </v>
      </c>
      <c r="C98" s="11"/>
      <c r="D98" s="2">
        <f>SUM(OSRRefD22_0x_0)</f>
        <v>6351.380000000001</v>
      </c>
      <c r="E98" s="2"/>
      <c r="F98" s="5">
        <f t="shared" si="12"/>
        <v>2.248649819855017E-2</v>
      </c>
      <c r="G98" s="2"/>
      <c r="H98" s="2">
        <f>SUM(OSRRefH22_0x_0)</f>
        <v>14579.05</v>
      </c>
      <c r="I98" s="2"/>
      <c r="J98" s="5">
        <f t="shared" si="13"/>
        <v>5.7029611954310742E-2</v>
      </c>
      <c r="K98" s="2"/>
      <c r="L98" s="2">
        <f t="shared" si="14"/>
        <v>-8227.6699999999983</v>
      </c>
      <c r="M98" s="2"/>
      <c r="N98" s="5">
        <f t="shared" si="15"/>
        <v>-0.56434884303161037</v>
      </c>
      <c r="O98" s="11"/>
      <c r="P98" s="2">
        <f>SUM(OSRRefP22_0x_0)</f>
        <v>168574.46</v>
      </c>
      <c r="Q98" s="2"/>
      <c r="R98" s="5">
        <f t="shared" si="16"/>
        <v>3.1550914122607979E-2</v>
      </c>
      <c r="S98" s="2"/>
      <c r="T98" s="2">
        <f>SUM(OSRRefT22_0x_0)</f>
        <v>179000.16000000003</v>
      </c>
      <c r="U98" s="2"/>
      <c r="V98" s="5">
        <f t="shared" si="17"/>
        <v>6.9003656781915793E-2</v>
      </c>
      <c r="W98" s="2"/>
      <c r="X98" s="2">
        <f t="shared" si="18"/>
        <v>-10425.700000000041</v>
      </c>
      <c r="Y98" s="2"/>
      <c r="Z98" s="5">
        <f t="shared" si="19"/>
        <v>-5.8244082016463222E-2</v>
      </c>
    </row>
    <row r="99" spans="1:26" s="69" customFormat="1" ht="15" hidden="1" customHeight="1" outlineLevel="2" x14ac:dyDescent="0.3">
      <c r="A99" s="21"/>
      <c r="B99" s="9" t="str">
        <f>CONCATENATE("          ","6111"," - ","F.I.C.A.")</f>
        <v xml:space="preserve">          6111 - F.I.C.A.</v>
      </c>
      <c r="C99" s="9"/>
      <c r="D99" s="6">
        <v>5262.91</v>
      </c>
      <c r="E99" s="3"/>
      <c r="F99" s="7">
        <f t="shared" si="12"/>
        <v>1.8632866594996939E-2</v>
      </c>
      <c r="G99" s="3"/>
      <c r="H99" s="6">
        <v>3348.97</v>
      </c>
      <c r="I99" s="3"/>
      <c r="J99" s="7">
        <f t="shared" si="13"/>
        <v>1.3100336410577371E-2</v>
      </c>
      <c r="K99" s="3"/>
      <c r="L99" s="6">
        <f t="shared" si="14"/>
        <v>1913.94</v>
      </c>
      <c r="M99" s="3"/>
      <c r="N99" s="7">
        <f t="shared" si="15"/>
        <v>0.57150108839434222</v>
      </c>
      <c r="O99" s="9"/>
      <c r="P99" s="6">
        <v>36496.519999999997</v>
      </c>
      <c r="Q99" s="3"/>
      <c r="R99" s="7">
        <f t="shared" si="16"/>
        <v>6.8308008715795053E-3</v>
      </c>
      <c r="S99" s="3"/>
      <c r="T99" s="6">
        <v>36418.94</v>
      </c>
      <c r="U99" s="3"/>
      <c r="V99" s="7">
        <f t="shared" si="17"/>
        <v>1.4039317261622471E-2</v>
      </c>
      <c r="W99" s="3"/>
      <c r="X99" s="6">
        <f t="shared" si="18"/>
        <v>77.57999999999447</v>
      </c>
      <c r="Y99" s="3"/>
      <c r="Z99" s="7">
        <f t="shared" si="19"/>
        <v>2.1302102697111575E-3</v>
      </c>
    </row>
    <row r="100" spans="1:26" s="69" customFormat="1" ht="15" hidden="1" customHeight="1" outlineLevel="2" x14ac:dyDescent="0.3">
      <c r="A100" s="21"/>
      <c r="B100" s="9" t="str">
        <f>CONCATENATE("          ","6112"," - ","COMPENSATION INSURANCE")</f>
        <v xml:space="preserve">          6112 - COMPENSATION INSURANCE</v>
      </c>
      <c r="C100" s="9"/>
      <c r="D100" s="6">
        <v>-8009.62</v>
      </c>
      <c r="E100" s="3"/>
      <c r="F100" s="7">
        <f t="shared" si="12"/>
        <v>-2.8357350009143113E-2</v>
      </c>
      <c r="G100" s="3"/>
      <c r="H100" s="6">
        <v>926.03</v>
      </c>
      <c r="I100" s="3"/>
      <c r="J100" s="7">
        <f t="shared" si="13"/>
        <v>3.6223986856516971E-3</v>
      </c>
      <c r="K100" s="3"/>
      <c r="L100" s="6">
        <f t="shared" si="14"/>
        <v>-8935.65</v>
      </c>
      <c r="M100" s="3"/>
      <c r="N100" s="7">
        <f t="shared" si="15"/>
        <v>-9.6494174054836233</v>
      </c>
      <c r="O100" s="9"/>
      <c r="P100" s="6">
        <v>3997.18</v>
      </c>
      <c r="Q100" s="3"/>
      <c r="R100" s="7">
        <f t="shared" si="16"/>
        <v>7.4812449592071158E-4</v>
      </c>
      <c r="S100" s="3"/>
      <c r="T100" s="6">
        <v>12226.83</v>
      </c>
      <c r="U100" s="3"/>
      <c r="V100" s="7">
        <f t="shared" si="17"/>
        <v>4.7133811548036126E-3</v>
      </c>
      <c r="W100" s="3"/>
      <c r="X100" s="6">
        <f t="shared" si="18"/>
        <v>-8229.65</v>
      </c>
      <c r="Y100" s="3"/>
      <c r="Z100" s="7">
        <f t="shared" si="19"/>
        <v>-0.67308124836936467</v>
      </c>
    </row>
    <row r="101" spans="1:26" s="69" customFormat="1" ht="15" hidden="1" customHeight="1" outlineLevel="2" x14ac:dyDescent="0.3">
      <c r="A101" s="21"/>
      <c r="B101" s="9" t="str">
        <f>CONCATENATE("          ","6113"," - ","GROUP INSURANCE")</f>
        <v xml:space="preserve">          6113 - GROUP INSURANCE</v>
      </c>
      <c r="C101" s="9"/>
      <c r="D101" s="6">
        <v>3865.43</v>
      </c>
      <c r="E101" s="3"/>
      <c r="F101" s="7">
        <f t="shared" si="12"/>
        <v>1.3685212462743809E-2</v>
      </c>
      <c r="G101" s="3"/>
      <c r="H101" s="6">
        <v>4822.38</v>
      </c>
      <c r="I101" s="3"/>
      <c r="J101" s="7">
        <f t="shared" si="13"/>
        <v>1.8863949303708338E-2</v>
      </c>
      <c r="K101" s="3"/>
      <c r="L101" s="6">
        <f t="shared" si="14"/>
        <v>-956.95000000000027</v>
      </c>
      <c r="M101" s="3"/>
      <c r="N101" s="7">
        <f t="shared" si="15"/>
        <v>-0.19843935981818112</v>
      </c>
      <c r="O101" s="9"/>
      <c r="P101" s="6">
        <v>53722.47</v>
      </c>
      <c r="Q101" s="3"/>
      <c r="R101" s="7">
        <f t="shared" si="16"/>
        <v>1.0054862625242184E-2</v>
      </c>
      <c r="S101" s="3"/>
      <c r="T101" s="6">
        <v>63056.94</v>
      </c>
      <c r="U101" s="3"/>
      <c r="V101" s="7">
        <f t="shared" si="17"/>
        <v>2.4308131598753079E-2</v>
      </c>
      <c r="W101" s="3"/>
      <c r="X101" s="6">
        <f t="shared" si="18"/>
        <v>-9334.4700000000012</v>
      </c>
      <c r="Y101" s="3"/>
      <c r="Z101" s="7">
        <f t="shared" si="19"/>
        <v>-0.14803239738560103</v>
      </c>
    </row>
    <row r="102" spans="1:26" s="69" customFormat="1" ht="15" hidden="1" customHeight="1" outlineLevel="2" x14ac:dyDescent="0.3">
      <c r="A102" s="21"/>
      <c r="B102" s="9" t="str">
        <f>CONCATENATE("          ","6114"," - ","STATE UNEMPLOYMENT INSURANCE")</f>
        <v xml:space="preserve">          6114 - STATE UNEMPLOYMENT INSURANCE</v>
      </c>
      <c r="C102" s="9"/>
      <c r="D102" s="6"/>
      <c r="E102" s="3"/>
      <c r="F102" s="7">
        <f t="shared" si="12"/>
        <v>0</v>
      </c>
      <c r="G102" s="3"/>
      <c r="H102" s="6">
        <v>130.13999999999999</v>
      </c>
      <c r="I102" s="3"/>
      <c r="J102" s="7">
        <f t="shared" si="13"/>
        <v>5.0907526208731019E-4</v>
      </c>
      <c r="K102" s="3"/>
      <c r="L102" s="6">
        <f t="shared" si="14"/>
        <v>-130.13999999999999</v>
      </c>
      <c r="M102" s="3"/>
      <c r="N102" s="7">
        <f t="shared" si="15"/>
        <v>-1</v>
      </c>
      <c r="O102" s="9"/>
      <c r="P102" s="6">
        <v>2110.4499999999998</v>
      </c>
      <c r="Q102" s="3"/>
      <c r="R102" s="7">
        <f t="shared" si="16"/>
        <v>3.9499830941210193E-4</v>
      </c>
      <c r="S102" s="3"/>
      <c r="T102" s="6">
        <v>1520.35</v>
      </c>
      <c r="U102" s="3"/>
      <c r="V102" s="7">
        <f t="shared" si="17"/>
        <v>5.8608723918674517E-4</v>
      </c>
      <c r="W102" s="3"/>
      <c r="X102" s="6">
        <f t="shared" si="18"/>
        <v>590.09999999999991</v>
      </c>
      <c r="Y102" s="3"/>
      <c r="Z102" s="7">
        <f t="shared" si="19"/>
        <v>0.38813431117834707</v>
      </c>
    </row>
    <row r="103" spans="1:26" s="69" customFormat="1" ht="15" hidden="1" customHeight="1" outlineLevel="2" x14ac:dyDescent="0.3">
      <c r="A103" s="21"/>
      <c r="B103" s="9" t="str">
        <f>CONCATENATE("          ","6115"," - ","P.E.R.S.")</f>
        <v xml:space="preserve">          6115 - P.E.R.S.</v>
      </c>
      <c r="C103" s="9"/>
      <c r="D103" s="6">
        <v>1218.6600000000001</v>
      </c>
      <c r="E103" s="3"/>
      <c r="F103" s="7">
        <f t="shared" si="12"/>
        <v>4.3145577645559152E-3</v>
      </c>
      <c r="G103" s="3"/>
      <c r="H103" s="6">
        <v>2526.14</v>
      </c>
      <c r="I103" s="3"/>
      <c r="J103" s="7">
        <f t="shared" si="13"/>
        <v>9.881630417774994E-3</v>
      </c>
      <c r="K103" s="3"/>
      <c r="L103" s="6">
        <f t="shared" si="14"/>
        <v>-1307.4799999999998</v>
      </c>
      <c r="M103" s="3"/>
      <c r="N103" s="7">
        <f t="shared" si="15"/>
        <v>-0.51758018162097108</v>
      </c>
      <c r="O103" s="9"/>
      <c r="P103" s="6">
        <v>18442.28</v>
      </c>
      <c r="Q103" s="3"/>
      <c r="R103" s="7">
        <f t="shared" si="16"/>
        <v>3.4517138153970098E-3</v>
      </c>
      <c r="S103" s="3"/>
      <c r="T103" s="6">
        <v>24449.32</v>
      </c>
      <c r="U103" s="3"/>
      <c r="V103" s="7">
        <f t="shared" si="17"/>
        <v>9.4250892615471912E-3</v>
      </c>
      <c r="W103" s="3"/>
      <c r="X103" s="6">
        <f t="shared" si="18"/>
        <v>-6007.0400000000009</v>
      </c>
      <c r="Y103" s="3"/>
      <c r="Z103" s="7">
        <f t="shared" si="19"/>
        <v>-0.24569354076105188</v>
      </c>
    </row>
    <row r="104" spans="1:26" s="69" customFormat="1" ht="15" hidden="1" customHeight="1" outlineLevel="2" x14ac:dyDescent="0.3">
      <c r="A104" s="21"/>
      <c r="B104" s="9" t="str">
        <f>CONCATENATE("          ","6118"," - ","VACATION")</f>
        <v xml:space="preserve">          6118 - VACATION</v>
      </c>
      <c r="C104" s="9"/>
      <c r="D104" s="6">
        <v>1727.94</v>
      </c>
      <c r="E104" s="3"/>
      <c r="F104" s="7">
        <f t="shared" si="12"/>
        <v>6.1176184856208847E-3</v>
      </c>
      <c r="G104" s="3"/>
      <c r="H104" s="6">
        <v>1312.1</v>
      </c>
      <c r="I104" s="3"/>
      <c r="J104" s="7">
        <f t="shared" si="13"/>
        <v>5.1326083554999206E-3</v>
      </c>
      <c r="K104" s="3"/>
      <c r="L104" s="6">
        <f t="shared" si="14"/>
        <v>415.84000000000015</v>
      </c>
      <c r="M104" s="3"/>
      <c r="N104" s="7">
        <f t="shared" si="15"/>
        <v>0.3169270634860149</v>
      </c>
      <c r="O104" s="9"/>
      <c r="P104" s="6">
        <v>23333.86</v>
      </c>
      <c r="Q104" s="3"/>
      <c r="R104" s="7">
        <f t="shared" si="16"/>
        <v>4.3672369646561961E-3</v>
      </c>
      <c r="S104" s="3"/>
      <c r="T104" s="6">
        <v>20657.64</v>
      </c>
      <c r="U104" s="3"/>
      <c r="V104" s="7">
        <f t="shared" si="17"/>
        <v>7.9634157895969188E-3</v>
      </c>
      <c r="W104" s="3"/>
      <c r="X104" s="6">
        <f t="shared" si="18"/>
        <v>2676.2200000000012</v>
      </c>
      <c r="Y104" s="3"/>
      <c r="Z104" s="7">
        <f t="shared" si="19"/>
        <v>0.12955110070656672</v>
      </c>
    </row>
    <row r="105" spans="1:26" s="69" customFormat="1" ht="15" hidden="1" customHeight="1" outlineLevel="2" x14ac:dyDescent="0.3">
      <c r="A105" s="21"/>
      <c r="B105" s="9" t="str">
        <f>CONCATENATE("          ","6119"," - ","SICK LEAVE")</f>
        <v xml:space="preserve">          6119 - SICK LEAVE</v>
      </c>
      <c r="C105" s="9"/>
      <c r="D105" s="6">
        <v>1322.54</v>
      </c>
      <c r="E105" s="3"/>
      <c r="F105" s="7">
        <f t="shared" si="12"/>
        <v>4.6823357014555162E-3</v>
      </c>
      <c r="G105" s="3"/>
      <c r="H105" s="6">
        <v>1105.6600000000001</v>
      </c>
      <c r="I105" s="3"/>
      <c r="J105" s="7">
        <f t="shared" si="13"/>
        <v>4.3250664997652949E-3</v>
      </c>
      <c r="K105" s="3"/>
      <c r="L105" s="6">
        <f t="shared" si="14"/>
        <v>216.87999999999988</v>
      </c>
      <c r="M105" s="3"/>
      <c r="N105" s="7">
        <f t="shared" si="15"/>
        <v>0.19615433315847536</v>
      </c>
      <c r="O105" s="9"/>
      <c r="P105" s="6">
        <v>20289.650000000001</v>
      </c>
      <c r="Q105" s="3"/>
      <c r="R105" s="7">
        <f t="shared" si="16"/>
        <v>3.7974732633150538E-3</v>
      </c>
      <c r="S105" s="3"/>
      <c r="T105" s="6">
        <v>15106.35</v>
      </c>
      <c r="U105" s="3"/>
      <c r="V105" s="7">
        <f t="shared" si="17"/>
        <v>5.8234215579890738E-3</v>
      </c>
      <c r="W105" s="3"/>
      <c r="X105" s="6">
        <f t="shared" si="18"/>
        <v>5183.3000000000011</v>
      </c>
      <c r="Y105" s="3"/>
      <c r="Z105" s="7">
        <f t="shared" si="19"/>
        <v>0.34312060822104617</v>
      </c>
    </row>
    <row r="106" spans="1:26" s="69" customFormat="1" ht="15" hidden="1" customHeight="1" outlineLevel="2" x14ac:dyDescent="0.3">
      <c r="A106" s="21"/>
      <c r="B106" s="9" t="str">
        <f>CONCATENATE("          ","6156"," - ","EMPLOYEE MEALS")</f>
        <v xml:space="preserve">          6156 - EMPLOYEE MEALS</v>
      </c>
      <c r="C106" s="9"/>
      <c r="D106" s="6">
        <v>963.52</v>
      </c>
      <c r="E106" s="3"/>
      <c r="F106" s="7">
        <f t="shared" si="12"/>
        <v>3.4112571983202166E-3</v>
      </c>
      <c r="G106" s="3"/>
      <c r="H106" s="6">
        <v>407.63</v>
      </c>
      <c r="I106" s="3"/>
      <c r="J106" s="7">
        <f t="shared" si="13"/>
        <v>1.5945470192458141E-3</v>
      </c>
      <c r="K106" s="3"/>
      <c r="L106" s="6">
        <f t="shared" si="14"/>
        <v>555.89</v>
      </c>
      <c r="M106" s="3"/>
      <c r="N106" s="7">
        <f t="shared" si="15"/>
        <v>1.3637121899762039</v>
      </c>
      <c r="O106" s="9"/>
      <c r="P106" s="6">
        <v>10182.049999999999</v>
      </c>
      <c r="Q106" s="3"/>
      <c r="R106" s="7">
        <f t="shared" si="16"/>
        <v>1.9057037770852153E-3</v>
      </c>
      <c r="S106" s="3"/>
      <c r="T106" s="6">
        <v>5563.79</v>
      </c>
      <c r="U106" s="3"/>
      <c r="V106" s="7">
        <f t="shared" si="17"/>
        <v>2.1448129184166941E-3</v>
      </c>
      <c r="W106" s="3"/>
      <c r="X106" s="6">
        <f t="shared" si="18"/>
        <v>4618.2599999999993</v>
      </c>
      <c r="Y106" s="3"/>
      <c r="Z106" s="7">
        <f t="shared" si="19"/>
        <v>0.83005649027012152</v>
      </c>
    </row>
    <row r="107" spans="1:26" s="68" customFormat="1" ht="15" customHeight="1" outlineLevel="1" collapsed="1" x14ac:dyDescent="0.3">
      <c r="A107" s="20"/>
      <c r="B107" s="11" t="str">
        <f>CONCATENATE("     ","*Payroll                                          ")</f>
        <v xml:space="preserve">     *Payroll                                          </v>
      </c>
      <c r="C107" s="11"/>
      <c r="D107" s="2">
        <f>SUM(OSRRefD22_1x_0)</f>
        <v>71875.180000000008</v>
      </c>
      <c r="E107" s="2"/>
      <c r="F107" s="5">
        <f t="shared" si="12"/>
        <v>0.25446770711096944</v>
      </c>
      <c r="G107" s="2"/>
      <c r="H107" s="2">
        <f>SUM(OSRRefH22_1x_0)</f>
        <v>50353.939999999995</v>
      </c>
      <c r="I107" s="2"/>
      <c r="J107" s="5">
        <f t="shared" si="13"/>
        <v>0.19697207009857609</v>
      </c>
      <c r="K107" s="2"/>
      <c r="L107" s="2">
        <f t="shared" si="14"/>
        <v>21521.240000000013</v>
      </c>
      <c r="M107" s="2"/>
      <c r="N107" s="5">
        <f t="shared" si="15"/>
        <v>0.42739932565356387</v>
      </c>
      <c r="O107" s="11"/>
      <c r="P107" s="2">
        <f>SUM(OSRRefP22_1x_0)</f>
        <v>868550.94</v>
      </c>
      <c r="Q107" s="2"/>
      <c r="R107" s="5">
        <f t="shared" si="16"/>
        <v>0.16256066381022624</v>
      </c>
      <c r="S107" s="2"/>
      <c r="T107" s="2">
        <f>SUM(OSRRefT22_1x_0)</f>
        <v>489124.89</v>
      </c>
      <c r="U107" s="2"/>
      <c r="V107" s="5">
        <f t="shared" si="17"/>
        <v>0.18855517242583644</v>
      </c>
      <c r="W107" s="2"/>
      <c r="X107" s="2">
        <f t="shared" si="18"/>
        <v>379426.04999999993</v>
      </c>
      <c r="Y107" s="2"/>
      <c r="Z107" s="5">
        <f t="shared" si="19"/>
        <v>0.77572427361036544</v>
      </c>
    </row>
    <row r="108" spans="1:26" s="69" customFormat="1" ht="15" hidden="1" customHeight="1" outlineLevel="2" x14ac:dyDescent="0.3">
      <c r="A108" s="21"/>
      <c r="B108" s="9" t="str">
        <f>CONCATENATE("          ","6002"," - ","STAFF SALARIES")</f>
        <v xml:space="preserve">          6002 - STAFF SALARIES</v>
      </c>
      <c r="C108" s="9"/>
      <c r="D108" s="6">
        <v>9137.41</v>
      </c>
      <c r="E108" s="3"/>
      <c r="F108" s="7">
        <f t="shared" si="12"/>
        <v>3.2350190589197039E-2</v>
      </c>
      <c r="G108" s="3"/>
      <c r="H108" s="6">
        <v>15739.11</v>
      </c>
      <c r="I108" s="3"/>
      <c r="J108" s="7">
        <f t="shared" si="13"/>
        <v>6.1567477703019867E-2</v>
      </c>
      <c r="K108" s="3"/>
      <c r="L108" s="6">
        <f t="shared" si="14"/>
        <v>-6601.7000000000007</v>
      </c>
      <c r="M108" s="3"/>
      <c r="N108" s="7">
        <f t="shared" si="15"/>
        <v>-0.41944557220833961</v>
      </c>
      <c r="O108" s="9"/>
      <c r="P108" s="6">
        <v>177425.97</v>
      </c>
      <c r="Q108" s="3"/>
      <c r="R108" s="7">
        <f t="shared" si="16"/>
        <v>3.3207589943283336E-2</v>
      </c>
      <c r="S108" s="3"/>
      <c r="T108" s="6">
        <v>223778.43</v>
      </c>
      <c r="U108" s="3"/>
      <c r="V108" s="7">
        <f t="shared" si="17"/>
        <v>8.6265453499683828E-2</v>
      </c>
      <c r="W108" s="3"/>
      <c r="X108" s="6">
        <f t="shared" si="18"/>
        <v>-46352.459999999992</v>
      </c>
      <c r="Y108" s="3"/>
      <c r="Z108" s="7">
        <f t="shared" si="19"/>
        <v>-0.20713551346302678</v>
      </c>
    </row>
    <row r="109" spans="1:26" s="69" customFormat="1" ht="15" hidden="1" customHeight="1" outlineLevel="2" x14ac:dyDescent="0.3">
      <c r="A109" s="21"/>
      <c r="B109" s="9" t="str">
        <f>CONCATENATE("          ","6004"," - ","STAFF HOURLY")</f>
        <v xml:space="preserve">          6004 - STAFF HOURLY</v>
      </c>
      <c r="C109" s="9"/>
      <c r="D109" s="6">
        <v>15952.56</v>
      </c>
      <c r="E109" s="3"/>
      <c r="F109" s="7">
        <f t="shared" si="12"/>
        <v>5.6478625385705694E-2</v>
      </c>
      <c r="G109" s="3"/>
      <c r="H109" s="6">
        <v>7690.47</v>
      </c>
      <c r="I109" s="3"/>
      <c r="J109" s="7">
        <f t="shared" si="13"/>
        <v>3.0083202941636675E-2</v>
      </c>
      <c r="K109" s="3"/>
      <c r="L109" s="6">
        <f t="shared" si="14"/>
        <v>8262.09</v>
      </c>
      <c r="M109" s="3"/>
      <c r="N109" s="7">
        <f t="shared" si="15"/>
        <v>1.0743283570444979</v>
      </c>
      <c r="O109" s="9"/>
      <c r="P109" s="6">
        <v>137850.19</v>
      </c>
      <c r="Q109" s="3"/>
      <c r="R109" s="7">
        <f t="shared" si="16"/>
        <v>2.5800465304620837E-2</v>
      </c>
      <c r="S109" s="3"/>
      <c r="T109" s="6">
        <v>69702.740000000005</v>
      </c>
      <c r="U109" s="3"/>
      <c r="V109" s="7">
        <f t="shared" si="17"/>
        <v>2.6870053902293231E-2</v>
      </c>
      <c r="W109" s="3"/>
      <c r="X109" s="6">
        <f t="shared" si="18"/>
        <v>68147.45</v>
      </c>
      <c r="Y109" s="3"/>
      <c r="Z109" s="7">
        <f t="shared" si="19"/>
        <v>0.97768681690275006</v>
      </c>
    </row>
    <row r="110" spans="1:26" s="69" customFormat="1" ht="15" hidden="1" customHeight="1" outlineLevel="2" x14ac:dyDescent="0.3">
      <c r="A110" s="21"/>
      <c r="B110" s="9" t="str">
        <f>CONCATENATE("          ","6005"," - ","TEMPORARY WAGES-HOURLY")</f>
        <v xml:space="preserve">          6005 - TEMPORARY WAGES-HOURLY</v>
      </c>
      <c r="C110" s="9"/>
      <c r="D110" s="6">
        <v>203.4</v>
      </c>
      <c r="E110" s="3"/>
      <c r="F110" s="7">
        <f t="shared" si="12"/>
        <v>7.2011968006718287E-4</v>
      </c>
      <c r="G110" s="3"/>
      <c r="H110" s="6">
        <v>3017.29</v>
      </c>
      <c r="I110" s="3"/>
      <c r="J110" s="7">
        <f t="shared" si="13"/>
        <v>1.1802886872163978E-2</v>
      </c>
      <c r="K110" s="3"/>
      <c r="L110" s="6">
        <f t="shared" si="14"/>
        <v>-2813.89</v>
      </c>
      <c r="M110" s="3"/>
      <c r="N110" s="7">
        <f t="shared" si="15"/>
        <v>-0.93258851485936056</v>
      </c>
      <c r="O110" s="9"/>
      <c r="P110" s="6">
        <v>36333.93</v>
      </c>
      <c r="Q110" s="3"/>
      <c r="R110" s="7">
        <f t="shared" si="16"/>
        <v>6.8003700273864126E-3</v>
      </c>
      <c r="S110" s="3"/>
      <c r="T110" s="6">
        <v>70336.22</v>
      </c>
      <c r="U110" s="3"/>
      <c r="V110" s="7">
        <f t="shared" si="17"/>
        <v>2.7114257239866831E-2</v>
      </c>
      <c r="W110" s="3"/>
      <c r="X110" s="6">
        <f t="shared" si="18"/>
        <v>-34002.29</v>
      </c>
      <c r="Y110" s="3"/>
      <c r="Z110" s="7">
        <f t="shared" si="19"/>
        <v>-0.48342504046990298</v>
      </c>
    </row>
    <row r="111" spans="1:26" s="69" customFormat="1" ht="15" hidden="1" customHeight="1" outlineLevel="2" x14ac:dyDescent="0.3">
      <c r="A111" s="21"/>
      <c r="B111" s="9" t="str">
        <f>CONCATENATE("          ","6006"," - ","TEMPORARY PART TIME")</f>
        <v xml:space="preserve">          6006 - TEMPORARY PART TIME</v>
      </c>
      <c r="C111" s="9"/>
      <c r="D111" s="6"/>
      <c r="E111" s="3"/>
      <c r="F111" s="7">
        <f t="shared" si="12"/>
        <v>0</v>
      </c>
      <c r="G111" s="3"/>
      <c r="H111" s="6">
        <v>306.3</v>
      </c>
      <c r="I111" s="3"/>
      <c r="J111" s="7">
        <f t="shared" si="13"/>
        <v>1.1981693005789391E-3</v>
      </c>
      <c r="K111" s="3"/>
      <c r="L111" s="6">
        <f t="shared" si="14"/>
        <v>-306.3</v>
      </c>
      <c r="M111" s="3"/>
      <c r="N111" s="7">
        <f t="shared" si="15"/>
        <v>-1</v>
      </c>
      <c r="O111" s="9"/>
      <c r="P111" s="6"/>
      <c r="Q111" s="3"/>
      <c r="R111" s="7">
        <f t="shared" si="16"/>
        <v>0</v>
      </c>
      <c r="S111" s="3"/>
      <c r="T111" s="6">
        <v>6598.9</v>
      </c>
      <c r="U111" s="3"/>
      <c r="V111" s="7">
        <f t="shared" si="17"/>
        <v>2.5438425906333492E-3</v>
      </c>
      <c r="W111" s="3"/>
      <c r="X111" s="6">
        <f t="shared" si="18"/>
        <v>-6598.9</v>
      </c>
      <c r="Y111" s="3"/>
      <c r="Z111" s="7">
        <f t="shared" si="19"/>
        <v>-1</v>
      </c>
    </row>
    <row r="112" spans="1:26" s="69" customFormat="1" ht="15" hidden="1" customHeight="1" outlineLevel="2" x14ac:dyDescent="0.3">
      <c r="A112" s="21"/>
      <c r="B112" s="9" t="str">
        <f>CONCATENATE("          ","6007"," - ","STUDENT HOURLY")</f>
        <v xml:space="preserve">          6007 - STUDENT HOURLY</v>
      </c>
      <c r="C112" s="9"/>
      <c r="D112" s="6">
        <v>39618.36</v>
      </c>
      <c r="E112" s="3"/>
      <c r="F112" s="7">
        <f t="shared" si="12"/>
        <v>0.14026529364791779</v>
      </c>
      <c r="G112" s="3"/>
      <c r="H112" s="6">
        <v>16907.169999999998</v>
      </c>
      <c r="I112" s="3"/>
      <c r="J112" s="7">
        <f t="shared" si="13"/>
        <v>6.6136637458926603E-2</v>
      </c>
      <c r="K112" s="3"/>
      <c r="L112" s="6">
        <f t="shared" si="14"/>
        <v>22711.190000000002</v>
      </c>
      <c r="M112" s="3"/>
      <c r="N112" s="7">
        <f t="shared" si="15"/>
        <v>1.3432874928210934</v>
      </c>
      <c r="O112" s="9"/>
      <c r="P112" s="6">
        <v>415200.91</v>
      </c>
      <c r="Q112" s="3"/>
      <c r="R112" s="7">
        <f t="shared" si="16"/>
        <v>7.7710278621320711E-2</v>
      </c>
      <c r="S112" s="3"/>
      <c r="T112" s="6">
        <v>100440.85</v>
      </c>
      <c r="U112" s="3"/>
      <c r="V112" s="7">
        <f t="shared" si="17"/>
        <v>3.871943991717039E-2</v>
      </c>
      <c r="W112" s="3"/>
      <c r="X112" s="6">
        <f t="shared" si="18"/>
        <v>314760.05999999994</v>
      </c>
      <c r="Y112" s="3"/>
      <c r="Z112" s="7">
        <f t="shared" si="19"/>
        <v>3.1337853074720088</v>
      </c>
    </row>
    <row r="113" spans="1:26" s="69" customFormat="1" ht="15" hidden="1" customHeight="1" outlineLevel="2" x14ac:dyDescent="0.3">
      <c r="A113" s="21"/>
      <c r="B113" s="9" t="str">
        <f>CONCATENATE("          ","6008"," - ","STUDENT HOURLY-FICA EXEMPT")</f>
        <v xml:space="preserve">          6008 - STUDENT HOURLY-FICA EXEMPT</v>
      </c>
      <c r="C113" s="9"/>
      <c r="D113" s="6">
        <v>6963.45</v>
      </c>
      <c r="E113" s="3"/>
      <c r="F113" s="7">
        <f t="shared" si="12"/>
        <v>2.4653477808081734E-2</v>
      </c>
      <c r="G113" s="3"/>
      <c r="H113" s="6">
        <v>6693.6</v>
      </c>
      <c r="I113" s="3"/>
      <c r="J113" s="7">
        <f t="shared" si="13"/>
        <v>2.6183695822250039E-2</v>
      </c>
      <c r="K113" s="3"/>
      <c r="L113" s="6">
        <f t="shared" si="14"/>
        <v>269.84999999999945</v>
      </c>
      <c r="M113" s="3"/>
      <c r="N113" s="7">
        <f t="shared" si="15"/>
        <v>4.031462889924696E-2</v>
      </c>
      <c r="O113" s="9"/>
      <c r="P113" s="6">
        <v>101739.94</v>
      </c>
      <c r="Q113" s="3"/>
      <c r="R113" s="7">
        <f t="shared" si="16"/>
        <v>1.9041959913614959E-2</v>
      </c>
      <c r="S113" s="3"/>
      <c r="T113" s="6">
        <v>18267.75</v>
      </c>
      <c r="U113" s="3"/>
      <c r="V113" s="7">
        <f t="shared" si="17"/>
        <v>7.0421252761888146E-3</v>
      </c>
      <c r="W113" s="3"/>
      <c r="X113" s="6">
        <f t="shared" si="18"/>
        <v>83472.19</v>
      </c>
      <c r="Y113" s="3"/>
      <c r="Z113" s="7">
        <f t="shared" si="19"/>
        <v>4.569374444033885</v>
      </c>
    </row>
    <row r="114" spans="1:26" s="68" customFormat="1" ht="15" customHeight="1" outlineLevel="1" collapsed="1" x14ac:dyDescent="0.3">
      <c r="A114" s="20"/>
      <c r="B114" s="11" t="str">
        <f>CONCATENATE("     ","Advertising/Promo                                 ")</f>
        <v xml:space="preserve">     Advertising/Promo                                 </v>
      </c>
      <c r="C114" s="11"/>
      <c r="D114" s="2">
        <f>SUM(OSRRefD22_2x_0)</f>
        <v>6345.32</v>
      </c>
      <c r="E114" s="2"/>
      <c r="F114" s="5">
        <f t="shared" si="12"/>
        <v>2.2465043305427219E-2</v>
      </c>
      <c r="G114" s="2"/>
      <c r="H114" s="2">
        <f>SUM(OSRRefH22_2x_0)</f>
        <v>1324.8</v>
      </c>
      <c r="I114" s="2"/>
      <c r="J114" s="5">
        <f t="shared" si="13"/>
        <v>5.1822875919261451E-3</v>
      </c>
      <c r="K114" s="2"/>
      <c r="L114" s="2">
        <f t="shared" si="14"/>
        <v>5020.5199999999995</v>
      </c>
      <c r="M114" s="2"/>
      <c r="N114" s="5">
        <f t="shared" si="15"/>
        <v>3.789643719806763</v>
      </c>
      <c r="O114" s="11"/>
      <c r="P114" s="2">
        <f>SUM(OSRRefP22_2x_0)</f>
        <v>18480.009999999998</v>
      </c>
      <c r="Q114" s="2"/>
      <c r="R114" s="5">
        <f t="shared" si="16"/>
        <v>3.4587754781770417E-3</v>
      </c>
      <c r="S114" s="2"/>
      <c r="T114" s="2">
        <f>SUM(OSRRefT22_2x_0)</f>
        <v>15962.33</v>
      </c>
      <c r="U114" s="2"/>
      <c r="V114" s="5">
        <f t="shared" si="17"/>
        <v>6.1533975207601925E-3</v>
      </c>
      <c r="W114" s="2"/>
      <c r="X114" s="2">
        <f t="shared" si="18"/>
        <v>2517.6799999999985</v>
      </c>
      <c r="Y114" s="2"/>
      <c r="Z114" s="5">
        <f t="shared" si="19"/>
        <v>0.15772634696814303</v>
      </c>
    </row>
    <row r="115" spans="1:26" s="69" customFormat="1" ht="15" hidden="1" customHeight="1" outlineLevel="2" x14ac:dyDescent="0.3">
      <c r="A115" s="21"/>
      <c r="B115" s="9" t="str">
        <f>CONCATENATE("          ","6362"," - ","ADVERTISING EXPENSE")</f>
        <v xml:space="preserve">          6362 - ADVERTISING EXPENSE</v>
      </c>
      <c r="C115" s="9"/>
      <c r="D115" s="6">
        <v>6345.32</v>
      </c>
      <c r="E115" s="3"/>
      <c r="F115" s="7">
        <f t="shared" si="12"/>
        <v>2.2465043305427219E-2</v>
      </c>
      <c r="G115" s="3"/>
      <c r="H115" s="6">
        <v>1324.8</v>
      </c>
      <c r="I115" s="3"/>
      <c r="J115" s="7">
        <f t="shared" si="13"/>
        <v>5.1822875919261451E-3</v>
      </c>
      <c r="K115" s="3"/>
      <c r="L115" s="6">
        <f t="shared" si="14"/>
        <v>5020.5199999999995</v>
      </c>
      <c r="M115" s="3"/>
      <c r="N115" s="7">
        <f t="shared" si="15"/>
        <v>3.789643719806763</v>
      </c>
      <c r="O115" s="9"/>
      <c r="P115" s="6">
        <v>18480.009999999998</v>
      </c>
      <c r="Q115" s="3"/>
      <c r="R115" s="7">
        <f t="shared" si="16"/>
        <v>3.4587754781770417E-3</v>
      </c>
      <c r="S115" s="3"/>
      <c r="T115" s="6">
        <v>15962.33</v>
      </c>
      <c r="U115" s="3"/>
      <c r="V115" s="7">
        <f t="shared" si="17"/>
        <v>6.1533975207601925E-3</v>
      </c>
      <c r="W115" s="3"/>
      <c r="X115" s="6">
        <f t="shared" si="18"/>
        <v>2517.6799999999985</v>
      </c>
      <c r="Y115" s="3"/>
      <c r="Z115" s="7">
        <f t="shared" si="19"/>
        <v>0.15772634696814303</v>
      </c>
    </row>
    <row r="116" spans="1:26" s="68" customFormat="1" ht="15" customHeight="1" outlineLevel="1" collapsed="1" x14ac:dyDescent="0.3">
      <c r="A116" s="20"/>
      <c r="B116" s="11" t="str">
        <f>CONCATENATE("     ","Bad Debts/Over/Short                              ")</f>
        <v xml:space="preserve">     Bad Debts/Over/Short                              </v>
      </c>
      <c r="C116" s="11"/>
      <c r="D116" s="2">
        <f>SUM(OSRRefD22_3x_0)</f>
        <v>59.49</v>
      </c>
      <c r="E116" s="2"/>
      <c r="F116" s="5">
        <f t="shared" si="12"/>
        <v>2.1061907456832208E-4</v>
      </c>
      <c r="G116" s="2"/>
      <c r="H116" s="2">
        <f>SUM(OSRRefH22_3x_0)</f>
        <v>-7.0000000000000007E-2</v>
      </c>
      <c r="I116" s="2"/>
      <c r="J116" s="5">
        <f t="shared" si="13"/>
        <v>-2.7382256297918949E-7</v>
      </c>
      <c r="K116" s="2"/>
      <c r="L116" s="2">
        <f t="shared" si="14"/>
        <v>59.56</v>
      </c>
      <c r="M116" s="2"/>
      <c r="N116" s="5">
        <f t="shared" si="15"/>
        <v>-850.85714285714278</v>
      </c>
      <c r="O116" s="11"/>
      <c r="P116" s="2">
        <f>SUM(OSRRefP22_3x_0)</f>
        <v>-2.2200000000000002</v>
      </c>
      <c r="Q116" s="2"/>
      <c r="R116" s="5">
        <f t="shared" si="16"/>
        <v>-4.1550202416302988E-7</v>
      </c>
      <c r="S116" s="2"/>
      <c r="T116" s="2">
        <f>SUM(OSRRefT22_3x_0)</f>
        <v>-23.47</v>
      </c>
      <c r="U116" s="2"/>
      <c r="V116" s="5">
        <f t="shared" si="17"/>
        <v>-9.0475663522957936E-6</v>
      </c>
      <c r="W116" s="2"/>
      <c r="X116" s="2">
        <f t="shared" si="18"/>
        <v>21.25</v>
      </c>
      <c r="Y116" s="2"/>
      <c r="Z116" s="5">
        <f t="shared" si="19"/>
        <v>-0.90541116318704729</v>
      </c>
    </row>
    <row r="117" spans="1:26" s="69" customFormat="1" ht="15" hidden="1" customHeight="1" outlineLevel="2" x14ac:dyDescent="0.3">
      <c r="A117" s="21"/>
      <c r="B117" s="9" t="str">
        <f>CONCATENATE("          ","6272"," - ","CASH (OVER/SHORT)")</f>
        <v xml:space="preserve">          6272 - CASH (OVER/SHORT)</v>
      </c>
      <c r="C117" s="9"/>
      <c r="D117" s="6">
        <v>59.49</v>
      </c>
      <c r="E117" s="3"/>
      <c r="F117" s="7">
        <f t="shared" si="12"/>
        <v>2.1061907456832208E-4</v>
      </c>
      <c r="G117" s="3"/>
      <c r="H117" s="6">
        <v>-7.0000000000000007E-2</v>
      </c>
      <c r="I117" s="3"/>
      <c r="J117" s="7">
        <f t="shared" si="13"/>
        <v>-2.7382256297918949E-7</v>
      </c>
      <c r="K117" s="3"/>
      <c r="L117" s="6">
        <f t="shared" si="14"/>
        <v>59.56</v>
      </c>
      <c r="M117" s="3"/>
      <c r="N117" s="7">
        <f t="shared" si="15"/>
        <v>-850.85714285714278</v>
      </c>
      <c r="O117" s="9"/>
      <c r="P117" s="6">
        <v>-2.2200000000000002</v>
      </c>
      <c r="Q117" s="3"/>
      <c r="R117" s="7">
        <f t="shared" si="16"/>
        <v>-4.1550202416302988E-7</v>
      </c>
      <c r="S117" s="3"/>
      <c r="T117" s="6">
        <v>-23.47</v>
      </c>
      <c r="U117" s="3"/>
      <c r="V117" s="7">
        <f t="shared" si="17"/>
        <v>-9.0475663522957936E-6</v>
      </c>
      <c r="W117" s="3"/>
      <c r="X117" s="6">
        <f t="shared" si="18"/>
        <v>21.25</v>
      </c>
      <c r="Y117" s="3"/>
      <c r="Z117" s="7">
        <f t="shared" si="19"/>
        <v>-0.90541116318704729</v>
      </c>
    </row>
    <row r="118" spans="1:26" s="68" customFormat="1" ht="15" customHeight="1" outlineLevel="1" collapsed="1" x14ac:dyDescent="0.3">
      <c r="A118" s="20"/>
      <c r="B118" s="11" t="str">
        <f>CONCATENATE("     ","Bank/card Fees                                    ")</f>
        <v xml:space="preserve">     Bank/card Fees                                    </v>
      </c>
      <c r="C118" s="11"/>
      <c r="D118" s="2">
        <f>SUM(OSRRefD22_4x_0)</f>
        <v>613.19000000000005</v>
      </c>
      <c r="E118" s="2"/>
      <c r="F118" s="5">
        <f t="shared" si="12"/>
        <v>2.1709448703067643E-3</v>
      </c>
      <c r="G118" s="2"/>
      <c r="H118" s="2">
        <f>SUM(OSRRefH22_4x_0)</f>
        <v>494.04</v>
      </c>
      <c r="I118" s="2"/>
      <c r="J118" s="5">
        <f t="shared" si="13"/>
        <v>1.9325614144891253E-3</v>
      </c>
      <c r="K118" s="2"/>
      <c r="L118" s="2">
        <f t="shared" si="14"/>
        <v>119.15000000000003</v>
      </c>
      <c r="M118" s="2"/>
      <c r="N118" s="5">
        <f t="shared" si="15"/>
        <v>0.24117480365962277</v>
      </c>
      <c r="O118" s="11"/>
      <c r="P118" s="2">
        <f>SUM(OSRRefP22_4x_0)</f>
        <v>6814.66</v>
      </c>
      <c r="Q118" s="2"/>
      <c r="R118" s="5">
        <f t="shared" si="16"/>
        <v>1.2754527135057806E-3</v>
      </c>
      <c r="S118" s="2"/>
      <c r="T118" s="2">
        <f>SUM(OSRRefT22_4x_0)</f>
        <v>4972.8900000000003</v>
      </c>
      <c r="U118" s="2"/>
      <c r="V118" s="5">
        <f t="shared" si="17"/>
        <v>1.9170239555887615E-3</v>
      </c>
      <c r="W118" s="2"/>
      <c r="X118" s="2">
        <f t="shared" si="18"/>
        <v>1841.7699999999995</v>
      </c>
      <c r="Y118" s="2"/>
      <c r="Z118" s="5">
        <f t="shared" si="19"/>
        <v>0.37036210332422381</v>
      </c>
    </row>
    <row r="119" spans="1:26" s="69" customFormat="1" ht="15" hidden="1" customHeight="1" outlineLevel="2" x14ac:dyDescent="0.3">
      <c r="A119" s="21"/>
      <c r="B119" s="9" t="str">
        <f>CONCATENATE("          ","6381"," - ","BANK/CREDIT CARD FEES")</f>
        <v xml:space="preserve">          6381 - BANK/CREDIT CARD FEES</v>
      </c>
      <c r="C119" s="9"/>
      <c r="D119" s="6">
        <v>613.19000000000005</v>
      </c>
      <c r="E119" s="3"/>
      <c r="F119" s="7">
        <f t="shared" si="12"/>
        <v>2.1709448703067643E-3</v>
      </c>
      <c r="G119" s="3"/>
      <c r="H119" s="6">
        <v>494.04</v>
      </c>
      <c r="I119" s="3"/>
      <c r="J119" s="7">
        <f t="shared" si="13"/>
        <v>1.9325614144891253E-3</v>
      </c>
      <c r="K119" s="3"/>
      <c r="L119" s="6">
        <f t="shared" si="14"/>
        <v>119.15000000000003</v>
      </c>
      <c r="M119" s="3"/>
      <c r="N119" s="7">
        <f t="shared" si="15"/>
        <v>0.24117480365962277</v>
      </c>
      <c r="O119" s="9"/>
      <c r="P119" s="6">
        <v>6814.66</v>
      </c>
      <c r="Q119" s="3"/>
      <c r="R119" s="7">
        <f t="shared" si="16"/>
        <v>1.2754527135057806E-3</v>
      </c>
      <c r="S119" s="3"/>
      <c r="T119" s="6">
        <v>4972.8900000000003</v>
      </c>
      <c r="U119" s="3"/>
      <c r="V119" s="7">
        <f t="shared" si="17"/>
        <v>1.9170239555887615E-3</v>
      </c>
      <c r="W119" s="3"/>
      <c r="X119" s="6">
        <f t="shared" si="18"/>
        <v>1841.7699999999995</v>
      </c>
      <c r="Y119" s="3"/>
      <c r="Z119" s="7">
        <f t="shared" si="19"/>
        <v>0.37036210332422381</v>
      </c>
    </row>
    <row r="120" spans="1:26" s="68" customFormat="1" ht="15" customHeight="1" outlineLevel="1" collapsed="1" x14ac:dyDescent="0.3">
      <c r="A120" s="20"/>
      <c r="B120" s="11" t="str">
        <f>CONCATENATE("     ","Discounts and Markdowns                           ")</f>
        <v xml:space="preserve">     Discounts and Markdowns                           </v>
      </c>
      <c r="C120" s="11"/>
      <c r="D120" s="2">
        <f>SUM(OSRRefD22_5x_0)</f>
        <v>30.17</v>
      </c>
      <c r="E120" s="2"/>
      <c r="F120" s="5">
        <f t="shared" si="12"/>
        <v>1.0681421213189237E-4</v>
      </c>
      <c r="G120" s="2"/>
      <c r="H120" s="2">
        <f>SUM(OSRRefH22_5x_0)</f>
        <v>0</v>
      </c>
      <c r="I120" s="2"/>
      <c r="J120" s="5">
        <f t="shared" si="13"/>
        <v>0</v>
      </c>
      <c r="K120" s="2"/>
      <c r="L120" s="2">
        <f t="shared" si="14"/>
        <v>30.17</v>
      </c>
      <c r="M120" s="2"/>
      <c r="N120" s="5">
        <f t="shared" si="15"/>
        <v>0</v>
      </c>
      <c r="O120" s="11"/>
      <c r="P120" s="2">
        <f>SUM(OSRRefP22_5x_0)</f>
        <v>-8.93</v>
      </c>
      <c r="Q120" s="2"/>
      <c r="R120" s="5">
        <f t="shared" si="16"/>
        <v>-1.6713662503494849E-6</v>
      </c>
      <c r="S120" s="2"/>
      <c r="T120" s="2">
        <f>SUM(OSRRefT22_5x_0)</f>
        <v>0</v>
      </c>
      <c r="U120" s="2"/>
      <c r="V120" s="5">
        <f t="shared" si="17"/>
        <v>0</v>
      </c>
      <c r="W120" s="2"/>
      <c r="X120" s="2">
        <f t="shared" si="18"/>
        <v>-8.93</v>
      </c>
      <c r="Y120" s="2"/>
      <c r="Z120" s="5">
        <f t="shared" si="19"/>
        <v>0</v>
      </c>
    </row>
    <row r="121" spans="1:26" s="69" customFormat="1" ht="15" hidden="1" customHeight="1" outlineLevel="2" x14ac:dyDescent="0.3">
      <c r="A121" s="21"/>
      <c r="B121" s="9" t="str">
        <f>CONCATENATE("          ","6382"," - ","DISCOUNTS/MARK DOWNS")</f>
        <v xml:space="preserve">          6382 - DISCOUNTS/MARK DOWNS</v>
      </c>
      <c r="C121" s="9"/>
      <c r="D121" s="6"/>
      <c r="E121" s="3"/>
      <c r="F121" s="7">
        <f t="shared" si="12"/>
        <v>0</v>
      </c>
      <c r="G121" s="3"/>
      <c r="H121" s="6">
        <v>0</v>
      </c>
      <c r="I121" s="3"/>
      <c r="J121" s="7">
        <f t="shared" si="13"/>
        <v>0</v>
      </c>
      <c r="K121" s="3"/>
      <c r="L121" s="6">
        <f t="shared" si="14"/>
        <v>0</v>
      </c>
      <c r="M121" s="3"/>
      <c r="N121" s="7">
        <f t="shared" si="15"/>
        <v>0</v>
      </c>
      <c r="O121" s="9"/>
      <c r="P121" s="6"/>
      <c r="Q121" s="3"/>
      <c r="R121" s="7">
        <f t="shared" si="16"/>
        <v>0</v>
      </c>
      <c r="S121" s="3"/>
      <c r="T121" s="6">
        <v>0</v>
      </c>
      <c r="U121" s="3"/>
      <c r="V121" s="7">
        <f t="shared" si="17"/>
        <v>0</v>
      </c>
      <c r="W121" s="3"/>
      <c r="X121" s="6">
        <f t="shared" si="18"/>
        <v>0</v>
      </c>
      <c r="Y121" s="3"/>
      <c r="Z121" s="7">
        <f t="shared" si="19"/>
        <v>0</v>
      </c>
    </row>
    <row r="122" spans="1:26" s="69" customFormat="1" ht="15" hidden="1" customHeight="1" outlineLevel="2" x14ac:dyDescent="0.3">
      <c r="A122" s="21"/>
      <c r="B122" s="9" t="str">
        <f>CONCATENATE("          ","9175"," - ","EARNED DISCOUNTS")</f>
        <v xml:space="preserve">          9175 - EARNED DISCOUNTS</v>
      </c>
      <c r="C122" s="9"/>
      <c r="D122" s="6">
        <v>30.17</v>
      </c>
      <c r="E122" s="3"/>
      <c r="F122" s="7">
        <f t="shared" si="12"/>
        <v>1.0681421213189237E-4</v>
      </c>
      <c r="G122" s="3"/>
      <c r="H122" s="6">
        <v>0</v>
      </c>
      <c r="I122" s="3"/>
      <c r="J122" s="7">
        <f t="shared" si="13"/>
        <v>0</v>
      </c>
      <c r="K122" s="3"/>
      <c r="L122" s="6">
        <f t="shared" si="14"/>
        <v>30.17</v>
      </c>
      <c r="M122" s="3"/>
      <c r="N122" s="7">
        <f t="shared" si="15"/>
        <v>0</v>
      </c>
      <c r="O122" s="9"/>
      <c r="P122" s="6">
        <v>-8.93</v>
      </c>
      <c r="Q122" s="3"/>
      <c r="R122" s="7">
        <f t="shared" si="16"/>
        <v>-1.6713662503494849E-6</v>
      </c>
      <c r="S122" s="3"/>
      <c r="T122" s="6">
        <v>0</v>
      </c>
      <c r="U122" s="3"/>
      <c r="V122" s="7">
        <f t="shared" si="17"/>
        <v>0</v>
      </c>
      <c r="W122" s="3"/>
      <c r="X122" s="6">
        <f t="shared" si="18"/>
        <v>-8.93</v>
      </c>
      <c r="Y122" s="3"/>
      <c r="Z122" s="7">
        <f t="shared" si="19"/>
        <v>0</v>
      </c>
    </row>
    <row r="123" spans="1:26" s="68" customFormat="1" ht="15" customHeight="1" outlineLevel="1" collapsed="1" x14ac:dyDescent="0.3">
      <c r="A123" s="20"/>
      <c r="B123" s="11" t="str">
        <f>CONCATENATE("     ","Employees' Appreciation                           ")</f>
        <v xml:space="preserve">     Employees' Appreciation                           </v>
      </c>
      <c r="C123" s="11"/>
      <c r="D123" s="2">
        <f>SUM(OSRRefD22_6x_0)</f>
        <v>1068.18</v>
      </c>
      <c r="E123" s="2"/>
      <c r="F123" s="5">
        <f t="shared" si="12"/>
        <v>3.781796656116831E-3</v>
      </c>
      <c r="G123" s="2"/>
      <c r="H123" s="2">
        <f>SUM(OSRRefH22_6x_0)</f>
        <v>0</v>
      </c>
      <c r="I123" s="2"/>
      <c r="J123" s="5">
        <f t="shared" si="13"/>
        <v>0</v>
      </c>
      <c r="K123" s="2"/>
      <c r="L123" s="2">
        <f t="shared" si="14"/>
        <v>1068.18</v>
      </c>
      <c r="M123" s="2"/>
      <c r="N123" s="5">
        <f t="shared" si="15"/>
        <v>0</v>
      </c>
      <c r="O123" s="11"/>
      <c r="P123" s="2">
        <f>SUM(OSRRefP22_6x_0)</f>
        <v>1359.31</v>
      </c>
      <c r="Q123" s="2"/>
      <c r="R123" s="5">
        <f t="shared" si="16"/>
        <v>2.5441263804731895E-4</v>
      </c>
      <c r="S123" s="2"/>
      <c r="T123" s="2">
        <f>SUM(OSRRefT22_6x_0)</f>
        <v>0</v>
      </c>
      <c r="U123" s="2"/>
      <c r="V123" s="5">
        <f t="shared" si="17"/>
        <v>0</v>
      </c>
      <c r="W123" s="2"/>
      <c r="X123" s="2">
        <f t="shared" si="18"/>
        <v>1359.31</v>
      </c>
      <c r="Y123" s="2"/>
      <c r="Z123" s="5">
        <f t="shared" si="19"/>
        <v>0</v>
      </c>
    </row>
    <row r="124" spans="1:26" s="69" customFormat="1" ht="15" hidden="1" customHeight="1" outlineLevel="2" x14ac:dyDescent="0.3">
      <c r="A124" s="21"/>
      <c r="B124" s="9" t="str">
        <f>CONCATENATE("          ","6277"," - ","EMPLOYEE APPRECIATION")</f>
        <v xml:space="preserve">          6277 - EMPLOYEE APPRECIATION</v>
      </c>
      <c r="C124" s="9"/>
      <c r="D124" s="6">
        <v>1068.18</v>
      </c>
      <c r="E124" s="3"/>
      <c r="F124" s="7">
        <f t="shared" si="12"/>
        <v>3.781796656116831E-3</v>
      </c>
      <c r="G124" s="3"/>
      <c r="H124" s="6"/>
      <c r="I124" s="3"/>
      <c r="J124" s="7">
        <f t="shared" si="13"/>
        <v>0</v>
      </c>
      <c r="K124" s="3"/>
      <c r="L124" s="6">
        <f t="shared" si="14"/>
        <v>1068.18</v>
      </c>
      <c r="M124" s="3"/>
      <c r="N124" s="7">
        <f t="shared" si="15"/>
        <v>0</v>
      </c>
      <c r="O124" s="9"/>
      <c r="P124" s="6">
        <v>1359.31</v>
      </c>
      <c r="Q124" s="3"/>
      <c r="R124" s="7">
        <f t="shared" si="16"/>
        <v>2.5441263804731895E-4</v>
      </c>
      <c r="S124" s="3"/>
      <c r="T124" s="6"/>
      <c r="U124" s="3"/>
      <c r="V124" s="7">
        <f t="shared" si="17"/>
        <v>0</v>
      </c>
      <c r="W124" s="3"/>
      <c r="X124" s="6">
        <f t="shared" si="18"/>
        <v>1359.31</v>
      </c>
      <c r="Y124" s="3"/>
      <c r="Z124" s="7">
        <f t="shared" si="19"/>
        <v>0</v>
      </c>
    </row>
    <row r="125" spans="1:26" s="68" customFormat="1" ht="15" customHeight="1" outlineLevel="1" collapsed="1" x14ac:dyDescent="0.3">
      <c r="A125" s="20"/>
      <c r="B125" s="11" t="str">
        <f>CONCATENATE("     ","Equipment Rental                                  ")</f>
        <v xml:space="preserve">     Equipment Rental                                  </v>
      </c>
      <c r="C125" s="11"/>
      <c r="D125" s="2">
        <f>SUM(OSRRefD22_7x_0)</f>
        <v>96.22</v>
      </c>
      <c r="E125" s="2"/>
      <c r="F125" s="5">
        <f t="shared" si="12"/>
        <v>3.4065838552637333E-4</v>
      </c>
      <c r="G125" s="2"/>
      <c r="H125" s="2">
        <f>SUM(OSRRefH22_7x_0)</f>
        <v>0</v>
      </c>
      <c r="I125" s="2"/>
      <c r="J125" s="5">
        <f t="shared" si="13"/>
        <v>0</v>
      </c>
      <c r="K125" s="2"/>
      <c r="L125" s="2">
        <f t="shared" si="14"/>
        <v>96.22</v>
      </c>
      <c r="M125" s="2"/>
      <c r="N125" s="5">
        <f t="shared" si="15"/>
        <v>0</v>
      </c>
      <c r="O125" s="11"/>
      <c r="P125" s="2">
        <f>SUM(OSRRefP22_7x_0)</f>
        <v>215.13</v>
      </c>
      <c r="Q125" s="2"/>
      <c r="R125" s="5">
        <f t="shared" si="16"/>
        <v>4.0264392098284958E-5</v>
      </c>
      <c r="S125" s="2"/>
      <c r="T125" s="2">
        <f>SUM(OSRRefT22_7x_0)</f>
        <v>0</v>
      </c>
      <c r="U125" s="2"/>
      <c r="V125" s="5">
        <f t="shared" si="17"/>
        <v>0</v>
      </c>
      <c r="W125" s="2"/>
      <c r="X125" s="2">
        <f t="shared" si="18"/>
        <v>215.13</v>
      </c>
      <c r="Y125" s="2"/>
      <c r="Z125" s="5">
        <f t="shared" si="19"/>
        <v>0</v>
      </c>
    </row>
    <row r="126" spans="1:26" s="69" customFormat="1" ht="15" hidden="1" customHeight="1" outlineLevel="2" x14ac:dyDescent="0.3">
      <c r="A126" s="21"/>
      <c r="B126" s="9" t="str">
        <f>CONCATENATE("          ","6351"," - ","EQUIPMENT RENTAL")</f>
        <v xml:space="preserve">          6351 - EQUIPMENT RENTAL</v>
      </c>
      <c r="C126" s="9"/>
      <c r="D126" s="6">
        <v>96.22</v>
      </c>
      <c r="E126" s="3"/>
      <c r="F126" s="7">
        <f t="shared" si="12"/>
        <v>3.4065838552637333E-4</v>
      </c>
      <c r="G126" s="3"/>
      <c r="H126" s="6"/>
      <c r="I126" s="3"/>
      <c r="J126" s="7">
        <f t="shared" si="13"/>
        <v>0</v>
      </c>
      <c r="K126" s="3"/>
      <c r="L126" s="6">
        <f t="shared" si="14"/>
        <v>96.22</v>
      </c>
      <c r="M126" s="3"/>
      <c r="N126" s="7">
        <f t="shared" si="15"/>
        <v>0</v>
      </c>
      <c r="O126" s="9"/>
      <c r="P126" s="6">
        <v>215.13</v>
      </c>
      <c r="Q126" s="3"/>
      <c r="R126" s="7">
        <f t="shared" si="16"/>
        <v>4.0264392098284958E-5</v>
      </c>
      <c r="S126" s="3"/>
      <c r="T126" s="6"/>
      <c r="U126" s="3"/>
      <c r="V126" s="7">
        <f t="shared" si="17"/>
        <v>0</v>
      </c>
      <c r="W126" s="3"/>
      <c r="X126" s="6">
        <f t="shared" si="18"/>
        <v>215.13</v>
      </c>
      <c r="Y126" s="3"/>
      <c r="Z126" s="7">
        <f t="shared" si="19"/>
        <v>0</v>
      </c>
    </row>
    <row r="127" spans="1:26" s="68" customFormat="1" ht="15" customHeight="1" outlineLevel="1" collapsed="1" x14ac:dyDescent="0.3">
      <c r="A127" s="20"/>
      <c r="B127" s="11" t="str">
        <f>CONCATENATE("     ","Freight out/Postage                               ")</f>
        <v xml:space="preserve">     Freight out/Postage                               </v>
      </c>
      <c r="C127" s="11"/>
      <c r="D127" s="2">
        <f>SUM(OSRRefD22_8x_0)</f>
        <v>0</v>
      </c>
      <c r="E127" s="2"/>
      <c r="F127" s="5">
        <f t="shared" si="12"/>
        <v>0</v>
      </c>
      <c r="G127" s="2"/>
      <c r="H127" s="2">
        <f>SUM(OSRRefH22_8x_0)</f>
        <v>9.25</v>
      </c>
      <c r="I127" s="2"/>
      <c r="J127" s="5">
        <f t="shared" si="13"/>
        <v>3.6183695822250034E-5</v>
      </c>
      <c r="K127" s="2"/>
      <c r="L127" s="2">
        <f t="shared" si="14"/>
        <v>-9.25</v>
      </c>
      <c r="M127" s="2"/>
      <c r="N127" s="5">
        <f t="shared" si="15"/>
        <v>-1</v>
      </c>
      <c r="O127" s="11"/>
      <c r="P127" s="2">
        <f>SUM(OSRRefP22_8x_0)</f>
        <v>983.79</v>
      </c>
      <c r="Q127" s="2"/>
      <c r="R127" s="5">
        <f t="shared" si="16"/>
        <v>1.8412916051862484E-4</v>
      </c>
      <c r="S127" s="2"/>
      <c r="T127" s="2">
        <f>SUM(OSRRefT22_8x_0)</f>
        <v>-137.59999999999997</v>
      </c>
      <c r="U127" s="2"/>
      <c r="V127" s="5">
        <f t="shared" si="17"/>
        <v>-5.3044104391815121E-5</v>
      </c>
      <c r="W127" s="2"/>
      <c r="X127" s="2">
        <f t="shared" si="18"/>
        <v>1121.3899999999999</v>
      </c>
      <c r="Y127" s="2"/>
      <c r="Z127" s="5">
        <f t="shared" si="19"/>
        <v>-8.1496366279069772</v>
      </c>
    </row>
    <row r="128" spans="1:26" s="69" customFormat="1" ht="15" hidden="1" customHeight="1" outlineLevel="2" x14ac:dyDescent="0.3">
      <c r="A128" s="21"/>
      <c r="B128" s="9" t="str">
        <f>CONCATENATE("          ","6305"," - ","FREIGHT OUT")</f>
        <v xml:space="preserve">          6305 - FREIGHT OUT</v>
      </c>
      <c r="C128" s="9"/>
      <c r="D128" s="6"/>
      <c r="E128" s="3"/>
      <c r="F128" s="7">
        <f t="shared" si="12"/>
        <v>0</v>
      </c>
      <c r="G128" s="3"/>
      <c r="H128" s="6">
        <v>9.25</v>
      </c>
      <c r="I128" s="3"/>
      <c r="J128" s="7">
        <f t="shared" si="13"/>
        <v>3.6183695822250034E-5</v>
      </c>
      <c r="K128" s="3"/>
      <c r="L128" s="6">
        <f t="shared" si="14"/>
        <v>-9.25</v>
      </c>
      <c r="M128" s="3"/>
      <c r="N128" s="7">
        <f t="shared" si="15"/>
        <v>-1</v>
      </c>
      <c r="O128" s="9"/>
      <c r="P128" s="6">
        <v>893.87</v>
      </c>
      <c r="Q128" s="3"/>
      <c r="R128" s="7">
        <f t="shared" si="16"/>
        <v>1.6729945690928267E-4</v>
      </c>
      <c r="S128" s="3"/>
      <c r="T128" s="6">
        <v>151.74</v>
      </c>
      <c r="U128" s="3"/>
      <c r="V128" s="7">
        <f t="shared" si="17"/>
        <v>5.8495002909985676E-5</v>
      </c>
      <c r="W128" s="3"/>
      <c r="X128" s="6">
        <f t="shared" si="18"/>
        <v>742.13</v>
      </c>
      <c r="Y128" s="3"/>
      <c r="Z128" s="7">
        <f t="shared" si="19"/>
        <v>4.8908000527217608</v>
      </c>
    </row>
    <row r="129" spans="1:26" s="69" customFormat="1" ht="15" hidden="1" customHeight="1" outlineLevel="2" x14ac:dyDescent="0.3">
      <c r="A129" s="21"/>
      <c r="B129" s="9" t="str">
        <f>CONCATENATE("          ","6307"," - ","POSTAGE")</f>
        <v xml:space="preserve">          6307 - POSTAGE</v>
      </c>
      <c r="C129" s="9"/>
      <c r="D129" s="6"/>
      <c r="E129" s="3"/>
      <c r="F129" s="7">
        <f t="shared" ref="F129:F160" si="20">IF(D$12=0,0,D129/D$12)</f>
        <v>0</v>
      </c>
      <c r="G129" s="3"/>
      <c r="H129" s="6"/>
      <c r="I129" s="3"/>
      <c r="J129" s="7">
        <f t="shared" ref="J129:J160" si="21">IF(H$12=0,0,H129/H$12)</f>
        <v>0</v>
      </c>
      <c r="K129" s="3"/>
      <c r="L129" s="6">
        <f t="shared" ref="L129:L160" si="22">+D129-H129</f>
        <v>0</v>
      </c>
      <c r="M129" s="3"/>
      <c r="N129" s="7">
        <f t="shared" ref="N129:N160" si="23">IF(H129=0,0,L129/H129)</f>
        <v>0</v>
      </c>
      <c r="O129" s="9"/>
      <c r="P129" s="6">
        <v>89.92</v>
      </c>
      <c r="Q129" s="3"/>
      <c r="R129" s="7">
        <f t="shared" ref="R129:R160" si="24">IF(P$12=0,0,P129/P$12)</f>
        <v>1.6829703609342184E-5</v>
      </c>
      <c r="S129" s="3"/>
      <c r="T129" s="6">
        <v>-289.33999999999997</v>
      </c>
      <c r="U129" s="3"/>
      <c r="V129" s="7">
        <f t="shared" ref="V129:V160" si="25">IF(T$12=0,0,T129/T$12)</f>
        <v>-1.115391073018008E-4</v>
      </c>
      <c r="W129" s="3"/>
      <c r="X129" s="6">
        <f t="shared" ref="X129:X160" si="26">+P129-T129</f>
        <v>379.26</v>
      </c>
      <c r="Y129" s="3"/>
      <c r="Z129" s="7">
        <f t="shared" ref="Z129:Z160" si="27">IF(T129=0,0,X129/T129)</f>
        <v>-1.3107762493951753</v>
      </c>
    </row>
    <row r="130" spans="1:26" s="68" customFormat="1" ht="15" customHeight="1" outlineLevel="1" collapsed="1" x14ac:dyDescent="0.3">
      <c r="A130" s="20"/>
      <c r="B130" s="11" t="str">
        <f>CONCATENATE("     ","General                                           ")</f>
        <v xml:space="preserve">     General                                           </v>
      </c>
      <c r="C130" s="11"/>
      <c r="D130" s="2">
        <f>SUM(OSRRefD22_9x_0)</f>
        <v>0</v>
      </c>
      <c r="E130" s="2"/>
      <c r="F130" s="5">
        <f t="shared" si="20"/>
        <v>0</v>
      </c>
      <c r="G130" s="2"/>
      <c r="H130" s="2">
        <f>SUM(OSRRefH22_9x_0)</f>
        <v>0</v>
      </c>
      <c r="I130" s="2"/>
      <c r="J130" s="5">
        <f t="shared" si="21"/>
        <v>0</v>
      </c>
      <c r="K130" s="2"/>
      <c r="L130" s="2">
        <f t="shared" si="22"/>
        <v>0</v>
      </c>
      <c r="M130" s="2"/>
      <c r="N130" s="5">
        <f t="shared" si="23"/>
        <v>0</v>
      </c>
      <c r="O130" s="11"/>
      <c r="P130" s="2">
        <f>SUM(OSRRefP22_9x_0)</f>
        <v>3524.95</v>
      </c>
      <c r="Q130" s="2"/>
      <c r="R130" s="5">
        <f t="shared" si="24"/>
        <v>6.5974047751057299E-4</v>
      </c>
      <c r="S130" s="2"/>
      <c r="T130" s="2">
        <f>SUM(OSRRefT22_9x_0)</f>
        <v>2259.84</v>
      </c>
      <c r="U130" s="2"/>
      <c r="V130" s="5">
        <f t="shared" si="25"/>
        <v>8.711568958488338E-4</v>
      </c>
      <c r="W130" s="2"/>
      <c r="X130" s="2">
        <f t="shared" si="26"/>
        <v>1265.1099999999997</v>
      </c>
      <c r="Y130" s="2"/>
      <c r="Z130" s="5">
        <f t="shared" si="27"/>
        <v>0.55982281931464162</v>
      </c>
    </row>
    <row r="131" spans="1:26" s="69" customFormat="1" ht="15" hidden="1" customHeight="1" outlineLevel="2" x14ac:dyDescent="0.3">
      <c r="A131" s="21"/>
      <c r="B131" s="9" t="str">
        <f>CONCATENATE("          ","6279"," - ","GENERAL EXPENSE")</f>
        <v xml:space="preserve">          6279 - GENERAL EXPENSE</v>
      </c>
      <c r="C131" s="9"/>
      <c r="D131" s="6"/>
      <c r="E131" s="3"/>
      <c r="F131" s="7">
        <f t="shared" si="20"/>
        <v>0</v>
      </c>
      <c r="G131" s="3"/>
      <c r="H131" s="6"/>
      <c r="I131" s="3"/>
      <c r="J131" s="7">
        <f t="shared" si="21"/>
        <v>0</v>
      </c>
      <c r="K131" s="3"/>
      <c r="L131" s="6">
        <f t="shared" si="22"/>
        <v>0</v>
      </c>
      <c r="M131" s="3"/>
      <c r="N131" s="7">
        <f t="shared" si="23"/>
        <v>0</v>
      </c>
      <c r="O131" s="9"/>
      <c r="P131" s="6">
        <v>3524.95</v>
      </c>
      <c r="Q131" s="3"/>
      <c r="R131" s="7">
        <f t="shared" si="24"/>
        <v>6.5974047751057299E-4</v>
      </c>
      <c r="S131" s="3"/>
      <c r="T131" s="6">
        <v>2259.84</v>
      </c>
      <c r="U131" s="3"/>
      <c r="V131" s="7">
        <f t="shared" si="25"/>
        <v>8.711568958488338E-4</v>
      </c>
      <c r="W131" s="3"/>
      <c r="X131" s="6">
        <f t="shared" si="26"/>
        <v>1265.1099999999997</v>
      </c>
      <c r="Y131" s="3"/>
      <c r="Z131" s="7">
        <f t="shared" si="27"/>
        <v>0.55982281931464162</v>
      </c>
    </row>
    <row r="132" spans="1:26" s="68" customFormat="1" ht="15" customHeight="1" outlineLevel="1" collapsed="1" x14ac:dyDescent="0.3">
      <c r="A132" s="20"/>
      <c r="B132" s="11" t="str">
        <f>CONCATENATE("     ","Insurance                                         ")</f>
        <v xml:space="preserve">     Insurance                                         </v>
      </c>
      <c r="C132" s="11"/>
      <c r="D132" s="2">
        <f>SUM(OSRRefD22_10x_0)</f>
        <v>-68.040000000000006</v>
      </c>
      <c r="E132" s="2"/>
      <c r="F132" s="5">
        <f t="shared" si="20"/>
        <v>-2.4088959209327005E-4</v>
      </c>
      <c r="G132" s="2"/>
      <c r="H132" s="2">
        <f>SUM(OSRRefH22_10x_0)</f>
        <v>346.03</v>
      </c>
      <c r="I132" s="2"/>
      <c r="J132" s="5">
        <f t="shared" si="21"/>
        <v>1.3535831638241274E-3</v>
      </c>
      <c r="K132" s="2"/>
      <c r="L132" s="2">
        <f t="shared" si="22"/>
        <v>-414.07</v>
      </c>
      <c r="M132" s="2"/>
      <c r="N132" s="5">
        <f t="shared" si="23"/>
        <v>-1.1966303499696558</v>
      </c>
      <c r="O132" s="11"/>
      <c r="P132" s="2">
        <f>SUM(OSRRefP22_10x_0)</f>
        <v>2341.84</v>
      </c>
      <c r="Q132" s="2"/>
      <c r="R132" s="5">
        <f t="shared" si="24"/>
        <v>4.3830597309277026E-4</v>
      </c>
      <c r="S132" s="2"/>
      <c r="T132" s="2">
        <f>SUM(OSRRefT22_10x_0)</f>
        <v>2119.0100000000002</v>
      </c>
      <c r="U132" s="2"/>
      <c r="V132" s="5">
        <f t="shared" si="25"/>
        <v>8.1686764278561194E-4</v>
      </c>
      <c r="W132" s="2"/>
      <c r="X132" s="2">
        <f t="shared" si="26"/>
        <v>222.82999999999993</v>
      </c>
      <c r="Y132" s="2"/>
      <c r="Z132" s="5">
        <f t="shared" si="27"/>
        <v>0.10515759717981506</v>
      </c>
    </row>
    <row r="133" spans="1:26" s="69" customFormat="1" ht="15" hidden="1" customHeight="1" outlineLevel="2" x14ac:dyDescent="0.3">
      <c r="A133" s="21"/>
      <c r="B133" s="9" t="str">
        <f>CONCATENATE("          ","6314"," - ","LIABILITY INSURANCE")</f>
        <v xml:space="preserve">          6314 - LIABILITY INSURANCE</v>
      </c>
      <c r="C133" s="9"/>
      <c r="D133" s="6">
        <v>-68.040000000000006</v>
      </c>
      <c r="E133" s="3"/>
      <c r="F133" s="7">
        <f t="shared" si="20"/>
        <v>-2.4088959209327005E-4</v>
      </c>
      <c r="G133" s="3"/>
      <c r="H133" s="6">
        <v>346.03</v>
      </c>
      <c r="I133" s="3"/>
      <c r="J133" s="7">
        <f t="shared" si="21"/>
        <v>1.3535831638241274E-3</v>
      </c>
      <c r="K133" s="3"/>
      <c r="L133" s="6">
        <f t="shared" si="22"/>
        <v>-414.07</v>
      </c>
      <c r="M133" s="3"/>
      <c r="N133" s="7">
        <f t="shared" si="23"/>
        <v>-1.1966303499696558</v>
      </c>
      <c r="O133" s="9"/>
      <c r="P133" s="6">
        <v>2341.84</v>
      </c>
      <c r="Q133" s="3"/>
      <c r="R133" s="7">
        <f t="shared" si="24"/>
        <v>4.3830597309277026E-4</v>
      </c>
      <c r="S133" s="3"/>
      <c r="T133" s="6">
        <v>2119.0100000000002</v>
      </c>
      <c r="U133" s="3"/>
      <c r="V133" s="7">
        <f t="shared" si="25"/>
        <v>8.1686764278561194E-4</v>
      </c>
      <c r="W133" s="3"/>
      <c r="X133" s="6">
        <f t="shared" si="26"/>
        <v>222.82999999999993</v>
      </c>
      <c r="Y133" s="3"/>
      <c r="Z133" s="7">
        <f t="shared" si="27"/>
        <v>0.10515759717981506</v>
      </c>
    </row>
    <row r="134" spans="1:26" s="68" customFormat="1" ht="15" customHeight="1" outlineLevel="1" collapsed="1" x14ac:dyDescent="0.3">
      <c r="A134" s="20"/>
      <c r="B134" s="11" t="str">
        <f>CONCATENATE("     ","Inventory Adjustment                              ")</f>
        <v xml:space="preserve">     Inventory Adjustment                              </v>
      </c>
      <c r="C134" s="11"/>
      <c r="D134" s="2">
        <f>SUM(OSRRefD22_11x_0)</f>
        <v>-45100</v>
      </c>
      <c r="E134" s="2"/>
      <c r="F134" s="5">
        <f t="shared" si="20"/>
        <v>-0.15967255442984241</v>
      </c>
      <c r="G134" s="2"/>
      <c r="H134" s="2">
        <f>SUM(OSRRefH22_11x_0)</f>
        <v>-12100</v>
      </c>
      <c r="I134" s="2"/>
      <c r="J134" s="5">
        <f t="shared" si="21"/>
        <v>-4.7332185886402749E-2</v>
      </c>
      <c r="K134" s="2"/>
      <c r="L134" s="2">
        <f t="shared" si="22"/>
        <v>-33000</v>
      </c>
      <c r="M134" s="2"/>
      <c r="N134" s="5">
        <f t="shared" si="23"/>
        <v>2.7272727272727271</v>
      </c>
      <c r="O134" s="11"/>
      <c r="P134" s="2">
        <f>SUM(OSRRefP22_11x_0)</f>
        <v>0</v>
      </c>
      <c r="Q134" s="2"/>
      <c r="R134" s="5">
        <f t="shared" si="24"/>
        <v>0</v>
      </c>
      <c r="S134" s="2"/>
      <c r="T134" s="2">
        <f>SUM(OSRRefT22_11x_0)</f>
        <v>0</v>
      </c>
      <c r="U134" s="2"/>
      <c r="V134" s="5">
        <f t="shared" si="25"/>
        <v>0</v>
      </c>
      <c r="W134" s="2"/>
      <c r="X134" s="2">
        <f t="shared" si="26"/>
        <v>0</v>
      </c>
      <c r="Y134" s="2"/>
      <c r="Z134" s="5">
        <f t="shared" si="27"/>
        <v>0</v>
      </c>
    </row>
    <row r="135" spans="1:26" s="69" customFormat="1" ht="15" hidden="1" customHeight="1" outlineLevel="2" x14ac:dyDescent="0.3">
      <c r="A135" s="21"/>
      <c r="B135" s="9" t="str">
        <f>CONCATENATE("          ","6408"," - ","INVENTORY ADJUSTMENT")</f>
        <v xml:space="preserve">          6408 - INVENTORY ADJUSTMENT</v>
      </c>
      <c r="C135" s="9"/>
      <c r="D135" s="6">
        <v>-45100</v>
      </c>
      <c r="E135" s="3"/>
      <c r="F135" s="7">
        <f t="shared" si="20"/>
        <v>-0.15967255442984241</v>
      </c>
      <c r="G135" s="3"/>
      <c r="H135" s="6">
        <v>-12100</v>
      </c>
      <c r="I135" s="3"/>
      <c r="J135" s="7">
        <f t="shared" si="21"/>
        <v>-4.7332185886402749E-2</v>
      </c>
      <c r="K135" s="3"/>
      <c r="L135" s="6">
        <f t="shared" si="22"/>
        <v>-33000</v>
      </c>
      <c r="M135" s="3"/>
      <c r="N135" s="7">
        <f t="shared" si="23"/>
        <v>2.7272727272727271</v>
      </c>
      <c r="O135" s="9"/>
      <c r="P135" s="6">
        <v>0</v>
      </c>
      <c r="Q135" s="3"/>
      <c r="R135" s="7">
        <f t="shared" si="24"/>
        <v>0</v>
      </c>
      <c r="S135" s="3"/>
      <c r="T135" s="6">
        <v>0</v>
      </c>
      <c r="U135" s="3"/>
      <c r="V135" s="7">
        <f t="shared" si="25"/>
        <v>0</v>
      </c>
      <c r="W135" s="3"/>
      <c r="X135" s="6">
        <f t="shared" si="26"/>
        <v>0</v>
      </c>
      <c r="Y135" s="3"/>
      <c r="Z135" s="7">
        <f t="shared" si="27"/>
        <v>0</v>
      </c>
    </row>
    <row r="136" spans="1:26" s="69" customFormat="1" ht="15" hidden="1" customHeight="1" outlineLevel="2" x14ac:dyDescent="0.3">
      <c r="A136" s="21"/>
      <c r="B136" s="9" t="str">
        <f>CONCATENATE("          ","7741"," - ","INV. SHRINKAGE-LOGO GIFTS")</f>
        <v xml:space="preserve">          7741 - INV. SHRINKAGE-LOGO GIFTS</v>
      </c>
      <c r="C136" s="9"/>
      <c r="D136" s="6"/>
      <c r="E136" s="3"/>
      <c r="F136" s="7">
        <f t="shared" si="20"/>
        <v>0</v>
      </c>
      <c r="G136" s="3"/>
      <c r="H136" s="6"/>
      <c r="I136" s="3"/>
      <c r="J136" s="7">
        <f t="shared" si="21"/>
        <v>0</v>
      </c>
      <c r="K136" s="3"/>
      <c r="L136" s="6">
        <f t="shared" si="22"/>
        <v>0</v>
      </c>
      <c r="M136" s="3"/>
      <c r="N136" s="7">
        <f t="shared" si="23"/>
        <v>0</v>
      </c>
      <c r="O136" s="9"/>
      <c r="P136" s="6"/>
      <c r="Q136" s="3"/>
      <c r="R136" s="7">
        <f t="shared" si="24"/>
        <v>0</v>
      </c>
      <c r="S136" s="3"/>
      <c r="T136" s="6">
        <v>0</v>
      </c>
      <c r="U136" s="3"/>
      <c r="V136" s="7">
        <f t="shared" si="25"/>
        <v>0</v>
      </c>
      <c r="W136" s="3"/>
      <c r="X136" s="6">
        <f t="shared" si="26"/>
        <v>0</v>
      </c>
      <c r="Y136" s="3"/>
      <c r="Z136" s="7">
        <f t="shared" si="27"/>
        <v>0</v>
      </c>
    </row>
    <row r="137" spans="1:26" s="68" customFormat="1" ht="15" customHeight="1" outlineLevel="1" collapsed="1" x14ac:dyDescent="0.3">
      <c r="A137" s="20"/>
      <c r="B137" s="11" t="str">
        <f>CONCATENATE("     ","Professional Services                             ")</f>
        <v xml:space="preserve">     Professional Services                             </v>
      </c>
      <c r="C137" s="11"/>
      <c r="D137" s="2">
        <f>SUM(OSRRefD22_12x_0)</f>
        <v>1401.33</v>
      </c>
      <c r="E137" s="2"/>
      <c r="F137" s="5">
        <f t="shared" si="20"/>
        <v>4.9612847161678731E-3</v>
      </c>
      <c r="G137" s="2"/>
      <c r="H137" s="2">
        <f>SUM(OSRRefH22_12x_0)</f>
        <v>1966.87</v>
      </c>
      <c r="I137" s="2"/>
      <c r="J137" s="5">
        <f t="shared" si="21"/>
        <v>7.6939054920982615E-3</v>
      </c>
      <c r="K137" s="2"/>
      <c r="L137" s="2">
        <f t="shared" si="22"/>
        <v>-565.54</v>
      </c>
      <c r="M137" s="2"/>
      <c r="N137" s="5">
        <f t="shared" si="23"/>
        <v>-0.28753298387793802</v>
      </c>
      <c r="O137" s="11"/>
      <c r="P137" s="2">
        <f>SUM(OSRRefP22_12x_0)</f>
        <v>3510.43</v>
      </c>
      <c r="Q137" s="2"/>
      <c r="R137" s="5">
        <f t="shared" si="24"/>
        <v>6.5702286967685803E-4</v>
      </c>
      <c r="S137" s="2"/>
      <c r="T137" s="2">
        <f>SUM(OSRRefT22_12x_0)</f>
        <v>1966.87</v>
      </c>
      <c r="U137" s="2"/>
      <c r="V137" s="5">
        <f t="shared" si="25"/>
        <v>7.5821844189774296E-4</v>
      </c>
      <c r="W137" s="2"/>
      <c r="X137" s="2">
        <f t="shared" si="26"/>
        <v>1543.56</v>
      </c>
      <c r="Y137" s="2"/>
      <c r="Z137" s="5">
        <f t="shared" si="27"/>
        <v>0.78477987869050825</v>
      </c>
    </row>
    <row r="138" spans="1:26" s="69" customFormat="1" ht="15" hidden="1" customHeight="1" outlineLevel="2" x14ac:dyDescent="0.3">
      <c r="A138" s="21"/>
      <c r="B138" s="9" t="str">
        <f>CONCATENATE("          ","6336"," - ","PROFESSIONAL SERVICES")</f>
        <v xml:space="preserve">          6336 - PROFESSIONAL SERVICES</v>
      </c>
      <c r="C138" s="9"/>
      <c r="D138" s="6">
        <v>1401.33</v>
      </c>
      <c r="E138" s="3"/>
      <c r="F138" s="7">
        <f t="shared" si="20"/>
        <v>4.9612847161678731E-3</v>
      </c>
      <c r="G138" s="3"/>
      <c r="H138" s="6">
        <v>1966.87</v>
      </c>
      <c r="I138" s="3"/>
      <c r="J138" s="7">
        <f t="shared" si="21"/>
        <v>7.6939054920982615E-3</v>
      </c>
      <c r="K138" s="3"/>
      <c r="L138" s="6">
        <f t="shared" si="22"/>
        <v>-565.54</v>
      </c>
      <c r="M138" s="3"/>
      <c r="N138" s="7">
        <f t="shared" si="23"/>
        <v>-0.28753298387793802</v>
      </c>
      <c r="O138" s="9"/>
      <c r="P138" s="6">
        <v>3510.43</v>
      </c>
      <c r="Q138" s="3"/>
      <c r="R138" s="7">
        <f t="shared" si="24"/>
        <v>6.5702286967685803E-4</v>
      </c>
      <c r="S138" s="3"/>
      <c r="T138" s="6">
        <v>1966.87</v>
      </c>
      <c r="U138" s="3"/>
      <c r="V138" s="7">
        <f t="shared" si="25"/>
        <v>7.5821844189774296E-4</v>
      </c>
      <c r="W138" s="3"/>
      <c r="X138" s="6">
        <f t="shared" si="26"/>
        <v>1543.56</v>
      </c>
      <c r="Y138" s="3"/>
      <c r="Z138" s="7">
        <f t="shared" si="27"/>
        <v>0.78477987869050825</v>
      </c>
    </row>
    <row r="139" spans="1:26" s="68" customFormat="1" ht="15" customHeight="1" outlineLevel="1" collapsed="1" x14ac:dyDescent="0.3">
      <c r="A139" s="20"/>
      <c r="B139" s="11" t="str">
        <f>CONCATENATE("     ","Rent                                              ")</f>
        <v xml:space="preserve">     Rent                                              </v>
      </c>
      <c r="C139" s="11"/>
      <c r="D139" s="2">
        <f>SUM(OSRRefD22_13x_0)</f>
        <v>6900</v>
      </c>
      <c r="E139" s="2"/>
      <c r="F139" s="5">
        <f t="shared" si="20"/>
        <v>2.4428838704343963E-2</v>
      </c>
      <c r="G139" s="2"/>
      <c r="H139" s="2">
        <f>SUM(OSRRefH22_13x_0)</f>
        <v>6900</v>
      </c>
      <c r="I139" s="2"/>
      <c r="J139" s="5">
        <f t="shared" si="21"/>
        <v>2.6991081207948676E-2</v>
      </c>
      <c r="K139" s="2"/>
      <c r="L139" s="2">
        <f t="shared" si="22"/>
        <v>0</v>
      </c>
      <c r="M139" s="2"/>
      <c r="N139" s="5">
        <f t="shared" si="23"/>
        <v>0</v>
      </c>
      <c r="O139" s="11"/>
      <c r="P139" s="2">
        <f>SUM(OSRRefP22_13x_0)</f>
        <v>82800</v>
      </c>
      <c r="Q139" s="2"/>
      <c r="R139" s="5">
        <f t="shared" si="24"/>
        <v>1.5497102522837329E-2</v>
      </c>
      <c r="S139" s="2"/>
      <c r="T139" s="2">
        <f>SUM(OSRRefT22_13x_0)</f>
        <v>82800</v>
      </c>
      <c r="U139" s="2"/>
      <c r="V139" s="5">
        <f t="shared" si="25"/>
        <v>3.1918981421818989E-2</v>
      </c>
      <c r="W139" s="2"/>
      <c r="X139" s="2">
        <f t="shared" si="26"/>
        <v>0</v>
      </c>
      <c r="Y139" s="2"/>
      <c r="Z139" s="5">
        <f t="shared" si="27"/>
        <v>0</v>
      </c>
    </row>
    <row r="140" spans="1:26" s="69" customFormat="1" ht="15" hidden="1" customHeight="1" outlineLevel="2" x14ac:dyDescent="0.3">
      <c r="A140" s="21"/>
      <c r="B140" s="9" t="str">
        <f>CONCATENATE("          ","6273"," - ","RENT")</f>
        <v xml:space="preserve">          6273 - RENT</v>
      </c>
      <c r="C140" s="9"/>
      <c r="D140" s="6">
        <v>6900</v>
      </c>
      <c r="E140" s="3"/>
      <c r="F140" s="7">
        <f t="shared" si="20"/>
        <v>2.4428838704343963E-2</v>
      </c>
      <c r="G140" s="3"/>
      <c r="H140" s="6">
        <v>6900</v>
      </c>
      <c r="I140" s="3"/>
      <c r="J140" s="7">
        <f t="shared" si="21"/>
        <v>2.6991081207948676E-2</v>
      </c>
      <c r="K140" s="3"/>
      <c r="L140" s="6">
        <f t="shared" si="22"/>
        <v>0</v>
      </c>
      <c r="M140" s="3"/>
      <c r="N140" s="7">
        <f t="shared" si="23"/>
        <v>0</v>
      </c>
      <c r="O140" s="9"/>
      <c r="P140" s="6">
        <v>82800</v>
      </c>
      <c r="Q140" s="3"/>
      <c r="R140" s="7">
        <f t="shared" si="24"/>
        <v>1.5497102522837329E-2</v>
      </c>
      <c r="S140" s="3"/>
      <c r="T140" s="6">
        <v>82800</v>
      </c>
      <c r="U140" s="3"/>
      <c r="V140" s="7">
        <f t="shared" si="25"/>
        <v>3.1918981421818989E-2</v>
      </c>
      <c r="W140" s="3"/>
      <c r="X140" s="6">
        <f t="shared" si="26"/>
        <v>0</v>
      </c>
      <c r="Y140" s="3"/>
      <c r="Z140" s="7">
        <f t="shared" si="27"/>
        <v>0</v>
      </c>
    </row>
    <row r="141" spans="1:26" s="68" customFormat="1" ht="15" customHeight="1" outlineLevel="1" collapsed="1" x14ac:dyDescent="0.3">
      <c r="A141" s="20"/>
      <c r="B141" s="11" t="str">
        <f>CONCATENATE("     ","Repair and Maintenance                            ")</f>
        <v xml:space="preserve">     Repair and Maintenance                            </v>
      </c>
      <c r="C141" s="11"/>
      <c r="D141" s="2">
        <f>SUM(OSRRefD22_14x_0)</f>
        <v>0</v>
      </c>
      <c r="E141" s="2"/>
      <c r="F141" s="5">
        <f t="shared" si="20"/>
        <v>0</v>
      </c>
      <c r="G141" s="2"/>
      <c r="H141" s="2">
        <f>SUM(OSRRefH22_14x_0)</f>
        <v>885.78</v>
      </c>
      <c r="I141" s="2"/>
      <c r="J141" s="5">
        <f t="shared" si="21"/>
        <v>3.464950711938663E-3</v>
      </c>
      <c r="K141" s="2"/>
      <c r="L141" s="2">
        <f t="shared" si="22"/>
        <v>-885.78</v>
      </c>
      <c r="M141" s="2"/>
      <c r="N141" s="5">
        <f t="shared" si="23"/>
        <v>-1</v>
      </c>
      <c r="O141" s="11"/>
      <c r="P141" s="2">
        <f>SUM(OSRRefP22_14x_0)</f>
        <v>6435.8700000000008</v>
      </c>
      <c r="Q141" s="2"/>
      <c r="R141" s="5">
        <f t="shared" si="24"/>
        <v>1.204557212725279E-3</v>
      </c>
      <c r="S141" s="2"/>
      <c r="T141" s="2">
        <f>SUM(OSRRefT22_14x_0)</f>
        <v>1457.42</v>
      </c>
      <c r="U141" s="2"/>
      <c r="V141" s="5">
        <f t="shared" si="25"/>
        <v>5.6182804231627343E-4</v>
      </c>
      <c r="W141" s="2"/>
      <c r="X141" s="2">
        <f t="shared" si="26"/>
        <v>4978.4500000000007</v>
      </c>
      <c r="Y141" s="2"/>
      <c r="Z141" s="5">
        <f t="shared" si="27"/>
        <v>3.4159336361515558</v>
      </c>
    </row>
    <row r="142" spans="1:26" s="69" customFormat="1" ht="15" hidden="1" customHeight="1" outlineLevel="2" x14ac:dyDescent="0.3">
      <c r="A142" s="21"/>
      <c r="B142" s="9" t="str">
        <f>CONCATENATE("          ","6372"," - ","COMPUTER HARDWARE MAINTENANCE")</f>
        <v xml:space="preserve">          6372 - COMPUTER HARDWARE MAINTENANCE</v>
      </c>
      <c r="C142" s="9"/>
      <c r="D142" s="6"/>
      <c r="E142" s="3"/>
      <c r="F142" s="7">
        <f t="shared" si="20"/>
        <v>0</v>
      </c>
      <c r="G142" s="3"/>
      <c r="H142" s="6"/>
      <c r="I142" s="3"/>
      <c r="J142" s="7">
        <f t="shared" si="21"/>
        <v>0</v>
      </c>
      <c r="K142" s="3"/>
      <c r="L142" s="6">
        <f t="shared" si="22"/>
        <v>0</v>
      </c>
      <c r="M142" s="3"/>
      <c r="N142" s="7">
        <f t="shared" si="23"/>
        <v>0</v>
      </c>
      <c r="O142" s="9"/>
      <c r="P142" s="6"/>
      <c r="Q142" s="3"/>
      <c r="R142" s="7">
        <f t="shared" si="24"/>
        <v>0</v>
      </c>
      <c r="S142" s="3"/>
      <c r="T142" s="6">
        <v>-0.52</v>
      </c>
      <c r="U142" s="3"/>
      <c r="V142" s="7">
        <f t="shared" si="25"/>
        <v>-2.004573712481386E-7</v>
      </c>
      <c r="W142" s="3"/>
      <c r="X142" s="6">
        <f t="shared" si="26"/>
        <v>0.52</v>
      </c>
      <c r="Y142" s="3"/>
      <c r="Z142" s="7">
        <f t="shared" si="27"/>
        <v>-1</v>
      </c>
    </row>
    <row r="143" spans="1:26" s="69" customFormat="1" ht="15" hidden="1" customHeight="1" outlineLevel="2" x14ac:dyDescent="0.3">
      <c r="A143" s="21"/>
      <c r="B143" s="9" t="str">
        <f>CONCATENATE("          ","6373"," - ","MAINTENANCE CONTRACTS")</f>
        <v xml:space="preserve">          6373 - MAINTENANCE CONTRACTS</v>
      </c>
      <c r="C143" s="9"/>
      <c r="D143" s="6"/>
      <c r="E143" s="3"/>
      <c r="F143" s="7">
        <f t="shared" si="20"/>
        <v>0</v>
      </c>
      <c r="G143" s="3"/>
      <c r="H143" s="6">
        <v>292.01</v>
      </c>
      <c r="I143" s="3"/>
      <c r="J143" s="7">
        <f t="shared" si="21"/>
        <v>1.1422703802221872E-3</v>
      </c>
      <c r="K143" s="3"/>
      <c r="L143" s="6">
        <f t="shared" si="22"/>
        <v>-292.01</v>
      </c>
      <c r="M143" s="3"/>
      <c r="N143" s="7">
        <f t="shared" si="23"/>
        <v>-1</v>
      </c>
      <c r="O143" s="9"/>
      <c r="P143" s="6">
        <v>1053.73</v>
      </c>
      <c r="Q143" s="3"/>
      <c r="R143" s="7">
        <f t="shared" si="24"/>
        <v>1.9721934591049976E-4</v>
      </c>
      <c r="S143" s="3"/>
      <c r="T143" s="6">
        <v>698.61</v>
      </c>
      <c r="U143" s="3"/>
      <c r="V143" s="7">
        <f t="shared" si="25"/>
        <v>2.6931062332242713E-4</v>
      </c>
      <c r="W143" s="3"/>
      <c r="X143" s="6">
        <f t="shared" si="26"/>
        <v>355.12</v>
      </c>
      <c r="Y143" s="3"/>
      <c r="Z143" s="7">
        <f t="shared" si="27"/>
        <v>0.50832367129013323</v>
      </c>
    </row>
    <row r="144" spans="1:26" s="69" customFormat="1" ht="15" hidden="1" customHeight="1" outlineLevel="2" x14ac:dyDescent="0.3">
      <c r="A144" s="21"/>
      <c r="B144" s="9" t="str">
        <f>CONCATENATE("          ","6375"," - ","OUTSIDE REPAIRS &amp; MAINTENANCE")</f>
        <v xml:space="preserve">          6375 - OUTSIDE REPAIRS &amp; MAINTENANCE</v>
      </c>
      <c r="C144" s="9"/>
      <c r="D144" s="6"/>
      <c r="E144" s="3"/>
      <c r="F144" s="7">
        <f t="shared" si="20"/>
        <v>0</v>
      </c>
      <c r="G144" s="3"/>
      <c r="H144" s="6">
        <v>593.77</v>
      </c>
      <c r="I144" s="3"/>
      <c r="J144" s="7">
        <f t="shared" si="21"/>
        <v>2.322680331716476E-3</v>
      </c>
      <c r="K144" s="3"/>
      <c r="L144" s="6">
        <f t="shared" si="22"/>
        <v>-593.77</v>
      </c>
      <c r="M144" s="3"/>
      <c r="N144" s="7">
        <f t="shared" si="23"/>
        <v>-1</v>
      </c>
      <c r="O144" s="9"/>
      <c r="P144" s="6">
        <v>5382.14</v>
      </c>
      <c r="Q144" s="3"/>
      <c r="R144" s="7">
        <f t="shared" si="24"/>
        <v>1.0073378668147791E-3</v>
      </c>
      <c r="S144" s="3"/>
      <c r="T144" s="6">
        <v>759.33</v>
      </c>
      <c r="U144" s="3"/>
      <c r="V144" s="7">
        <f t="shared" si="25"/>
        <v>2.9271787636509438E-4</v>
      </c>
      <c r="W144" s="3"/>
      <c r="X144" s="6">
        <f t="shared" si="26"/>
        <v>4622.8100000000004</v>
      </c>
      <c r="Y144" s="3"/>
      <c r="Z144" s="7">
        <f t="shared" si="27"/>
        <v>6.0880117998762069</v>
      </c>
    </row>
    <row r="145" spans="1:26" s="68" customFormat="1" ht="15" customHeight="1" outlineLevel="1" collapsed="1" x14ac:dyDescent="0.3">
      <c r="A145" s="20"/>
      <c r="B145" s="11" t="str">
        <f>CONCATENATE("     ","Royalty &amp; Commissions                             ")</f>
        <v xml:space="preserve">     Royalty &amp; Commissions                             </v>
      </c>
      <c r="C145" s="11"/>
      <c r="D145" s="2">
        <f>SUM(OSRRefD22_15x_0)</f>
        <v>108</v>
      </c>
      <c r="E145" s="2"/>
      <c r="F145" s="5">
        <f t="shared" si="20"/>
        <v>3.8236443189407942E-4</v>
      </c>
      <c r="G145" s="2"/>
      <c r="H145" s="2">
        <f>SUM(OSRRefH22_15x_0)</f>
        <v>0</v>
      </c>
      <c r="I145" s="2"/>
      <c r="J145" s="5">
        <f t="shared" si="21"/>
        <v>0</v>
      </c>
      <c r="K145" s="2"/>
      <c r="L145" s="2">
        <f t="shared" si="22"/>
        <v>108</v>
      </c>
      <c r="M145" s="2"/>
      <c r="N145" s="5">
        <f t="shared" si="23"/>
        <v>0</v>
      </c>
      <c r="O145" s="11"/>
      <c r="P145" s="2">
        <f>SUM(OSRRefP22_15x_0)</f>
        <v>72264.009999999995</v>
      </c>
      <c r="Q145" s="2"/>
      <c r="R145" s="5">
        <f t="shared" si="24"/>
        <v>1.3525154247359202E-2</v>
      </c>
      <c r="S145" s="2"/>
      <c r="T145" s="2">
        <f>SUM(OSRRefT22_15x_0)</f>
        <v>35159.06</v>
      </c>
      <c r="U145" s="2"/>
      <c r="V145" s="5">
        <f t="shared" si="25"/>
        <v>1.3553639890683805E-2</v>
      </c>
      <c r="W145" s="2"/>
      <c r="X145" s="2">
        <f t="shared" si="26"/>
        <v>37104.949999999997</v>
      </c>
      <c r="Y145" s="2"/>
      <c r="Z145" s="5">
        <f t="shared" si="27"/>
        <v>1.0553453363087637</v>
      </c>
    </row>
    <row r="146" spans="1:26" s="69" customFormat="1" ht="15" hidden="1" customHeight="1" outlineLevel="2" x14ac:dyDescent="0.3">
      <c r="A146" s="21"/>
      <c r="B146" s="9" t="str">
        <f>CONCATENATE("          ","6253"," - ","ROYALTY DUE ATHLETICS-LRG")</f>
        <v xml:space="preserve">          6253 - ROYALTY DUE ATHLETICS-LRG</v>
      </c>
      <c r="C146" s="9"/>
      <c r="D146" s="6"/>
      <c r="E146" s="3"/>
      <c r="F146" s="7">
        <f t="shared" si="20"/>
        <v>0</v>
      </c>
      <c r="G146" s="3"/>
      <c r="H146" s="6"/>
      <c r="I146" s="3"/>
      <c r="J146" s="7">
        <f t="shared" si="21"/>
        <v>0</v>
      </c>
      <c r="K146" s="3"/>
      <c r="L146" s="6">
        <f t="shared" si="22"/>
        <v>0</v>
      </c>
      <c r="M146" s="3"/>
      <c r="N146" s="7">
        <f t="shared" si="23"/>
        <v>0</v>
      </c>
      <c r="O146" s="9"/>
      <c r="P146" s="6">
        <v>51456.52</v>
      </c>
      <c r="Q146" s="3"/>
      <c r="R146" s="7">
        <f t="shared" si="24"/>
        <v>9.6307604578312733E-3</v>
      </c>
      <c r="S146" s="3"/>
      <c r="T146" s="6">
        <v>35159.06</v>
      </c>
      <c r="U146" s="3"/>
      <c r="V146" s="7">
        <f t="shared" si="25"/>
        <v>1.3553639890683805E-2</v>
      </c>
      <c r="W146" s="3"/>
      <c r="X146" s="6">
        <f t="shared" si="26"/>
        <v>16297.46</v>
      </c>
      <c r="Y146" s="3"/>
      <c r="Z146" s="7">
        <f t="shared" si="27"/>
        <v>0.46353514570639831</v>
      </c>
    </row>
    <row r="147" spans="1:26" s="69" customFormat="1" ht="15" hidden="1" customHeight="1" outlineLevel="2" x14ac:dyDescent="0.3">
      <c r="A147" s="21"/>
      <c r="B147" s="9" t="str">
        <f>CONCATENATE("          ","6254"," - ","ROYALTY &amp; COMMISSIONS")</f>
        <v xml:space="preserve">          6254 - ROYALTY &amp; COMMISSIONS</v>
      </c>
      <c r="C147" s="9"/>
      <c r="D147" s="6">
        <v>108</v>
      </c>
      <c r="E147" s="3"/>
      <c r="F147" s="7">
        <f t="shared" si="20"/>
        <v>3.8236443189407942E-4</v>
      </c>
      <c r="G147" s="3"/>
      <c r="H147" s="6"/>
      <c r="I147" s="3"/>
      <c r="J147" s="7">
        <f t="shared" si="21"/>
        <v>0</v>
      </c>
      <c r="K147" s="3"/>
      <c r="L147" s="6">
        <f t="shared" si="22"/>
        <v>108</v>
      </c>
      <c r="M147" s="3"/>
      <c r="N147" s="7">
        <f t="shared" si="23"/>
        <v>0</v>
      </c>
      <c r="O147" s="9"/>
      <c r="P147" s="6">
        <v>20807.490000000002</v>
      </c>
      <c r="Q147" s="3"/>
      <c r="R147" s="7">
        <f t="shared" si="24"/>
        <v>3.894393789527929E-3</v>
      </c>
      <c r="S147" s="3"/>
      <c r="T147" s="6"/>
      <c r="U147" s="3"/>
      <c r="V147" s="7">
        <f t="shared" si="25"/>
        <v>0</v>
      </c>
      <c r="W147" s="3"/>
      <c r="X147" s="6">
        <f t="shared" si="26"/>
        <v>20807.490000000002</v>
      </c>
      <c r="Y147" s="3"/>
      <c r="Z147" s="7">
        <f t="shared" si="27"/>
        <v>0</v>
      </c>
    </row>
    <row r="148" spans="1:26" s="68" customFormat="1" ht="15" customHeight="1" outlineLevel="1" collapsed="1" x14ac:dyDescent="0.3">
      <c r="A148" s="20"/>
      <c r="B148" s="11" t="str">
        <f>CONCATENATE("     ","Services                                          ")</f>
        <v xml:space="preserve">     Services                                          </v>
      </c>
      <c r="C148" s="11"/>
      <c r="D148" s="2">
        <f>SUM(OSRRefD22_16x_0)</f>
        <v>1667.5900000000001</v>
      </c>
      <c r="E148" s="2"/>
      <c r="F148" s="5">
        <f t="shared" si="20"/>
        <v>5.9039546572430364E-3</v>
      </c>
      <c r="G148" s="2"/>
      <c r="H148" s="2">
        <f>SUM(OSRRefH22_16x_0)</f>
        <v>155.59</v>
      </c>
      <c r="I148" s="2"/>
      <c r="J148" s="5">
        <f t="shared" si="21"/>
        <v>6.0862932248474417E-4</v>
      </c>
      <c r="K148" s="2"/>
      <c r="L148" s="2">
        <f t="shared" si="22"/>
        <v>1512.0000000000002</v>
      </c>
      <c r="M148" s="2"/>
      <c r="N148" s="5">
        <f t="shared" si="23"/>
        <v>9.7178481907577616</v>
      </c>
      <c r="O148" s="11"/>
      <c r="P148" s="2">
        <f>SUM(OSRRefP22_16x_0)</f>
        <v>8178.6</v>
      </c>
      <c r="Q148" s="2"/>
      <c r="R148" s="5">
        <f t="shared" si="24"/>
        <v>1.5307319165854757E-3</v>
      </c>
      <c r="S148" s="2"/>
      <c r="T148" s="2">
        <f>SUM(OSRRefT22_16x_0)</f>
        <v>1092.6099999999999</v>
      </c>
      <c r="U148" s="2"/>
      <c r="V148" s="5">
        <f t="shared" si="25"/>
        <v>4.2119563153736285E-4</v>
      </c>
      <c r="W148" s="2"/>
      <c r="X148" s="2">
        <f t="shared" si="26"/>
        <v>7085.9900000000007</v>
      </c>
      <c r="Y148" s="2"/>
      <c r="Z148" s="5">
        <f t="shared" si="27"/>
        <v>6.4853790465033283</v>
      </c>
    </row>
    <row r="149" spans="1:26" s="69" customFormat="1" ht="15" hidden="1" customHeight="1" outlineLevel="2" x14ac:dyDescent="0.3">
      <c r="A149" s="21"/>
      <c r="B149" s="9" t="str">
        <f>CONCATENATE("          ","6282"," - ","JANITORIAL/EXTERMINATOR EXPENS")</f>
        <v xml:space="preserve">          6282 - JANITORIAL/EXTERMINATOR EXPENS</v>
      </c>
      <c r="C149" s="9"/>
      <c r="D149" s="6">
        <v>69</v>
      </c>
      <c r="E149" s="3"/>
      <c r="F149" s="7">
        <f t="shared" si="20"/>
        <v>2.4428838704343962E-4</v>
      </c>
      <c r="G149" s="3"/>
      <c r="H149" s="6"/>
      <c r="I149" s="3"/>
      <c r="J149" s="7">
        <f t="shared" si="21"/>
        <v>0</v>
      </c>
      <c r="K149" s="3"/>
      <c r="L149" s="6">
        <f t="shared" si="22"/>
        <v>69</v>
      </c>
      <c r="M149" s="3"/>
      <c r="N149" s="7">
        <f t="shared" si="23"/>
        <v>0</v>
      </c>
      <c r="O149" s="9"/>
      <c r="P149" s="6">
        <v>1043.5999999999999</v>
      </c>
      <c r="Q149" s="3"/>
      <c r="R149" s="7">
        <f t="shared" si="24"/>
        <v>1.9532338397141349E-4</v>
      </c>
      <c r="S149" s="3"/>
      <c r="T149" s="6">
        <v>176</v>
      </c>
      <c r="U149" s="3"/>
      <c r="V149" s="7">
        <f t="shared" si="25"/>
        <v>6.7847110268600758E-5</v>
      </c>
      <c r="W149" s="3"/>
      <c r="X149" s="6">
        <f t="shared" si="26"/>
        <v>867.59999999999991</v>
      </c>
      <c r="Y149" s="3"/>
      <c r="Z149" s="7">
        <f t="shared" si="27"/>
        <v>4.9295454545454538</v>
      </c>
    </row>
    <row r="150" spans="1:26" s="69" customFormat="1" ht="15" hidden="1" customHeight="1" outlineLevel="2" x14ac:dyDescent="0.3">
      <c r="A150" s="21"/>
      <c r="B150" s="9" t="str">
        <f>CONCATENATE("          ","6283"," - ","PLANT SERVICE")</f>
        <v xml:space="preserve">          6283 - PLANT SERVICE</v>
      </c>
      <c r="C150" s="9"/>
      <c r="D150" s="6"/>
      <c r="E150" s="3"/>
      <c r="F150" s="7">
        <f t="shared" si="20"/>
        <v>0</v>
      </c>
      <c r="G150" s="3"/>
      <c r="H150" s="6"/>
      <c r="I150" s="3"/>
      <c r="J150" s="7">
        <f t="shared" si="21"/>
        <v>0</v>
      </c>
      <c r="K150" s="3"/>
      <c r="L150" s="6">
        <f t="shared" si="22"/>
        <v>0</v>
      </c>
      <c r="M150" s="3"/>
      <c r="N150" s="7">
        <f t="shared" si="23"/>
        <v>0</v>
      </c>
      <c r="O150" s="9"/>
      <c r="P150" s="6"/>
      <c r="Q150" s="3"/>
      <c r="R150" s="7">
        <f t="shared" si="24"/>
        <v>0</v>
      </c>
      <c r="S150" s="3"/>
      <c r="T150" s="6">
        <v>41.31</v>
      </c>
      <c r="U150" s="3"/>
      <c r="V150" s="7">
        <f t="shared" si="25"/>
        <v>1.5924796165885781E-5</v>
      </c>
      <c r="W150" s="3"/>
      <c r="X150" s="6">
        <f t="shared" si="26"/>
        <v>-41.31</v>
      </c>
      <c r="Y150" s="3"/>
      <c r="Z150" s="7">
        <f t="shared" si="27"/>
        <v>-1</v>
      </c>
    </row>
    <row r="151" spans="1:26" s="69" customFormat="1" ht="15" hidden="1" customHeight="1" outlineLevel="2" x14ac:dyDescent="0.3">
      <c r="A151" s="21"/>
      <c r="B151" s="9" t="str">
        <f>CONCATENATE("          ","6284"," - ","TRASH REMOVAL EXPENSE")</f>
        <v xml:space="preserve">          6284 - TRASH REMOVAL EXPENSE</v>
      </c>
      <c r="C151" s="9"/>
      <c r="D151" s="6">
        <v>149.69999999999999</v>
      </c>
      <c r="E151" s="3"/>
      <c r="F151" s="7">
        <f t="shared" si="20"/>
        <v>5.2999958754207117E-4</v>
      </c>
      <c r="G151" s="3"/>
      <c r="H151" s="6">
        <v>142.57</v>
      </c>
      <c r="I151" s="3"/>
      <c r="J151" s="7">
        <f t="shared" si="21"/>
        <v>5.5769832577061483E-4</v>
      </c>
      <c r="K151" s="3"/>
      <c r="L151" s="6">
        <f t="shared" si="22"/>
        <v>7.1299999999999955</v>
      </c>
      <c r="M151" s="3"/>
      <c r="N151" s="7">
        <f t="shared" si="23"/>
        <v>5.0010521147506461E-2</v>
      </c>
      <c r="O151" s="9"/>
      <c r="P151" s="6">
        <v>1639.57</v>
      </c>
      <c r="Q151" s="3"/>
      <c r="R151" s="7">
        <f t="shared" si="24"/>
        <v>3.0686696115179226E-4</v>
      </c>
      <c r="S151" s="3"/>
      <c r="T151" s="6">
        <v>1725.86</v>
      </c>
      <c r="U151" s="3"/>
      <c r="V151" s="7">
        <f t="shared" si="25"/>
        <v>6.6531030527367777E-4</v>
      </c>
      <c r="W151" s="3"/>
      <c r="X151" s="6">
        <f t="shared" si="26"/>
        <v>-86.289999999999964</v>
      </c>
      <c r="Y151" s="3"/>
      <c r="Z151" s="7">
        <f t="shared" si="27"/>
        <v>-4.9998261736177885E-2</v>
      </c>
    </row>
    <row r="152" spans="1:26" s="69" customFormat="1" ht="15" hidden="1" customHeight="1" outlineLevel="2" x14ac:dyDescent="0.3">
      <c r="A152" s="21"/>
      <c r="B152" s="9" t="str">
        <f>CONCATENATE("          ","6285"," - ","JANITORIAL SERVICES")</f>
        <v xml:space="preserve">          6285 - JANITORIAL SERVICES</v>
      </c>
      <c r="C152" s="9"/>
      <c r="D152" s="6">
        <v>1448.89</v>
      </c>
      <c r="E152" s="3"/>
      <c r="F152" s="7">
        <f t="shared" si="20"/>
        <v>5.1296666826575257E-3</v>
      </c>
      <c r="G152" s="3"/>
      <c r="H152" s="6">
        <v>13.02</v>
      </c>
      <c r="I152" s="3"/>
      <c r="J152" s="7">
        <f t="shared" si="21"/>
        <v>5.0930996714129236E-5</v>
      </c>
      <c r="K152" s="3"/>
      <c r="L152" s="6">
        <f t="shared" si="22"/>
        <v>1435.8700000000001</v>
      </c>
      <c r="M152" s="3"/>
      <c r="N152" s="7">
        <f t="shared" si="23"/>
        <v>110.28187403993857</v>
      </c>
      <c r="O152" s="9"/>
      <c r="P152" s="6">
        <v>5495.43</v>
      </c>
      <c r="Q152" s="3"/>
      <c r="R152" s="7">
        <f t="shared" si="24"/>
        <v>1.0285415714622699E-3</v>
      </c>
      <c r="S152" s="3"/>
      <c r="T152" s="6">
        <v>-850.56</v>
      </c>
      <c r="U152" s="3"/>
      <c r="V152" s="7">
        <f t="shared" si="25"/>
        <v>-3.2788658017080143E-4</v>
      </c>
      <c r="W152" s="3"/>
      <c r="X152" s="6">
        <f t="shared" si="26"/>
        <v>6345.99</v>
      </c>
      <c r="Y152" s="3"/>
      <c r="Z152" s="7">
        <f t="shared" si="27"/>
        <v>-7.4609551354401811</v>
      </c>
    </row>
    <row r="153" spans="1:26" s="68" customFormat="1" ht="15" customHeight="1" outlineLevel="1" collapsed="1" x14ac:dyDescent="0.3">
      <c r="A153" s="20"/>
      <c r="B153" s="11" t="str">
        <f>CONCATENATE("     ","Subscriptions &amp; Dues                              ")</f>
        <v xml:space="preserve">     Subscriptions &amp; Dues                              </v>
      </c>
      <c r="C153" s="11"/>
      <c r="D153" s="2">
        <f>SUM(OSRRefD22_17x_0)</f>
        <v>0</v>
      </c>
      <c r="E153" s="2"/>
      <c r="F153" s="5">
        <f t="shared" si="20"/>
        <v>0</v>
      </c>
      <c r="G153" s="2"/>
      <c r="H153" s="2">
        <f>SUM(OSRRefH22_17x_0)</f>
        <v>0</v>
      </c>
      <c r="I153" s="2"/>
      <c r="J153" s="5">
        <f t="shared" si="21"/>
        <v>0</v>
      </c>
      <c r="K153" s="2"/>
      <c r="L153" s="2">
        <f t="shared" si="22"/>
        <v>0</v>
      </c>
      <c r="M153" s="2"/>
      <c r="N153" s="5">
        <f t="shared" si="23"/>
        <v>0</v>
      </c>
      <c r="O153" s="11"/>
      <c r="P153" s="2">
        <f>SUM(OSRRefP22_17x_0)</f>
        <v>170.27</v>
      </c>
      <c r="Q153" s="2"/>
      <c r="R153" s="5">
        <f t="shared" si="24"/>
        <v>3.1868256601008603E-5</v>
      </c>
      <c r="S153" s="2"/>
      <c r="T153" s="2">
        <f>SUM(OSRRefT22_17x_0)</f>
        <v>2047.7199999999998</v>
      </c>
      <c r="U153" s="2"/>
      <c r="V153" s="5">
        <f t="shared" si="25"/>
        <v>7.8938570817738141E-4</v>
      </c>
      <c r="W153" s="2"/>
      <c r="X153" s="2">
        <f t="shared" si="26"/>
        <v>-1877.4499999999998</v>
      </c>
      <c r="Y153" s="2"/>
      <c r="Z153" s="5">
        <f t="shared" si="27"/>
        <v>-0.91684898325942998</v>
      </c>
    </row>
    <row r="154" spans="1:26" s="69" customFormat="1" ht="15" hidden="1" customHeight="1" outlineLevel="2" x14ac:dyDescent="0.3">
      <c r="A154" s="21"/>
      <c r="B154" s="9" t="str">
        <f>CONCATENATE("          ","6258"," - ","MEMBERSHIP DUES")</f>
        <v xml:space="preserve">          6258 - MEMBERSHIP DUES</v>
      </c>
      <c r="C154" s="9"/>
      <c r="D154" s="6"/>
      <c r="E154" s="3"/>
      <c r="F154" s="7">
        <f t="shared" si="20"/>
        <v>0</v>
      </c>
      <c r="G154" s="3"/>
      <c r="H154" s="6"/>
      <c r="I154" s="3"/>
      <c r="J154" s="7">
        <f t="shared" si="21"/>
        <v>0</v>
      </c>
      <c r="K154" s="3"/>
      <c r="L154" s="6">
        <f t="shared" si="22"/>
        <v>0</v>
      </c>
      <c r="M154" s="3"/>
      <c r="N154" s="7">
        <f t="shared" si="23"/>
        <v>0</v>
      </c>
      <c r="O154" s="9"/>
      <c r="P154" s="6">
        <v>170.27</v>
      </c>
      <c r="Q154" s="3"/>
      <c r="R154" s="7">
        <f t="shared" si="24"/>
        <v>3.1868256601008603E-5</v>
      </c>
      <c r="S154" s="3"/>
      <c r="T154" s="6">
        <v>-342.88</v>
      </c>
      <c r="U154" s="3"/>
      <c r="V154" s="7">
        <f t="shared" si="25"/>
        <v>-1.3217850664146491E-4</v>
      </c>
      <c r="W154" s="3"/>
      <c r="X154" s="6">
        <f t="shared" si="26"/>
        <v>513.15</v>
      </c>
      <c r="Y154" s="3"/>
      <c r="Z154" s="7">
        <f t="shared" si="27"/>
        <v>-1.4965877274848343</v>
      </c>
    </row>
    <row r="155" spans="1:26" s="69" customFormat="1" ht="15" hidden="1" customHeight="1" outlineLevel="2" x14ac:dyDescent="0.3">
      <c r="A155" s="21"/>
      <c r="B155" s="9" t="str">
        <f>CONCATENATE("          ","6275"," - ","SUBSCRIPTIONS")</f>
        <v xml:space="preserve">          6275 - SUBSCRIPTIONS</v>
      </c>
      <c r="C155" s="9"/>
      <c r="D155" s="6"/>
      <c r="E155" s="3"/>
      <c r="F155" s="7">
        <f t="shared" si="20"/>
        <v>0</v>
      </c>
      <c r="G155" s="3"/>
      <c r="H155" s="6"/>
      <c r="I155" s="3"/>
      <c r="J155" s="7">
        <f t="shared" si="21"/>
        <v>0</v>
      </c>
      <c r="K155" s="3"/>
      <c r="L155" s="6">
        <f t="shared" si="22"/>
        <v>0</v>
      </c>
      <c r="M155" s="3"/>
      <c r="N155" s="7">
        <f t="shared" si="23"/>
        <v>0</v>
      </c>
      <c r="O155" s="9"/>
      <c r="P155" s="6"/>
      <c r="Q155" s="3"/>
      <c r="R155" s="7">
        <f t="shared" si="24"/>
        <v>0</v>
      </c>
      <c r="S155" s="3"/>
      <c r="T155" s="6">
        <v>2390.6</v>
      </c>
      <c r="U155" s="3"/>
      <c r="V155" s="7">
        <f t="shared" si="25"/>
        <v>9.2156421481884635E-4</v>
      </c>
      <c r="W155" s="3"/>
      <c r="X155" s="6">
        <f t="shared" si="26"/>
        <v>-2390.6</v>
      </c>
      <c r="Y155" s="3"/>
      <c r="Z155" s="7">
        <f t="shared" si="27"/>
        <v>-1</v>
      </c>
    </row>
    <row r="156" spans="1:26" s="68" customFormat="1" ht="15" customHeight="1" outlineLevel="1" collapsed="1" x14ac:dyDescent="0.3">
      <c r="A156" s="20"/>
      <c r="B156" s="11" t="str">
        <f>CONCATENATE("     ","Supplies                                          ")</f>
        <v xml:space="preserve">     Supplies                                          </v>
      </c>
      <c r="C156" s="11"/>
      <c r="D156" s="2">
        <f>SUM(OSRRefD22_18x_0)</f>
        <v>1780.98</v>
      </c>
      <c r="E156" s="2"/>
      <c r="F156" s="5">
        <f t="shared" si="20"/>
        <v>6.3054019066177552E-3</v>
      </c>
      <c r="G156" s="2"/>
      <c r="H156" s="2">
        <f>SUM(OSRRefH22_18x_0)</f>
        <v>1001.3499999999999</v>
      </c>
      <c r="I156" s="2"/>
      <c r="J156" s="5">
        <f t="shared" si="21"/>
        <v>3.9170317634173047E-3</v>
      </c>
      <c r="K156" s="2"/>
      <c r="L156" s="2">
        <f t="shared" si="22"/>
        <v>779.63000000000011</v>
      </c>
      <c r="M156" s="2"/>
      <c r="N156" s="5">
        <f t="shared" si="23"/>
        <v>0.77857891846007909</v>
      </c>
      <c r="O156" s="11"/>
      <c r="P156" s="2">
        <f>SUM(OSRRefP22_18x_0)</f>
        <v>17030.97</v>
      </c>
      <c r="Q156" s="2"/>
      <c r="R156" s="5">
        <f t="shared" si="24"/>
        <v>3.1875686975044314E-3</v>
      </c>
      <c r="S156" s="2"/>
      <c r="T156" s="2">
        <f>SUM(OSRRefT22_18x_0)</f>
        <v>7534.39</v>
      </c>
      <c r="U156" s="2"/>
      <c r="V156" s="5">
        <f t="shared" si="25"/>
        <v>2.9044692564581982E-3</v>
      </c>
      <c r="W156" s="2"/>
      <c r="X156" s="2">
        <f t="shared" si="26"/>
        <v>9496.5800000000017</v>
      </c>
      <c r="Y156" s="2"/>
      <c r="Z156" s="5">
        <f t="shared" si="27"/>
        <v>1.2604311696102806</v>
      </c>
    </row>
    <row r="157" spans="1:26" s="69" customFormat="1" ht="15" hidden="1" customHeight="1" outlineLevel="2" x14ac:dyDescent="0.3">
      <c r="A157" s="21"/>
      <c r="B157" s="9" t="str">
        <f>CONCATENATE("          ","6234"," - ","EXPENDABLE SUPPLIES &amp; EQUIPMEN")</f>
        <v xml:space="preserve">          6234 - EXPENDABLE SUPPLIES &amp; EQUIPMEN</v>
      </c>
      <c r="C157" s="9"/>
      <c r="D157" s="6"/>
      <c r="E157" s="3"/>
      <c r="F157" s="7">
        <f t="shared" si="20"/>
        <v>0</v>
      </c>
      <c r="G157" s="3"/>
      <c r="H157" s="6"/>
      <c r="I157" s="3"/>
      <c r="J157" s="7">
        <f t="shared" si="21"/>
        <v>0</v>
      </c>
      <c r="K157" s="3"/>
      <c r="L157" s="6">
        <f t="shared" si="22"/>
        <v>0</v>
      </c>
      <c r="M157" s="3"/>
      <c r="N157" s="7">
        <f t="shared" si="23"/>
        <v>0</v>
      </c>
      <c r="O157" s="9"/>
      <c r="P157" s="6">
        <v>1393.55</v>
      </c>
      <c r="Q157" s="3"/>
      <c r="R157" s="7">
        <f t="shared" si="24"/>
        <v>2.6082110169927487E-4</v>
      </c>
      <c r="S157" s="3"/>
      <c r="T157" s="6">
        <v>449.5</v>
      </c>
      <c r="U157" s="3"/>
      <c r="V157" s="7">
        <f t="shared" si="25"/>
        <v>1.7327997764622749E-4</v>
      </c>
      <c r="W157" s="3"/>
      <c r="X157" s="6">
        <f t="shared" si="26"/>
        <v>944.05</v>
      </c>
      <c r="Y157" s="3"/>
      <c r="Z157" s="7">
        <f t="shared" si="27"/>
        <v>2.1002224694104559</v>
      </c>
    </row>
    <row r="158" spans="1:26" s="69" customFormat="1" ht="15" hidden="1" customHeight="1" outlineLevel="2" x14ac:dyDescent="0.3">
      <c r="A158" s="21"/>
      <c r="B158" s="9" t="str">
        <f>CONCATENATE("          ","6235"," - ","COVID-19 EXPENSES")</f>
        <v xml:space="preserve">          6235 - COVID-19 EXPENSES</v>
      </c>
      <c r="C158" s="9"/>
      <c r="D158" s="6"/>
      <c r="E158" s="3"/>
      <c r="F158" s="7">
        <f t="shared" si="20"/>
        <v>0</v>
      </c>
      <c r="G158" s="3"/>
      <c r="H158" s="6"/>
      <c r="I158" s="3"/>
      <c r="J158" s="7">
        <f t="shared" si="21"/>
        <v>0</v>
      </c>
      <c r="K158" s="3"/>
      <c r="L158" s="6">
        <f t="shared" si="22"/>
        <v>0</v>
      </c>
      <c r="M158" s="3"/>
      <c r="N158" s="7">
        <f t="shared" si="23"/>
        <v>0</v>
      </c>
      <c r="O158" s="9"/>
      <c r="P158" s="6"/>
      <c r="Q158" s="3"/>
      <c r="R158" s="7">
        <f t="shared" si="24"/>
        <v>0</v>
      </c>
      <c r="S158" s="3"/>
      <c r="T158" s="6">
        <v>1736.43</v>
      </c>
      <c r="U158" s="3"/>
      <c r="V158" s="7">
        <f t="shared" si="25"/>
        <v>6.6938498683924094E-4</v>
      </c>
      <c r="W158" s="3"/>
      <c r="X158" s="6">
        <f t="shared" si="26"/>
        <v>-1736.43</v>
      </c>
      <c r="Y158" s="3"/>
      <c r="Z158" s="7">
        <f t="shared" si="27"/>
        <v>-1</v>
      </c>
    </row>
    <row r="159" spans="1:26" s="69" customFormat="1" ht="15" hidden="1" customHeight="1" outlineLevel="2" x14ac:dyDescent="0.3">
      <c r="A159" s="21"/>
      <c r="B159" s="9" t="str">
        <f>CONCATENATE("          ","6237"," - ","JANITORIAL SUPPLIES")</f>
        <v xml:space="preserve">          6237 - JANITORIAL SUPPLIES</v>
      </c>
      <c r="C159" s="9"/>
      <c r="D159" s="6"/>
      <c r="E159" s="3"/>
      <c r="F159" s="7">
        <f t="shared" si="20"/>
        <v>0</v>
      </c>
      <c r="G159" s="3"/>
      <c r="H159" s="6"/>
      <c r="I159" s="3"/>
      <c r="J159" s="7">
        <f t="shared" si="21"/>
        <v>0</v>
      </c>
      <c r="K159" s="3"/>
      <c r="L159" s="6">
        <f t="shared" si="22"/>
        <v>0</v>
      </c>
      <c r="M159" s="3"/>
      <c r="N159" s="7">
        <f t="shared" si="23"/>
        <v>0</v>
      </c>
      <c r="O159" s="9"/>
      <c r="P159" s="6">
        <v>852.79</v>
      </c>
      <c r="Q159" s="3"/>
      <c r="R159" s="7">
        <f t="shared" si="24"/>
        <v>1.5961079783152713E-4</v>
      </c>
      <c r="S159" s="3"/>
      <c r="T159" s="6">
        <v>191.74</v>
      </c>
      <c r="U159" s="3"/>
      <c r="V159" s="7">
        <f t="shared" si="25"/>
        <v>7.391480069830403E-5</v>
      </c>
      <c r="W159" s="3"/>
      <c r="X159" s="6">
        <f t="shared" si="26"/>
        <v>661.05</v>
      </c>
      <c r="Y159" s="3"/>
      <c r="Z159" s="7">
        <f t="shared" si="27"/>
        <v>3.4476374256806088</v>
      </c>
    </row>
    <row r="160" spans="1:26" s="69" customFormat="1" ht="15" hidden="1" customHeight="1" outlineLevel="2" x14ac:dyDescent="0.3">
      <c r="A160" s="21"/>
      <c r="B160" s="9" t="str">
        <f>CONCATENATE("          ","6241"," - ","OFFICE EXPENSE")</f>
        <v xml:space="preserve">          6241 - OFFICE EXPENSE</v>
      </c>
      <c r="C160" s="9"/>
      <c r="D160" s="6">
        <v>629.23</v>
      </c>
      <c r="E160" s="3"/>
      <c r="F160" s="7">
        <f t="shared" si="20"/>
        <v>2.2277330692658482E-3</v>
      </c>
      <c r="G160" s="3"/>
      <c r="H160" s="6">
        <v>522.79999999999995</v>
      </c>
      <c r="I160" s="3"/>
      <c r="J160" s="7">
        <f t="shared" si="21"/>
        <v>2.0450633703645747E-3</v>
      </c>
      <c r="K160" s="3"/>
      <c r="L160" s="6">
        <f t="shared" si="22"/>
        <v>106.43000000000006</v>
      </c>
      <c r="M160" s="3"/>
      <c r="N160" s="7">
        <f t="shared" si="23"/>
        <v>0.20357689364957932</v>
      </c>
      <c r="O160" s="9"/>
      <c r="P160" s="6">
        <v>3423.29</v>
      </c>
      <c r="Q160" s="3"/>
      <c r="R160" s="7">
        <f t="shared" si="24"/>
        <v>6.4071347941308942E-4</v>
      </c>
      <c r="S160" s="3"/>
      <c r="T160" s="6">
        <v>2345.21</v>
      </c>
      <c r="U160" s="3"/>
      <c r="V160" s="7">
        <f t="shared" si="25"/>
        <v>9.0406659927855216E-4</v>
      </c>
      <c r="W160" s="3"/>
      <c r="X160" s="6">
        <f t="shared" si="26"/>
        <v>1078.08</v>
      </c>
      <c r="Y160" s="3"/>
      <c r="Z160" s="7">
        <f t="shared" si="27"/>
        <v>0.45969444100954709</v>
      </c>
    </row>
    <row r="161" spans="1:26" s="69" customFormat="1" ht="15" hidden="1" customHeight="1" outlineLevel="2" x14ac:dyDescent="0.3">
      <c r="A161" s="21"/>
      <c r="B161" s="9" t="str">
        <f>CONCATENATE("          ","6245"," - ","PRINTING")</f>
        <v xml:space="preserve">          6245 - PRINTING</v>
      </c>
      <c r="C161" s="9"/>
      <c r="D161" s="6"/>
      <c r="E161" s="3"/>
      <c r="F161" s="7">
        <f t="shared" ref="F161:F170" si="28">IF(D$12=0,0,D161/D$12)</f>
        <v>0</v>
      </c>
      <c r="G161" s="3"/>
      <c r="H161" s="6">
        <v>0</v>
      </c>
      <c r="I161" s="3"/>
      <c r="J161" s="7">
        <f t="shared" ref="J161:J170" si="29">IF(H$12=0,0,H161/H$12)</f>
        <v>0</v>
      </c>
      <c r="K161" s="3"/>
      <c r="L161" s="6">
        <f t="shared" ref="L161:L170" si="30">+D161-H161</f>
        <v>0</v>
      </c>
      <c r="M161" s="3"/>
      <c r="N161" s="7">
        <f t="shared" ref="N161:N170" si="31">IF(H161=0,0,L161/H161)</f>
        <v>0</v>
      </c>
      <c r="O161" s="9"/>
      <c r="P161" s="6">
        <v>35.549999999999997</v>
      </c>
      <c r="Q161" s="3"/>
      <c r="R161" s="7">
        <f t="shared" ref="R161:R170" si="32">IF(P$12=0,0,P161/P$12)</f>
        <v>6.6536472788268963E-6</v>
      </c>
      <c r="S161" s="3"/>
      <c r="T161" s="6">
        <v>0</v>
      </c>
      <c r="U161" s="3"/>
      <c r="V161" s="7">
        <f t="shared" ref="V161:V170" si="33">IF(T$12=0,0,T161/T$12)</f>
        <v>0</v>
      </c>
      <c r="W161" s="3"/>
      <c r="X161" s="6">
        <f t="shared" ref="X161:X170" si="34">+P161-T161</f>
        <v>35.549999999999997</v>
      </c>
      <c r="Y161" s="3"/>
      <c r="Z161" s="7">
        <f t="shared" ref="Z161:Z170" si="35">IF(T161=0,0,X161/T161)</f>
        <v>0</v>
      </c>
    </row>
    <row r="162" spans="1:26" s="69" customFormat="1" ht="15" hidden="1" customHeight="1" outlineLevel="2" x14ac:dyDescent="0.3">
      <c r="A162" s="21"/>
      <c r="B162" s="9" t="str">
        <f>CONCATENATE("          ","6247"," - ","STORE SUPPLIES")</f>
        <v xml:space="preserve">          6247 - STORE SUPPLIES</v>
      </c>
      <c r="C162" s="9"/>
      <c r="D162" s="6">
        <v>1151.75</v>
      </c>
      <c r="E162" s="3"/>
      <c r="F162" s="7">
        <f t="shared" si="28"/>
        <v>4.077668837351907E-3</v>
      </c>
      <c r="G162" s="3"/>
      <c r="H162" s="6">
        <v>478.55</v>
      </c>
      <c r="I162" s="3"/>
      <c r="J162" s="7">
        <f t="shared" si="29"/>
        <v>1.8719683930527302E-3</v>
      </c>
      <c r="K162" s="3"/>
      <c r="L162" s="6">
        <f t="shared" si="30"/>
        <v>673.2</v>
      </c>
      <c r="M162" s="3"/>
      <c r="N162" s="7">
        <f t="shared" si="31"/>
        <v>1.4067495559502665</v>
      </c>
      <c r="O162" s="9"/>
      <c r="P162" s="6">
        <v>11325.79</v>
      </c>
      <c r="Q162" s="3"/>
      <c r="R162" s="7">
        <f t="shared" si="32"/>
        <v>2.1197696712817126E-3</v>
      </c>
      <c r="S162" s="3"/>
      <c r="T162" s="6">
        <v>2811.51</v>
      </c>
      <c r="U162" s="3"/>
      <c r="V162" s="7">
        <f t="shared" si="33"/>
        <v>1.0838228919958733E-3</v>
      </c>
      <c r="W162" s="3"/>
      <c r="X162" s="6">
        <f t="shared" si="34"/>
        <v>8514.2800000000007</v>
      </c>
      <c r="Y162" s="3"/>
      <c r="Z162" s="7">
        <f t="shared" si="35"/>
        <v>3.0283655402257148</v>
      </c>
    </row>
    <row r="163" spans="1:26" s="68" customFormat="1" ht="15" customHeight="1" outlineLevel="1" collapsed="1" x14ac:dyDescent="0.3">
      <c r="A163" s="20"/>
      <c r="B163" s="11" t="str">
        <f>CONCATENATE("     ","Telephone/Data Lines                              ")</f>
        <v xml:space="preserve">     Telephone/Data Lines                              </v>
      </c>
      <c r="C163" s="11"/>
      <c r="D163" s="2">
        <f>SUM(OSRRefD22_19x_0)</f>
        <v>590.59</v>
      </c>
      <c r="E163" s="2"/>
      <c r="F163" s="5">
        <f t="shared" si="28"/>
        <v>2.0909315725215218E-3</v>
      </c>
      <c r="G163" s="2"/>
      <c r="H163" s="2">
        <f>SUM(OSRRefH22_19x_0)</f>
        <v>745.94</v>
      </c>
      <c r="I163" s="2"/>
      <c r="J163" s="5">
        <f t="shared" si="29"/>
        <v>2.9179314661242372E-3</v>
      </c>
      <c r="K163" s="2"/>
      <c r="L163" s="2">
        <f t="shared" si="30"/>
        <v>-155.35000000000002</v>
      </c>
      <c r="M163" s="2"/>
      <c r="N163" s="5">
        <f t="shared" si="31"/>
        <v>-0.20826071802021612</v>
      </c>
      <c r="O163" s="11"/>
      <c r="P163" s="2">
        <f>SUM(OSRRefP22_19x_0)</f>
        <v>7045.62</v>
      </c>
      <c r="Q163" s="2"/>
      <c r="R163" s="5">
        <f t="shared" si="32"/>
        <v>1.3186798970646516E-3</v>
      </c>
      <c r="S163" s="2"/>
      <c r="T163" s="2">
        <f>SUM(OSRRefT22_19x_0)</f>
        <v>7632.42</v>
      </c>
      <c r="U163" s="2"/>
      <c r="V163" s="5">
        <f t="shared" si="33"/>
        <v>2.9422593258879191E-3</v>
      </c>
      <c r="W163" s="2"/>
      <c r="X163" s="2">
        <f t="shared" si="34"/>
        <v>-586.80000000000018</v>
      </c>
      <c r="Y163" s="2"/>
      <c r="Z163" s="5">
        <f t="shared" si="35"/>
        <v>-7.6882561494257415E-2</v>
      </c>
    </row>
    <row r="164" spans="1:26" s="69" customFormat="1" ht="15" hidden="1" customHeight="1" outlineLevel="2" x14ac:dyDescent="0.3">
      <c r="A164" s="21"/>
      <c r="B164" s="9" t="str">
        <f>CONCATENATE("          ","6309"," - ","TELEPHONE")</f>
        <v xml:space="preserve">          6309 - TELEPHONE</v>
      </c>
      <c r="C164" s="9"/>
      <c r="D164" s="6">
        <v>590.59</v>
      </c>
      <c r="E164" s="3"/>
      <c r="F164" s="7">
        <f t="shared" si="28"/>
        <v>2.0909315725215218E-3</v>
      </c>
      <c r="G164" s="3"/>
      <c r="H164" s="6">
        <v>745.94</v>
      </c>
      <c r="I164" s="3"/>
      <c r="J164" s="7">
        <f t="shared" si="29"/>
        <v>2.9179314661242372E-3</v>
      </c>
      <c r="K164" s="3"/>
      <c r="L164" s="6">
        <f t="shared" si="30"/>
        <v>-155.35000000000002</v>
      </c>
      <c r="M164" s="3"/>
      <c r="N164" s="7">
        <f t="shared" si="31"/>
        <v>-0.20826071802021612</v>
      </c>
      <c r="O164" s="9"/>
      <c r="P164" s="6">
        <v>7045.62</v>
      </c>
      <c r="Q164" s="3"/>
      <c r="R164" s="7">
        <f t="shared" si="32"/>
        <v>1.3186798970646516E-3</v>
      </c>
      <c r="S164" s="3"/>
      <c r="T164" s="6">
        <v>7632.42</v>
      </c>
      <c r="U164" s="3"/>
      <c r="V164" s="7">
        <f t="shared" si="33"/>
        <v>2.9422593258879191E-3</v>
      </c>
      <c r="W164" s="3"/>
      <c r="X164" s="6">
        <f t="shared" si="34"/>
        <v>-586.80000000000018</v>
      </c>
      <c r="Y164" s="3"/>
      <c r="Z164" s="7">
        <f t="shared" si="35"/>
        <v>-7.6882561494257415E-2</v>
      </c>
    </row>
    <row r="165" spans="1:26" s="68" customFormat="1" ht="15" customHeight="1" outlineLevel="1" collapsed="1" x14ac:dyDescent="0.3">
      <c r="A165" s="20"/>
      <c r="B165" s="11" t="str">
        <f>CONCATENATE("     ","Training                                          ")</f>
        <v xml:space="preserve">     Training                                          </v>
      </c>
      <c r="C165" s="11"/>
      <c r="D165" s="2">
        <f>SUM(OSRRefD22_20x_0)</f>
        <v>0</v>
      </c>
      <c r="E165" s="2"/>
      <c r="F165" s="5">
        <f t="shared" si="28"/>
        <v>0</v>
      </c>
      <c r="G165" s="2"/>
      <c r="H165" s="2">
        <f>SUM(OSRRefH22_20x_0)</f>
        <v>0</v>
      </c>
      <c r="I165" s="2"/>
      <c r="J165" s="5">
        <f t="shared" si="29"/>
        <v>0</v>
      </c>
      <c r="K165" s="2"/>
      <c r="L165" s="2">
        <f t="shared" si="30"/>
        <v>0</v>
      </c>
      <c r="M165" s="2"/>
      <c r="N165" s="5">
        <f t="shared" si="31"/>
        <v>0</v>
      </c>
      <c r="O165" s="11"/>
      <c r="P165" s="2">
        <f>SUM(OSRRefP22_20x_0)</f>
        <v>300</v>
      </c>
      <c r="Q165" s="2"/>
      <c r="R165" s="5">
        <f t="shared" si="32"/>
        <v>5.6148922184193224E-5</v>
      </c>
      <c r="S165" s="2"/>
      <c r="T165" s="2">
        <f>SUM(OSRRefT22_20x_0)</f>
        <v>14</v>
      </c>
      <c r="U165" s="2"/>
      <c r="V165" s="5">
        <f t="shared" si="33"/>
        <v>5.3969292259114239E-6</v>
      </c>
      <c r="W165" s="2"/>
      <c r="X165" s="2">
        <f t="shared" si="34"/>
        <v>286</v>
      </c>
      <c r="Y165" s="2"/>
      <c r="Z165" s="5">
        <f t="shared" si="35"/>
        <v>20.428571428571427</v>
      </c>
    </row>
    <row r="166" spans="1:26" s="69" customFormat="1" ht="15" hidden="1" customHeight="1" outlineLevel="2" x14ac:dyDescent="0.3">
      <c r="A166" s="21"/>
      <c r="B166" s="9" t="str">
        <f>CONCATENATE("          ","6376"," - ","TRAINING")</f>
        <v xml:space="preserve">          6376 - TRAINING</v>
      </c>
      <c r="C166" s="9"/>
      <c r="D166" s="6"/>
      <c r="E166" s="3"/>
      <c r="F166" s="7">
        <f t="shared" si="28"/>
        <v>0</v>
      </c>
      <c r="G166" s="3"/>
      <c r="H166" s="6"/>
      <c r="I166" s="3"/>
      <c r="J166" s="7">
        <f t="shared" si="29"/>
        <v>0</v>
      </c>
      <c r="K166" s="3"/>
      <c r="L166" s="6">
        <f t="shared" si="30"/>
        <v>0</v>
      </c>
      <c r="M166" s="3"/>
      <c r="N166" s="7">
        <f t="shared" si="31"/>
        <v>0</v>
      </c>
      <c r="O166" s="9"/>
      <c r="P166" s="6">
        <v>300</v>
      </c>
      <c r="Q166" s="3"/>
      <c r="R166" s="7">
        <f t="shared" si="32"/>
        <v>5.6148922184193224E-5</v>
      </c>
      <c r="S166" s="3"/>
      <c r="T166" s="6">
        <v>14</v>
      </c>
      <c r="U166" s="3"/>
      <c r="V166" s="7">
        <f t="shared" si="33"/>
        <v>5.3969292259114239E-6</v>
      </c>
      <c r="W166" s="3"/>
      <c r="X166" s="6">
        <f t="shared" si="34"/>
        <v>286</v>
      </c>
      <c r="Y166" s="3"/>
      <c r="Z166" s="7">
        <f t="shared" si="35"/>
        <v>20.428571428571427</v>
      </c>
    </row>
    <row r="167" spans="1:26" s="68" customFormat="1" ht="15" customHeight="1" outlineLevel="1" collapsed="1" x14ac:dyDescent="0.3">
      <c r="A167" s="20"/>
      <c r="B167" s="11" t="str">
        <f>CONCATENATE("     ","Travel                                            ")</f>
        <v xml:space="preserve">     Travel                                            </v>
      </c>
      <c r="C167" s="11"/>
      <c r="D167" s="2">
        <f>SUM(OSRRefD22_21x_0)</f>
        <v>1017.65</v>
      </c>
      <c r="E167" s="2"/>
      <c r="F167" s="5">
        <f t="shared" si="28"/>
        <v>3.6028996677500915E-3</v>
      </c>
      <c r="G167" s="2"/>
      <c r="H167" s="2">
        <f>SUM(OSRRefH22_21x_0)</f>
        <v>0</v>
      </c>
      <c r="I167" s="2"/>
      <c r="J167" s="5">
        <f t="shared" si="29"/>
        <v>0</v>
      </c>
      <c r="K167" s="2"/>
      <c r="L167" s="2">
        <f t="shared" si="30"/>
        <v>1017.65</v>
      </c>
      <c r="M167" s="2"/>
      <c r="N167" s="5">
        <f t="shared" si="31"/>
        <v>0</v>
      </c>
      <c r="O167" s="11"/>
      <c r="P167" s="2">
        <f>SUM(OSRRefP22_21x_0)</f>
        <v>1608.28</v>
      </c>
      <c r="Q167" s="2"/>
      <c r="R167" s="5">
        <f t="shared" si="32"/>
        <v>3.0101062856798092E-4</v>
      </c>
      <c r="S167" s="2"/>
      <c r="T167" s="2">
        <f>SUM(OSRRefT22_21x_0)</f>
        <v>613.35</v>
      </c>
      <c r="U167" s="2"/>
      <c r="V167" s="5">
        <f t="shared" si="33"/>
        <v>2.3644332433662657E-4</v>
      </c>
      <c r="W167" s="2"/>
      <c r="X167" s="2">
        <f t="shared" si="34"/>
        <v>994.93</v>
      </c>
      <c r="Y167" s="2"/>
      <c r="Z167" s="5">
        <f t="shared" si="35"/>
        <v>1.622124398793511</v>
      </c>
    </row>
    <row r="168" spans="1:26" s="69" customFormat="1" ht="15" hidden="1" customHeight="1" outlineLevel="2" x14ac:dyDescent="0.3">
      <c r="A168" s="21"/>
      <c r="B168" s="9" t="str">
        <f>CONCATENATE("          ","6294"," - ","TRAVEL OPERATIONAL")</f>
        <v xml:space="preserve">          6294 - TRAVEL OPERATIONAL</v>
      </c>
      <c r="C168" s="9"/>
      <c r="D168" s="6">
        <v>1017.65</v>
      </c>
      <c r="E168" s="3"/>
      <c r="F168" s="7">
        <f t="shared" si="28"/>
        <v>3.6028996677500915E-3</v>
      </c>
      <c r="G168" s="3"/>
      <c r="H168" s="6"/>
      <c r="I168" s="3"/>
      <c r="J168" s="7">
        <f t="shared" si="29"/>
        <v>0</v>
      </c>
      <c r="K168" s="3"/>
      <c r="L168" s="6">
        <f t="shared" si="30"/>
        <v>1017.65</v>
      </c>
      <c r="M168" s="3"/>
      <c r="N168" s="7">
        <f t="shared" si="31"/>
        <v>0</v>
      </c>
      <c r="O168" s="9"/>
      <c r="P168" s="6">
        <v>1608.28</v>
      </c>
      <c r="Q168" s="3"/>
      <c r="R168" s="7">
        <f t="shared" si="32"/>
        <v>3.0101062856798092E-4</v>
      </c>
      <c r="S168" s="3"/>
      <c r="T168" s="6">
        <v>613.35</v>
      </c>
      <c r="U168" s="3"/>
      <c r="V168" s="7">
        <f t="shared" si="33"/>
        <v>2.3644332433662657E-4</v>
      </c>
      <c r="W168" s="3"/>
      <c r="X168" s="6">
        <f t="shared" si="34"/>
        <v>994.93</v>
      </c>
      <c r="Y168" s="3"/>
      <c r="Z168" s="7">
        <f t="shared" si="35"/>
        <v>1.622124398793511</v>
      </c>
    </row>
    <row r="169" spans="1:26" s="68" customFormat="1" ht="15" customHeight="1" outlineLevel="1" collapsed="1" x14ac:dyDescent="0.3">
      <c r="A169" s="20"/>
      <c r="B169" s="11" t="str">
        <f>CONCATENATE("     ","Utilities                                         ")</f>
        <v xml:space="preserve">     Utilities                                         </v>
      </c>
      <c r="C169" s="11"/>
      <c r="D169" s="2">
        <f>SUM(OSRRefD22_22x_0)</f>
        <v>26.49</v>
      </c>
      <c r="E169" s="2"/>
      <c r="F169" s="5">
        <f t="shared" si="28"/>
        <v>9.3785498156242247E-5</v>
      </c>
      <c r="G169" s="2"/>
      <c r="H169" s="2">
        <f>SUM(OSRRefH22_22x_0)</f>
        <v>29.94</v>
      </c>
      <c r="I169" s="2"/>
      <c r="J169" s="5">
        <f t="shared" si="29"/>
        <v>1.1711782193709904E-4</v>
      </c>
      <c r="K169" s="2"/>
      <c r="L169" s="2">
        <f t="shared" si="30"/>
        <v>-3.4500000000000028</v>
      </c>
      <c r="M169" s="2"/>
      <c r="N169" s="5">
        <f t="shared" si="31"/>
        <v>-0.11523046092184377</v>
      </c>
      <c r="O169" s="11"/>
      <c r="P169" s="2">
        <f>SUM(OSRRefP22_22x_0)</f>
        <v>1330.38</v>
      </c>
      <c r="Q169" s="2"/>
      <c r="R169" s="5">
        <f t="shared" si="32"/>
        <v>2.4899801031802329E-4</v>
      </c>
      <c r="S169" s="2"/>
      <c r="T169" s="2">
        <f>SUM(OSRRefT22_22x_0)</f>
        <v>324.37</v>
      </c>
      <c r="U169" s="2"/>
      <c r="V169" s="5">
        <f t="shared" si="33"/>
        <v>1.2504299521492061E-4</v>
      </c>
      <c r="W169" s="2"/>
      <c r="X169" s="2">
        <f t="shared" si="34"/>
        <v>1006.0100000000001</v>
      </c>
      <c r="Y169" s="2"/>
      <c r="Z169" s="5">
        <f t="shared" si="35"/>
        <v>3.1014273823103249</v>
      </c>
    </row>
    <row r="170" spans="1:26" s="69" customFormat="1" ht="15" hidden="1" customHeight="1" outlineLevel="2" x14ac:dyDescent="0.3">
      <c r="A170" s="21"/>
      <c r="B170" s="9" t="str">
        <f>CONCATENATE("          ","6274"," - ","UTILITIES")</f>
        <v xml:space="preserve">          6274 - UTILITIES</v>
      </c>
      <c r="C170" s="9"/>
      <c r="D170" s="6">
        <v>26.49</v>
      </c>
      <c r="E170" s="3"/>
      <c r="F170" s="7">
        <f t="shared" si="28"/>
        <v>9.3785498156242247E-5</v>
      </c>
      <c r="G170" s="3"/>
      <c r="H170" s="6">
        <v>29.94</v>
      </c>
      <c r="I170" s="3"/>
      <c r="J170" s="7">
        <f t="shared" si="29"/>
        <v>1.1711782193709904E-4</v>
      </c>
      <c r="K170" s="3"/>
      <c r="L170" s="6">
        <f t="shared" si="30"/>
        <v>-3.4500000000000028</v>
      </c>
      <c r="M170" s="3"/>
      <c r="N170" s="7">
        <f t="shared" si="31"/>
        <v>-0.11523046092184377</v>
      </c>
      <c r="O170" s="9"/>
      <c r="P170" s="6">
        <v>1330.38</v>
      </c>
      <c r="Q170" s="3"/>
      <c r="R170" s="7">
        <f t="shared" si="32"/>
        <v>2.4899801031802329E-4</v>
      </c>
      <c r="S170" s="3"/>
      <c r="T170" s="6">
        <v>324.37</v>
      </c>
      <c r="U170" s="3"/>
      <c r="V170" s="7">
        <f t="shared" si="33"/>
        <v>1.2504299521492061E-4</v>
      </c>
      <c r="W170" s="3"/>
      <c r="X170" s="6">
        <f t="shared" si="34"/>
        <v>1006.0100000000001</v>
      </c>
      <c r="Y170" s="3"/>
      <c r="Z170" s="7">
        <f t="shared" si="35"/>
        <v>3.1014273823103249</v>
      </c>
    </row>
    <row r="171" spans="1:26" s="64" customFormat="1" ht="15" customHeight="1" x14ac:dyDescent="0.3">
      <c r="A171" s="37"/>
      <c r="B171" s="37"/>
      <c r="C171" s="37"/>
      <c r="D171" s="2"/>
      <c r="E171" s="2"/>
      <c r="F171" s="5"/>
      <c r="G171" s="2"/>
      <c r="H171" s="2"/>
      <c r="I171" s="2"/>
      <c r="J171" s="5"/>
      <c r="K171" s="2"/>
      <c r="L171" s="2"/>
      <c r="M171" s="2"/>
      <c r="N171" s="5"/>
      <c r="O171" s="37"/>
      <c r="P171" s="2"/>
      <c r="Q171" s="2"/>
      <c r="R171" s="5"/>
      <c r="S171" s="2"/>
      <c r="T171" s="2"/>
      <c r="U171" s="2"/>
      <c r="V171" s="5"/>
      <c r="W171" s="2"/>
      <c r="X171" s="2"/>
      <c r="Y171" s="2"/>
      <c r="Z171" s="5"/>
    </row>
    <row r="172" spans="1:26" s="62" customFormat="1" ht="15" customHeight="1" collapsed="1" x14ac:dyDescent="0.3">
      <c r="A172" s="13"/>
      <c r="B172" s="27" t="s">
        <v>290</v>
      </c>
      <c r="C172" s="13"/>
      <c r="D172" s="8">
        <f>SUM(OSRRefD25x_0)</f>
        <v>18080.689999999999</v>
      </c>
      <c r="E172" s="8"/>
      <c r="F172" s="14">
        <f>IF(D$12=0,0,D172/D$12)</f>
        <v>6.4013081112064468E-2</v>
      </c>
      <c r="G172" s="8"/>
      <c r="H172" s="8">
        <f>SUM(OSRRefH25x_0)</f>
        <v>381445.06</v>
      </c>
      <c r="I172" s="8"/>
      <c r="J172" s="14">
        <f>IF(H$12=0,0,H172/H$12)</f>
        <v>1.4921180566421528</v>
      </c>
      <c r="K172" s="8"/>
      <c r="L172" s="8">
        <f>+D172-H172</f>
        <v>-363364.37</v>
      </c>
      <c r="M172" s="8"/>
      <c r="N172" s="14">
        <f>IF(H172=0,0,L172/H172)</f>
        <v>-0.95259949099878238</v>
      </c>
      <c r="O172" s="13"/>
      <c r="P172" s="8">
        <f>SUM(OSRRefP25x_0)</f>
        <v>770455.72</v>
      </c>
      <c r="Q172" s="8"/>
      <c r="R172" s="14">
        <f>IF(P$12=0,0,P172/P$12)</f>
        <v>0.14420086089548853</v>
      </c>
      <c r="S172" s="8"/>
      <c r="T172" s="8">
        <f>SUM(OSRRefT25x_0)</f>
        <v>794131.84000000008</v>
      </c>
      <c r="U172" s="8"/>
      <c r="V172" s="14">
        <f>IF(T$12=0,0,T172/T$12)</f>
        <v>0.30613380975162963</v>
      </c>
      <c r="W172" s="8"/>
      <c r="X172" s="8">
        <f>+P172-T172</f>
        <v>-23676.120000000112</v>
      </c>
      <c r="Y172" s="8"/>
      <c r="Z172" s="14">
        <f>IF(T172=0,0,X172/T172)</f>
        <v>-2.9813840482708902E-2</v>
      </c>
    </row>
    <row r="173" spans="1:26" s="69" customFormat="1" ht="15" hidden="1" customHeight="1" outlineLevel="1" x14ac:dyDescent="0.3">
      <c r="A173" s="47"/>
      <c r="B173" s="9" t="str">
        <f>CONCATENATE("          ","4098"," - ","TAXABLE SALES-GRAD RENTALS")</f>
        <v xml:space="preserve">          4098 - TAXABLE SALES-GRAD RENTALS</v>
      </c>
      <c r="C173" s="9"/>
      <c r="D173" s="3">
        <f>0</f>
        <v>0</v>
      </c>
      <c r="E173" s="3"/>
      <c r="F173" s="26">
        <f>IF(D$12=0,0,D173/D$12)</f>
        <v>0</v>
      </c>
      <c r="G173" s="3"/>
      <c r="H173" s="3">
        <f>--1017.7</f>
        <v>1017.7</v>
      </c>
      <c r="I173" s="3"/>
      <c r="J173" s="26">
        <f>IF(H$12=0,0,H173/H$12)</f>
        <v>3.9809888906274446E-3</v>
      </c>
      <c r="K173" s="3"/>
      <c r="L173" s="3">
        <f>+D173-H173</f>
        <v>-1017.7</v>
      </c>
      <c r="M173" s="3"/>
      <c r="N173" s="26">
        <f>IF(H173=0,0,L173/H173)</f>
        <v>-1</v>
      </c>
      <c r="O173" s="9"/>
      <c r="P173" s="3">
        <f>0</f>
        <v>0</v>
      </c>
      <c r="Q173" s="3"/>
      <c r="R173" s="26">
        <f>IF(P$12=0,0,P173/P$12)</f>
        <v>0</v>
      </c>
      <c r="S173" s="3"/>
      <c r="T173" s="3">
        <f>--1067.65</f>
        <v>1067.6500000000001</v>
      </c>
      <c r="U173" s="3"/>
      <c r="V173" s="26">
        <f>IF(T$12=0,0,T173/T$12)</f>
        <v>4.1157367771745229E-4</v>
      </c>
      <c r="W173" s="3"/>
      <c r="X173" s="3">
        <f>+P173-T173</f>
        <v>-1067.6500000000001</v>
      </c>
      <c r="Y173" s="3"/>
      <c r="Z173" s="26">
        <f>IF(T173=0,0,X173/T173)</f>
        <v>-1</v>
      </c>
    </row>
    <row r="174" spans="1:26" s="69" customFormat="1" ht="15" hidden="1" customHeight="1" outlineLevel="1" x14ac:dyDescent="0.3">
      <c r="A174" s="47"/>
      <c r="B174" s="9" t="str">
        <f>CONCATENATE("          ","9150"," - ","MISC. INCOME")</f>
        <v xml:space="preserve">          9150 - MISC. INCOME</v>
      </c>
      <c r="C174" s="9"/>
      <c r="D174" s="3">
        <f>--78.19</f>
        <v>78.19</v>
      </c>
      <c r="E174" s="3"/>
      <c r="F174" s="26">
        <f>IF(D$12=0,0,D174/D$12)</f>
        <v>2.7682476786850061E-4</v>
      </c>
      <c r="G174" s="3"/>
      <c r="H174" s="3">
        <f>--1666.87</f>
        <v>1666.87</v>
      </c>
      <c r="I174" s="3"/>
      <c r="J174" s="26">
        <f>IF(H$12=0,0,H174/H$12)</f>
        <v>6.52038022218745E-3</v>
      </c>
      <c r="K174" s="3"/>
      <c r="L174" s="3">
        <f>+D174-H174</f>
        <v>-1588.6799999999998</v>
      </c>
      <c r="M174" s="3"/>
      <c r="N174" s="26">
        <f>IF(H174=0,0,L174/H174)</f>
        <v>-0.95309172280981713</v>
      </c>
      <c r="O174" s="9"/>
      <c r="P174" s="3">
        <f>--110983.52</f>
        <v>110983.52</v>
      </c>
      <c r="Q174" s="3"/>
      <c r="R174" s="26">
        <f>IF(P$12=0,0,P174/P$12)</f>
        <v>2.0772016760692843E-2</v>
      </c>
      <c r="S174" s="3"/>
      <c r="T174" s="3">
        <f>--65963.14</f>
        <v>65963.14</v>
      </c>
      <c r="U174" s="3"/>
      <c r="V174" s="26">
        <f>IF(T$12=0,0,T174/T$12)</f>
        <v>2.5428457007063348E-2</v>
      </c>
      <c r="W174" s="3"/>
      <c r="X174" s="3">
        <f>+P174-T174</f>
        <v>45020.380000000005</v>
      </c>
      <c r="Y174" s="3"/>
      <c r="Z174" s="26">
        <f>IF(T174=0,0,X174/T174)</f>
        <v>0.68250814015221239</v>
      </c>
    </row>
    <row r="175" spans="1:26" s="69" customFormat="1" ht="15" hidden="1" customHeight="1" outlineLevel="1" x14ac:dyDescent="0.3">
      <c r="A175" s="47"/>
      <c r="B175" s="9" t="str">
        <f>CONCATENATE("          ","9163"," - ","MISC. INCOME")</f>
        <v xml:space="preserve">          9163 - MISC. INCOME</v>
      </c>
      <c r="C175" s="9"/>
      <c r="D175" s="3">
        <f>--18002.5</f>
        <v>18002.5</v>
      </c>
      <c r="E175" s="3"/>
      <c r="F175" s="26">
        <f>IF(D$12=0,0,D175/D$12)</f>
        <v>6.3736256344195968E-2</v>
      </c>
      <c r="G175" s="3"/>
      <c r="H175" s="3">
        <f>--378760.49</f>
        <v>378760.49</v>
      </c>
      <c r="I175" s="3"/>
      <c r="J175" s="26">
        <f>IF(H$12=0,0,H175/H$12)</f>
        <v>1.481616687529338</v>
      </c>
      <c r="K175" s="3"/>
      <c r="L175" s="3">
        <f>+D175-H175</f>
        <v>-360757.99</v>
      </c>
      <c r="M175" s="3"/>
      <c r="N175" s="26">
        <f>IF(H175=0,0,L175/H175)</f>
        <v>-0.95246996327415245</v>
      </c>
      <c r="O175" s="9"/>
      <c r="P175" s="3">
        <f>--659472.2</f>
        <v>659472.19999999995</v>
      </c>
      <c r="Q175" s="3"/>
      <c r="R175" s="26">
        <f>IF(P$12=0,0,P175/P$12)</f>
        <v>0.1234288441347957</v>
      </c>
      <c r="S175" s="3"/>
      <c r="T175" s="3">
        <f>--727101.05</f>
        <v>727101.05</v>
      </c>
      <c r="U175" s="3"/>
      <c r="V175" s="26">
        <f>IF(T$12=0,0,T175/T$12)</f>
        <v>0.28029377906684882</v>
      </c>
      <c r="W175" s="3"/>
      <c r="X175" s="3">
        <f>+P175-T175</f>
        <v>-67628.850000000093</v>
      </c>
      <c r="Y175" s="3"/>
      <c r="Z175" s="26">
        <f>IF(T175=0,0,X175/T175)</f>
        <v>-9.3011624725339193E-2</v>
      </c>
    </row>
    <row r="176" spans="1:26" ht="15" customHeight="1" x14ac:dyDescent="0.3">
      <c r="A176" s="12"/>
      <c r="B176" s="13"/>
      <c r="C176" s="13"/>
      <c r="D176" s="4"/>
      <c r="E176" s="4"/>
      <c r="F176" s="10"/>
      <c r="G176" s="4"/>
      <c r="H176" s="4"/>
      <c r="I176" s="4"/>
      <c r="J176" s="10"/>
      <c r="K176" s="4"/>
      <c r="L176" s="4"/>
      <c r="M176" s="4"/>
      <c r="N176" s="10"/>
      <c r="O176" s="13"/>
      <c r="P176" s="4"/>
      <c r="Q176" s="4"/>
      <c r="R176" s="10"/>
      <c r="S176" s="4"/>
      <c r="T176" s="4"/>
      <c r="U176" s="4"/>
      <c r="V176" s="10"/>
      <c r="W176" s="4"/>
      <c r="X176" s="4"/>
      <c r="Y176" s="4"/>
      <c r="Z176" s="10"/>
    </row>
    <row r="177" spans="1:26" s="62" customFormat="1" ht="15" customHeight="1" x14ac:dyDescent="0.3">
      <c r="A177" s="13"/>
      <c r="B177" s="28" t="s">
        <v>291</v>
      </c>
      <c r="C177" s="28"/>
      <c r="D177" s="22">
        <f>+D95-D97+D172</f>
        <v>-35887.33000000006</v>
      </c>
      <c r="E177" s="15"/>
      <c r="F177" s="24">
        <f>IF(D$12=0,0,D177/D$12)</f>
        <v>-0.12705591247819792</v>
      </c>
      <c r="G177" s="15"/>
      <c r="H177" s="22">
        <f>+H95-H97+H172</f>
        <v>379603.26</v>
      </c>
      <c r="I177" s="15"/>
      <c r="J177" s="24">
        <f>IF(H$12=0,0,H177/H$12)</f>
        <v>1.4849133938350805</v>
      </c>
      <c r="K177" s="17"/>
      <c r="L177" s="22">
        <f>+D177-H177</f>
        <v>-415490.59000000008</v>
      </c>
      <c r="M177" s="17"/>
      <c r="N177" s="24">
        <f>IF(H177=0,0,L177/H177)</f>
        <v>-1.0945390458448647</v>
      </c>
      <c r="O177" s="27"/>
      <c r="P177" s="22">
        <f>+P95-P97+P172</f>
        <v>2191885.92</v>
      </c>
      <c r="Q177" s="15"/>
      <c r="R177" s="24">
        <f>IF(P$12=0,0,P177/P$12)</f>
        <v>0.41024010652902926</v>
      </c>
      <c r="S177" s="15"/>
      <c r="T177" s="22">
        <f>+T95-T97+T172</f>
        <v>1128172.9700000007</v>
      </c>
      <c r="U177" s="15"/>
      <c r="V177" s="24">
        <f>IF(T$12=0,0,T177/T$12)</f>
        <v>0.43490497669116396</v>
      </c>
      <c r="W177" s="17"/>
      <c r="X177" s="22">
        <f>+P177-T177</f>
        <v>1063712.9499999993</v>
      </c>
      <c r="Y177" s="17"/>
      <c r="Z177" s="24">
        <f>IF(T177=0,0,X177/T177)</f>
        <v>0.94286335365755003</v>
      </c>
    </row>
    <row r="178" spans="1:26" ht="15" customHeight="1" x14ac:dyDescent="0.3">
      <c r="A178" s="12"/>
      <c r="B178" s="13"/>
      <c r="C178" s="12"/>
      <c r="D178" s="4"/>
      <c r="E178" s="4"/>
      <c r="F178" s="10"/>
      <c r="G178" s="4"/>
      <c r="H178" s="4"/>
      <c r="I178" s="4"/>
      <c r="J178" s="10"/>
      <c r="K178" s="4"/>
      <c r="L178" s="4"/>
      <c r="M178" s="4"/>
      <c r="N178" s="10"/>
      <c r="P178" s="4"/>
      <c r="Q178" s="4"/>
      <c r="R178" s="10"/>
      <c r="S178" s="4"/>
      <c r="T178" s="4"/>
      <c r="U178" s="4"/>
      <c r="V178" s="10"/>
      <c r="W178" s="4"/>
      <c r="X178" s="4"/>
      <c r="Y178" s="4"/>
      <c r="Z178" s="10"/>
    </row>
    <row r="179" spans="1:26" s="62" customFormat="1" ht="15" customHeight="1" x14ac:dyDescent="0.3">
      <c r="A179" s="48"/>
      <c r="B179" s="13" t="s">
        <v>292</v>
      </c>
      <c r="C179" s="13"/>
      <c r="D179" s="8">
        <v>-1184906.48</v>
      </c>
      <c r="E179" s="8"/>
      <c r="F179" s="14">
        <f>IF(D$12=0,0,D179/D$12)</f>
        <v>-4.1950564173408642</v>
      </c>
      <c r="G179" s="8"/>
      <c r="H179" s="8">
        <v>218324.24</v>
      </c>
      <c r="I179" s="8"/>
      <c r="J179" s="14">
        <f>IF(H$12=0,0,H179/H$12)</f>
        <v>0.85403004224690959</v>
      </c>
      <c r="K179" s="8"/>
      <c r="L179" s="8">
        <f>+D179-H179</f>
        <v>-1403230.72</v>
      </c>
      <c r="M179" s="8"/>
      <c r="N179" s="14">
        <f>IF(H179=0,0,L179/H179)</f>
        <v>-6.4272786200927579</v>
      </c>
      <c r="O179" s="13"/>
      <c r="P179" s="8">
        <v>-615980.09</v>
      </c>
      <c r="Q179" s="8"/>
      <c r="R179" s="14">
        <f>IF(P$12=0,0,P179/P$12)</f>
        <v>-0.11528872713474113</v>
      </c>
      <c r="S179" s="8"/>
      <c r="T179" s="8">
        <v>718024.08</v>
      </c>
      <c r="U179" s="8"/>
      <c r="V179" s="14">
        <f>IF(T$12=0,0,T179/T$12)</f>
        <v>0.27679465301858297</v>
      </c>
      <c r="W179" s="8"/>
      <c r="X179" s="8">
        <f>+P179-T179</f>
        <v>-1334004.17</v>
      </c>
      <c r="Y179" s="8"/>
      <c r="Z179" s="14">
        <f>IF(T179=0,0,X179/T179)</f>
        <v>-1.8578822175434562</v>
      </c>
    </row>
    <row r="180" spans="1:26" ht="15" customHeight="1" x14ac:dyDescent="0.3">
      <c r="A180" s="12"/>
      <c r="B180" s="13"/>
      <c r="C180" s="13"/>
      <c r="D180" s="4"/>
      <c r="E180" s="4"/>
      <c r="F180" s="10"/>
      <c r="G180" s="4"/>
      <c r="H180" s="4"/>
      <c r="I180" s="4"/>
      <c r="J180" s="10"/>
      <c r="K180" s="4"/>
      <c r="L180" s="4"/>
      <c r="M180" s="4"/>
      <c r="N180" s="10"/>
      <c r="O180" s="13"/>
      <c r="P180" s="4"/>
      <c r="Q180" s="4"/>
      <c r="R180" s="10"/>
      <c r="S180" s="4"/>
      <c r="T180" s="4"/>
      <c r="U180" s="4"/>
      <c r="V180" s="10"/>
      <c r="W180" s="4"/>
      <c r="X180" s="4"/>
      <c r="Y180" s="4"/>
      <c r="Z180" s="10"/>
    </row>
    <row r="181" spans="1:26" s="62" customFormat="1" ht="15" customHeight="1" x14ac:dyDescent="0.3">
      <c r="A181" s="13"/>
      <c r="B181" s="28" t="s">
        <v>293</v>
      </c>
      <c r="C181" s="28"/>
      <c r="D181" s="29">
        <f>+D177-D179</f>
        <v>1149019.1499999999</v>
      </c>
      <c r="E181" s="15"/>
      <c r="F181" s="31">
        <f>IF(D$12=0,0,D181/D$12)</f>
        <v>4.068000504862666</v>
      </c>
      <c r="G181" s="15"/>
      <c r="H181" s="29">
        <f>+H177-H179</f>
        <v>161279.02000000002</v>
      </c>
      <c r="I181" s="15"/>
      <c r="J181" s="31">
        <f>IF(H$12=0,0,H181/H$12)</f>
        <v>0.63088335158817088</v>
      </c>
      <c r="K181" s="17"/>
      <c r="L181" s="29">
        <f>D181-H181</f>
        <v>987740.12999999989</v>
      </c>
      <c r="M181" s="17"/>
      <c r="N181" s="31">
        <f>IF(H181=0,0,L181/H181)</f>
        <v>6.1244179807144148</v>
      </c>
      <c r="O181" s="27"/>
      <c r="P181" s="29">
        <f>+P177-P179</f>
        <v>2807866.01</v>
      </c>
      <c r="Q181" s="15"/>
      <c r="R181" s="31">
        <f>IF(P$12=0,0,P181/P$12)</f>
        <v>0.52552883366377035</v>
      </c>
      <c r="S181" s="15"/>
      <c r="T181" s="29">
        <f>+T177-T179</f>
        <v>410148.89000000071</v>
      </c>
      <c r="U181" s="15"/>
      <c r="V181" s="31">
        <f>IF(T$12=0,0,T181/T$12)</f>
        <v>0.15811032367258096</v>
      </c>
      <c r="W181" s="17"/>
      <c r="X181" s="29">
        <f>P181-T181</f>
        <v>2397717.1199999992</v>
      </c>
      <c r="Y181" s="17"/>
      <c r="Z181" s="31">
        <f>IF(T181=0,0,X181/T181)</f>
        <v>5.8459675948409737</v>
      </c>
    </row>
    <row r="182" spans="1:26" ht="15" customHeight="1" x14ac:dyDescent="0.3">
      <c r="A182" s="12"/>
      <c r="B182" s="12"/>
      <c r="C182" s="12"/>
      <c r="D182" s="4"/>
      <c r="E182" s="4"/>
      <c r="F182" s="10"/>
      <c r="G182" s="4"/>
      <c r="H182" s="4"/>
      <c r="I182" s="4"/>
      <c r="J182" s="10"/>
      <c r="K182" s="4"/>
      <c r="L182" s="4"/>
      <c r="M182" s="4"/>
      <c r="N182" s="10"/>
      <c r="P182" s="4"/>
      <c r="Q182" s="4"/>
      <c r="R182" s="10"/>
      <c r="S182" s="4"/>
      <c r="T182" s="4"/>
      <c r="U182" s="4"/>
      <c r="V182" s="10"/>
      <c r="W182" s="4"/>
      <c r="X182" s="4"/>
      <c r="Y182" s="4"/>
      <c r="Z182" s="10"/>
    </row>
    <row r="183" spans="1:26" ht="15" customHeight="1" x14ac:dyDescent="0.3">
      <c r="A183" s="12"/>
      <c r="B183" s="12"/>
      <c r="C183" s="12"/>
      <c r="D183" s="4"/>
      <c r="E183" s="4"/>
      <c r="F183" s="10"/>
      <c r="G183" s="4"/>
      <c r="H183" s="4"/>
      <c r="I183" s="4"/>
      <c r="J183" s="10"/>
      <c r="K183" s="4"/>
      <c r="L183" s="4"/>
      <c r="M183" s="4"/>
      <c r="N183" s="10"/>
      <c r="P183" s="4"/>
      <c r="Q183" s="4"/>
      <c r="R183" s="10"/>
      <c r="S183" s="4"/>
      <c r="T183" s="4"/>
      <c r="U183" s="4"/>
      <c r="V183" s="10"/>
      <c r="W183" s="4"/>
      <c r="X183" s="4"/>
      <c r="Y183" s="4"/>
      <c r="Z183" s="10"/>
    </row>
    <row r="184" spans="1:26" s="62" customFormat="1" ht="15" customHeight="1" x14ac:dyDescent="0.3">
      <c r="A184" s="13"/>
      <c r="B184" s="28" t="s">
        <v>296</v>
      </c>
      <c r="C184" s="28"/>
      <c r="D184" s="30">
        <f>SUM(D181:D183)</f>
        <v>1149019.1499999999</v>
      </c>
      <c r="E184" s="15"/>
      <c r="F184" s="35">
        <f>IF(D$12=0,0,D184/D$12)</f>
        <v>4.068000504862666</v>
      </c>
      <c r="G184" s="15"/>
      <c r="H184" s="30">
        <f>SUM(H181:H183)</f>
        <v>161279.02000000002</v>
      </c>
      <c r="I184" s="15"/>
      <c r="J184" s="35">
        <f>IF(H$12=0,0,H184/H$12)</f>
        <v>0.63088335158817088</v>
      </c>
      <c r="K184" s="17"/>
      <c r="L184" s="30">
        <f>+D184-H184</f>
        <v>987740.12999999989</v>
      </c>
      <c r="M184" s="17"/>
      <c r="N184" s="35">
        <f>IF(H184=0,0,L184/H184)</f>
        <v>6.1244179807144148</v>
      </c>
      <c r="O184" s="27"/>
      <c r="P184" s="30">
        <f>SUM(P181:P183)</f>
        <v>2807866.01</v>
      </c>
      <c r="Q184" s="15"/>
      <c r="R184" s="35">
        <f>IF(P$12=0,0,P184/P$12)</f>
        <v>0.52552883366377035</v>
      </c>
      <c r="S184" s="15"/>
      <c r="T184" s="30">
        <f>SUM(T181:T183)</f>
        <v>410148.89000000071</v>
      </c>
      <c r="U184" s="15"/>
      <c r="V184" s="35">
        <f>IF(T$12=0,0,T184/T$12)</f>
        <v>0.15811032367258096</v>
      </c>
      <c r="W184" s="17"/>
      <c r="X184" s="30">
        <f>+P184-T184</f>
        <v>2397717.1199999992</v>
      </c>
      <c r="Y184" s="17"/>
      <c r="Z184" s="35">
        <f>IF(T184=0,0,X184/T184)</f>
        <v>5.8459675948409737</v>
      </c>
    </row>
    <row r="185" spans="1:26" ht="15" customHeight="1" x14ac:dyDescent="0.3">
      <c r="A185" s="12"/>
      <c r="C185" s="12"/>
      <c r="D185" s="19"/>
      <c r="E185" s="19"/>
      <c r="G185" s="19"/>
      <c r="H185" s="19"/>
      <c r="I185" s="19"/>
      <c r="J185" s="41"/>
      <c r="K185" s="19"/>
      <c r="L185" s="19"/>
      <c r="M185" s="19"/>
      <c r="P185" s="19"/>
      <c r="Q185" s="19"/>
      <c r="R185" s="41"/>
      <c r="S185" s="19"/>
      <c r="T185" s="19"/>
      <c r="U185" s="19"/>
      <c r="V185" s="41"/>
      <c r="W185" s="19"/>
      <c r="X185" s="19"/>
    </row>
    <row r="186" spans="1:26" ht="15" customHeight="1" x14ac:dyDescent="0.3">
      <c r="A186" s="12"/>
      <c r="B186" s="54">
        <v>44767.815829861109</v>
      </c>
      <c r="D186" s="19"/>
      <c r="E186" s="19"/>
      <c r="G186" s="19"/>
      <c r="H186" s="19"/>
      <c r="I186" s="19"/>
      <c r="J186" s="41"/>
      <c r="K186" s="19"/>
      <c r="L186" s="19"/>
      <c r="M186" s="19"/>
      <c r="P186" s="19"/>
      <c r="Q186" s="19"/>
      <c r="R186" s="41"/>
      <c r="S186" s="19"/>
      <c r="T186" s="19"/>
      <c r="U186" s="19"/>
      <c r="V186" s="41"/>
      <c r="W186" s="19"/>
      <c r="X186" s="19"/>
    </row>
    <row r="187" spans="1:26" ht="15" customHeight="1" x14ac:dyDescent="0.3">
      <c r="A187" s="12"/>
      <c r="B187" s="53" t="s">
        <v>297</v>
      </c>
      <c r="D187" s="19"/>
      <c r="E187" s="19"/>
      <c r="G187" s="19"/>
      <c r="H187" s="19"/>
      <c r="I187" s="19"/>
      <c r="J187" s="41"/>
      <c r="K187" s="19"/>
      <c r="L187" s="19"/>
      <c r="M187" s="19"/>
      <c r="P187" s="19"/>
      <c r="Q187" s="19"/>
      <c r="R187" s="41"/>
      <c r="S187" s="19"/>
      <c r="T187" s="19"/>
      <c r="U187" s="19"/>
      <c r="V187" s="41"/>
      <c r="W187" s="19"/>
      <c r="X187" s="19"/>
    </row>
    <row r="188" spans="1:26" ht="15" customHeight="1" x14ac:dyDescent="0.3">
      <c r="A188" s="12"/>
      <c r="B188" s="51"/>
      <c r="D188" s="19"/>
      <c r="E188" s="19"/>
      <c r="G188" s="19"/>
      <c r="H188" s="19"/>
      <c r="I188" s="19"/>
      <c r="J188" s="41"/>
      <c r="K188" s="19"/>
      <c r="L188" s="19"/>
      <c r="M188" s="19"/>
      <c r="P188" s="19"/>
      <c r="Q188" s="19"/>
      <c r="R188" s="41"/>
      <c r="S188" s="19"/>
      <c r="T188" s="19"/>
      <c r="U188" s="19"/>
      <c r="V188" s="41"/>
      <c r="W188" s="19"/>
      <c r="X188" s="19"/>
    </row>
    <row r="189" spans="1:26" ht="15" customHeight="1" x14ac:dyDescent="0.3">
      <c r="D189" s="19"/>
      <c r="E189" s="19"/>
      <c r="G189" s="19"/>
      <c r="H189" s="19"/>
      <c r="I189" s="19"/>
      <c r="J189" s="41"/>
      <c r="K189" s="19"/>
      <c r="L189" s="19"/>
      <c r="M189" s="19"/>
      <c r="P189" s="19"/>
      <c r="Q189" s="19"/>
      <c r="R189" s="41"/>
      <c r="S189" s="19"/>
      <c r="T189" s="19"/>
      <c r="U189" s="19"/>
      <c r="V189" s="41"/>
      <c r="W189" s="19"/>
      <c r="X1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D7656-3314-3011-E101-8DC771052588}">
  <sheetPr>
    <tabColor rgb="FF92D050"/>
    <outlinePr summaryBelow="0" summaryRight="0"/>
  </sheetPr>
  <dimension ref="A2:Z11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","307"," - ","Art Store")</f>
        <v>Department 307 - Art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 t="shared" ref="L12:L25" si="0">+D12-H12</f>
        <v>0</v>
      </c>
      <c r="M12" s="8"/>
      <c r="N12" s="14">
        <f t="shared" ref="N12:N25" si="1">IF(H12=0,0,L12/H12)</f>
        <v>0</v>
      </c>
      <c r="O12" s="13"/>
      <c r="P12" s="8">
        <f>SUM(OSRRefP13x_0)</f>
        <v>240656.12999999998</v>
      </c>
      <c r="Q12" s="8"/>
      <c r="R12" s="14"/>
      <c r="S12" s="8"/>
      <c r="T12" s="8">
        <f>SUM(OSRRefT13x_0)</f>
        <v>21311.919999999998</v>
      </c>
      <c r="U12" s="8"/>
      <c r="V12" s="14"/>
      <c r="W12" s="8"/>
      <c r="X12" s="8">
        <f t="shared" ref="X12:X25" si="2">+P12-T12</f>
        <v>219344.20999999996</v>
      </c>
      <c r="Y12" s="8"/>
      <c r="Z12" s="14">
        <f t="shared" ref="Z12:Z25" si="3">IF(T12=0,0,X12/T12)</f>
        <v>10.292090529619104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 t="shared" si="0"/>
        <v>0</v>
      </c>
      <c r="M13" s="3"/>
      <c r="N13" s="26">
        <f t="shared" si="1"/>
        <v>0</v>
      </c>
      <c r="O13" s="9"/>
      <c r="P13" s="3">
        <f>--158221.5</f>
        <v>158221.5</v>
      </c>
      <c r="Q13" s="3"/>
      <c r="R13" s="26"/>
      <c r="S13" s="3"/>
      <c r="T13" s="3">
        <f>-1096.44</f>
        <v>-1096.44</v>
      </c>
      <c r="U13" s="3"/>
      <c r="V13" s="26"/>
      <c r="W13" s="3"/>
      <c r="X13" s="3">
        <f t="shared" si="2"/>
        <v>159317.94</v>
      </c>
      <c r="Y13" s="3"/>
      <c r="Z13" s="26">
        <f t="shared" si="3"/>
        <v>-145.30474991791615</v>
      </c>
    </row>
    <row r="14" spans="1:26" s="69" customFormat="1" ht="15" hidden="1" customHeight="1" outlineLevel="1" x14ac:dyDescent="0.3">
      <c r="A14" s="47"/>
      <c r="B14" s="9" t="str">
        <f>CONCATENATE("          ","4026"," - ","TAXABLE SALES-WRITING INSTRUME")</f>
        <v xml:space="preserve">          4026 - TAXABLE SALES-WRITING INSTRUME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0</f>
        <v>0</v>
      </c>
      <c r="Q14" s="3"/>
      <c r="R14" s="26"/>
      <c r="S14" s="3"/>
      <c r="T14" s="3">
        <f>--17.51</f>
        <v>17.510000000000002</v>
      </c>
      <c r="U14" s="3"/>
      <c r="V14" s="26"/>
      <c r="W14" s="3"/>
      <c r="X14" s="3">
        <f t="shared" si="2"/>
        <v>-17.510000000000002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","4027"," - ","TAXABLE SALES-SCHOOL SUPPLIES")</f>
        <v xml:space="preserve">          4027 - TAXABLE SALES-SCHOOL SUPPLIES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>
        <f>--7990.32</f>
        <v>7990.32</v>
      </c>
      <c r="U15" s="3"/>
      <c r="V15" s="26"/>
      <c r="W15" s="3"/>
      <c r="X15" s="3">
        <f t="shared" si="2"/>
        <v>-7990.32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","4028"," - ","TAXABLE SALES-ART/TECH")</f>
        <v xml:space="preserve">          4028 - TAXABLE SALES-ART/TECH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>
        <f>--12479.05</f>
        <v>12479.05</v>
      </c>
      <c r="U16" s="3"/>
      <c r="V16" s="26"/>
      <c r="W16" s="3"/>
      <c r="X16" s="3">
        <f t="shared" si="2"/>
        <v>-12479.05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","4031"," - ","TAXABLE SALES-FOOD")</f>
        <v xml:space="preserve">          4031 - TAXABLE SALES-FOOD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--374.55</f>
        <v>374.55</v>
      </c>
      <c r="U17" s="3"/>
      <c r="V17" s="26"/>
      <c r="W17" s="3"/>
      <c r="X17" s="3">
        <f t="shared" si="2"/>
        <v>-374.55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","4081"," - ","TAXABLE SALES-ELECTRONICS")</f>
        <v xml:space="preserve">          4081 - TAXABLE SALES-ELECTRONICS</v>
      </c>
      <c r="C18" s="9"/>
      <c r="D18" s="3">
        <f>0</f>
        <v>0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>
        <f>--71.95</f>
        <v>71.95</v>
      </c>
      <c r="U18" s="3"/>
      <c r="V18" s="26"/>
      <c r="W18" s="3"/>
      <c r="X18" s="3">
        <f t="shared" si="2"/>
        <v>-71.95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","4083"," - ","TAXABLE SALES-COMPUTER EQUIPME")</f>
        <v xml:space="preserve">          4083 - TAXABLE SALES-COMPUTER EQUIPME</v>
      </c>
      <c r="C19" s="9"/>
      <c r="D19" s="3">
        <f>0</f>
        <v>0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>
        <f>--9.99</f>
        <v>9.99</v>
      </c>
      <c r="U19" s="3"/>
      <c r="V19" s="26"/>
      <c r="W19" s="3"/>
      <c r="X19" s="3">
        <f t="shared" si="2"/>
        <v>-9.99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","4100"," - ","NON-TAXABLE SALES")</f>
        <v xml:space="preserve">          4100 - NON-TAXABLE SALES</v>
      </c>
      <c r="C20" s="9"/>
      <c r="D20" s="3">
        <f>0</f>
        <v>0</v>
      </c>
      <c r="E20" s="3"/>
      <c r="F20" s="26"/>
      <c r="G20" s="3"/>
      <c r="H20" s="3">
        <f>0</f>
        <v>0</v>
      </c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--87055.23</f>
        <v>87055.23</v>
      </c>
      <c r="Q20" s="3"/>
      <c r="R20" s="26"/>
      <c r="S20" s="3"/>
      <c r="T20" s="3">
        <f>0</f>
        <v>0</v>
      </c>
      <c r="U20" s="3"/>
      <c r="V20" s="26"/>
      <c r="W20" s="3"/>
      <c r="X20" s="3">
        <f t="shared" si="2"/>
        <v>87055.23</v>
      </c>
      <c r="Y20" s="3"/>
      <c r="Z20" s="26">
        <f t="shared" si="3"/>
        <v>0</v>
      </c>
    </row>
    <row r="21" spans="1:26" s="69" customFormat="1" ht="15" hidden="1" customHeight="1" outlineLevel="1" x14ac:dyDescent="0.3">
      <c r="A21" s="47"/>
      <c r="B21" s="9" t="str">
        <f>CONCATENATE("          ","4131"," - ","NON-TAXABLE SALES-FOOD")</f>
        <v xml:space="preserve">          4131 - NON-TAXABLE SALES-FOOD</v>
      </c>
      <c r="C21" s="9"/>
      <c r="D21" s="3">
        <f>0</f>
        <v>0</v>
      </c>
      <c r="E21" s="3"/>
      <c r="F21" s="26"/>
      <c r="G21" s="3"/>
      <c r="H21" s="3">
        <f>0</f>
        <v>0</v>
      </c>
      <c r="I21" s="3"/>
      <c r="J21" s="26"/>
      <c r="K21" s="3"/>
      <c r="L21" s="3">
        <f t="shared" si="0"/>
        <v>0</v>
      </c>
      <c r="M21" s="3"/>
      <c r="N21" s="26">
        <f t="shared" si="1"/>
        <v>0</v>
      </c>
      <c r="O21" s="9"/>
      <c r="P21" s="3">
        <f>0</f>
        <v>0</v>
      </c>
      <c r="Q21" s="3"/>
      <c r="R21" s="26"/>
      <c r="S21" s="3"/>
      <c r="T21" s="3">
        <f>--1847.16</f>
        <v>1847.16</v>
      </c>
      <c r="U21" s="3"/>
      <c r="V21" s="26"/>
      <c r="W21" s="3"/>
      <c r="X21" s="3">
        <f t="shared" si="2"/>
        <v>-1847.16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","4200"," - ","TAXABLE RETURNS")</f>
        <v xml:space="preserve">          4200 - TAXABLE RETURNS</v>
      </c>
      <c r="C22" s="9"/>
      <c r="D22" s="3">
        <f>0</f>
        <v>0</v>
      </c>
      <c r="E22" s="3"/>
      <c r="F22" s="26"/>
      <c r="G22" s="3"/>
      <c r="H22" s="3">
        <f>0</f>
        <v>0</v>
      </c>
      <c r="I22" s="3"/>
      <c r="J22" s="26"/>
      <c r="K22" s="3"/>
      <c r="L22" s="3">
        <f t="shared" si="0"/>
        <v>0</v>
      </c>
      <c r="M22" s="3"/>
      <c r="N22" s="26">
        <f t="shared" si="1"/>
        <v>0</v>
      </c>
      <c r="O22" s="9"/>
      <c r="P22" s="3">
        <f>-2300.51</f>
        <v>-2300.5100000000002</v>
      </c>
      <c r="Q22" s="3"/>
      <c r="R22" s="26"/>
      <c r="S22" s="3"/>
      <c r="T22" s="3">
        <f>0</f>
        <v>0</v>
      </c>
      <c r="U22" s="3"/>
      <c r="V22" s="26"/>
      <c r="W22" s="3"/>
      <c r="X22" s="3">
        <f t="shared" si="2"/>
        <v>-2300.5100000000002</v>
      </c>
      <c r="Y22" s="3"/>
      <c r="Z22" s="26">
        <f t="shared" si="3"/>
        <v>0</v>
      </c>
    </row>
    <row r="23" spans="1:26" s="69" customFormat="1" ht="15" hidden="1" customHeight="1" outlineLevel="1" x14ac:dyDescent="0.3">
      <c r="A23" s="47"/>
      <c r="B23" s="9" t="str">
        <f>CONCATENATE("          ","4227"," - ","SALES RETURN TAXABLE-SCHOOL SU")</f>
        <v xml:space="preserve">          4227 - SALES RETURN TAXABLE-SCHOOL SU</v>
      </c>
      <c r="C23" s="9"/>
      <c r="D23" s="3">
        <f>0</f>
        <v>0</v>
      </c>
      <c r="E23" s="3"/>
      <c r="F23" s="26"/>
      <c r="G23" s="3"/>
      <c r="H23" s="3">
        <f>0</f>
        <v>0</v>
      </c>
      <c r="I23" s="3"/>
      <c r="J23" s="26"/>
      <c r="K23" s="3"/>
      <c r="L23" s="3">
        <f t="shared" si="0"/>
        <v>0</v>
      </c>
      <c r="M23" s="3"/>
      <c r="N23" s="26">
        <f t="shared" si="1"/>
        <v>0</v>
      </c>
      <c r="O23" s="9"/>
      <c r="P23" s="3">
        <f>0</f>
        <v>0</v>
      </c>
      <c r="Q23" s="3"/>
      <c r="R23" s="26"/>
      <c r="S23" s="3"/>
      <c r="T23" s="3">
        <f>-159.97</f>
        <v>-159.97</v>
      </c>
      <c r="U23" s="3"/>
      <c r="V23" s="26"/>
      <c r="W23" s="3"/>
      <c r="X23" s="3">
        <f t="shared" si="2"/>
        <v>159.97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","4228"," - ","SALES RETURN TAXABLE-ART/TECH")</f>
        <v xml:space="preserve">          4228 - SALES RETURN TAXABLE-ART/TECH</v>
      </c>
      <c r="C24" s="9"/>
      <c r="D24" s="3">
        <f>0</f>
        <v>0</v>
      </c>
      <c r="E24" s="3"/>
      <c r="F24" s="26"/>
      <c r="G24" s="3"/>
      <c r="H24" s="3">
        <f>0</f>
        <v>0</v>
      </c>
      <c r="I24" s="3"/>
      <c r="J24" s="26"/>
      <c r="K24" s="3"/>
      <c r="L24" s="3">
        <f t="shared" si="0"/>
        <v>0</v>
      </c>
      <c r="M24" s="3"/>
      <c r="N24" s="26">
        <f t="shared" si="1"/>
        <v>0</v>
      </c>
      <c r="O24" s="9"/>
      <c r="P24" s="3">
        <f>0</f>
        <v>0</v>
      </c>
      <c r="Q24" s="3"/>
      <c r="R24" s="26"/>
      <c r="S24" s="3"/>
      <c r="T24" s="3">
        <f>-222.2</f>
        <v>-222.2</v>
      </c>
      <c r="U24" s="3"/>
      <c r="V24" s="26"/>
      <c r="W24" s="3"/>
      <c r="X24" s="3">
        <f t="shared" si="2"/>
        <v>222.2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","4500"," - ","SALES DISCOUNT")</f>
        <v xml:space="preserve">          4500 - SALES DISCOUNT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-2320.09</f>
        <v>-2320.09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-2320.09</v>
      </c>
      <c r="Y25" s="3"/>
      <c r="Z25" s="26">
        <f t="shared" si="3"/>
        <v>0</v>
      </c>
    </row>
    <row r="26" spans="1:26" ht="15" customHeight="1" x14ac:dyDescent="0.3">
      <c r="A26" s="12"/>
      <c r="B26" s="13"/>
      <c r="C26" s="12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2" customFormat="1" ht="15" customHeight="1" collapsed="1" x14ac:dyDescent="0.3">
      <c r="A27" s="13"/>
      <c r="B27" s="27" t="s">
        <v>287</v>
      </c>
      <c r="C27" s="13"/>
      <c r="D27" s="8">
        <f>SUM(OSRRefD16x_0)</f>
        <v>-55579.69</v>
      </c>
      <c r="E27" s="8"/>
      <c r="F27" s="14">
        <f t="shared" ref="F27:F48" si="4">IF(D$12=0,0,D27/D$12)</f>
        <v>0</v>
      </c>
      <c r="G27" s="8"/>
      <c r="H27" s="8">
        <f>SUM(OSRRefH16x_0)</f>
        <v>174968.99000000002</v>
      </c>
      <c r="I27" s="8"/>
      <c r="J27" s="14">
        <f t="shared" ref="J27:J48" si="5">IF(H$12=0,0,H27/H$12)</f>
        <v>0</v>
      </c>
      <c r="K27" s="8"/>
      <c r="L27" s="8">
        <f t="shared" ref="L27:L48" si="6">+D27-H27</f>
        <v>-230548.68000000002</v>
      </c>
      <c r="M27" s="8"/>
      <c r="N27" s="14">
        <f t="shared" ref="N27:N48" si="7">IF(H27=0,0,L27/H27)</f>
        <v>-1.3176545169518323</v>
      </c>
      <c r="O27" s="13"/>
      <c r="P27" s="8">
        <f>SUM(OSRRefP16x_0)</f>
        <v>78078.590000000026</v>
      </c>
      <c r="Q27" s="8"/>
      <c r="R27" s="14">
        <f t="shared" ref="R27:R48" si="8">IF(P$12=0,0,P27/P$12)</f>
        <v>0.32444047861984665</v>
      </c>
      <c r="S27" s="8"/>
      <c r="T27" s="8">
        <f>SUM(OSRRefT16x_0)</f>
        <v>188790.50999999998</v>
      </c>
      <c r="U27" s="8"/>
      <c r="V27" s="14">
        <f t="shared" ref="V27:V48" si="9">IF(T$12=0,0,T27/T$12)</f>
        <v>8.8584468222478314</v>
      </c>
      <c r="W27" s="8"/>
      <c r="X27" s="8">
        <f t="shared" ref="X27:X48" si="10">+P27-T27</f>
        <v>-110711.91999999995</v>
      </c>
      <c r="Y27" s="8"/>
      <c r="Z27" s="14">
        <f t="shared" ref="Z27:Z48" si="11">IF(T27=0,0,X27/T27)</f>
        <v>-0.58642735802768886</v>
      </c>
    </row>
    <row r="28" spans="1:26" s="69" customFormat="1" ht="15" hidden="1" customHeight="1" outlineLevel="1" x14ac:dyDescent="0.3">
      <c r="A28" s="47"/>
      <c r="B28" s="9" t="str">
        <f>CONCATENATE("          ","5000"," - ","PURCHASES @ COST")</f>
        <v xml:space="preserve">          5000 - PURCHASES @ COST</v>
      </c>
      <c r="C28" s="9"/>
      <c r="D28" s="3">
        <v>-54767.62</v>
      </c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-54767.62</v>
      </c>
      <c r="M28" s="3"/>
      <c r="N28" s="26">
        <f t="shared" si="7"/>
        <v>0</v>
      </c>
      <c r="O28" s="9"/>
      <c r="P28" s="3">
        <v>114393.25</v>
      </c>
      <c r="Q28" s="3"/>
      <c r="R28" s="26">
        <f t="shared" si="8"/>
        <v>0.47533902419190405</v>
      </c>
      <c r="S28" s="3"/>
      <c r="T28" s="3"/>
      <c r="U28" s="3"/>
      <c r="V28" s="26">
        <f t="shared" si="9"/>
        <v>0</v>
      </c>
      <c r="W28" s="3"/>
      <c r="X28" s="3">
        <f t="shared" si="10"/>
        <v>114393.25</v>
      </c>
      <c r="Y28" s="3"/>
      <c r="Z28" s="26">
        <f t="shared" si="11"/>
        <v>0</v>
      </c>
    </row>
    <row r="29" spans="1:26" s="69" customFormat="1" ht="15" hidden="1" customHeight="1" outlineLevel="1" x14ac:dyDescent="0.3">
      <c r="A29" s="47"/>
      <c r="B29" s="9" t="str">
        <f>CONCATENATE("          ","5025"," - ","PURCHASES @ COST-TEST FORMS")</f>
        <v xml:space="preserve">          5025 - PURCHASES @ COST-TEST FORMS</v>
      </c>
      <c r="C29" s="9"/>
      <c r="D29" s="3"/>
      <c r="E29" s="3"/>
      <c r="F29" s="26">
        <f t="shared" si="4"/>
        <v>0</v>
      </c>
      <c r="G29" s="3"/>
      <c r="H29" s="3">
        <v>161</v>
      </c>
      <c r="I29" s="3"/>
      <c r="J29" s="26">
        <f t="shared" si="5"/>
        <v>0</v>
      </c>
      <c r="K29" s="3"/>
      <c r="L29" s="3">
        <f t="shared" si="6"/>
        <v>-161</v>
      </c>
      <c r="M29" s="3"/>
      <c r="N29" s="26">
        <f t="shared" si="7"/>
        <v>-1</v>
      </c>
      <c r="O29" s="9"/>
      <c r="P29" s="3"/>
      <c r="Q29" s="3"/>
      <c r="R29" s="26">
        <f t="shared" si="8"/>
        <v>0</v>
      </c>
      <c r="S29" s="3"/>
      <c r="T29" s="3">
        <v>161</v>
      </c>
      <c r="U29" s="3"/>
      <c r="V29" s="26">
        <f t="shared" si="9"/>
        <v>7.5544577870037058E-3</v>
      </c>
      <c r="W29" s="3"/>
      <c r="X29" s="3">
        <f t="shared" si="10"/>
        <v>-161</v>
      </c>
      <c r="Y29" s="3"/>
      <c r="Z29" s="26">
        <f t="shared" si="11"/>
        <v>-1</v>
      </c>
    </row>
    <row r="30" spans="1:26" s="69" customFormat="1" ht="15" hidden="1" customHeight="1" outlineLevel="1" x14ac:dyDescent="0.3">
      <c r="A30" s="47"/>
      <c r="B30" s="9" t="str">
        <f>CONCATENATE("          ","5026"," - ","PURCHASES @ COST-WRITING INSTR")</f>
        <v xml:space="preserve">          5026 - PURCHASES @ COST-WRITING INSTR</v>
      </c>
      <c r="C30" s="9"/>
      <c r="D30" s="3"/>
      <c r="E30" s="3"/>
      <c r="F30" s="26">
        <f t="shared" si="4"/>
        <v>0</v>
      </c>
      <c r="G30" s="3"/>
      <c r="H30" s="3">
        <v>1610.02</v>
      </c>
      <c r="I30" s="3"/>
      <c r="J30" s="26">
        <f t="shared" si="5"/>
        <v>0</v>
      </c>
      <c r="K30" s="3"/>
      <c r="L30" s="3">
        <f t="shared" si="6"/>
        <v>-1610.02</v>
      </c>
      <c r="M30" s="3"/>
      <c r="N30" s="26">
        <f t="shared" si="7"/>
        <v>-1</v>
      </c>
      <c r="O30" s="9"/>
      <c r="P30" s="3">
        <v>0</v>
      </c>
      <c r="Q30" s="3"/>
      <c r="R30" s="26">
        <f t="shared" si="8"/>
        <v>0</v>
      </c>
      <c r="S30" s="3"/>
      <c r="T30" s="3">
        <v>1974.93</v>
      </c>
      <c r="U30" s="3"/>
      <c r="V30" s="26">
        <f t="shared" si="9"/>
        <v>9.2667859113585271E-2</v>
      </c>
      <c r="W30" s="3"/>
      <c r="X30" s="3">
        <f t="shared" si="10"/>
        <v>-1974.93</v>
      </c>
      <c r="Y30" s="3"/>
      <c r="Z30" s="26">
        <f t="shared" si="11"/>
        <v>-1</v>
      </c>
    </row>
    <row r="31" spans="1:26" s="69" customFormat="1" ht="15" hidden="1" customHeight="1" outlineLevel="1" x14ac:dyDescent="0.3">
      <c r="A31" s="47"/>
      <c r="B31" s="9" t="str">
        <f>CONCATENATE("          ","5027"," - ","PURCHASES @ COST-SCHOOL SUPPLI")</f>
        <v xml:space="preserve">          5027 - PURCHASES @ COST-SCHOOL SUPPLI</v>
      </c>
      <c r="C31" s="9"/>
      <c r="D31" s="3"/>
      <c r="E31" s="3"/>
      <c r="F31" s="26">
        <f t="shared" si="4"/>
        <v>0</v>
      </c>
      <c r="G31" s="3"/>
      <c r="H31" s="3">
        <v>1842.47</v>
      </c>
      <c r="I31" s="3"/>
      <c r="J31" s="26">
        <f t="shared" si="5"/>
        <v>0</v>
      </c>
      <c r="K31" s="3"/>
      <c r="L31" s="3">
        <f t="shared" si="6"/>
        <v>-1842.47</v>
      </c>
      <c r="M31" s="3"/>
      <c r="N31" s="26">
        <f t="shared" si="7"/>
        <v>-1</v>
      </c>
      <c r="O31" s="9"/>
      <c r="P31" s="3">
        <v>0</v>
      </c>
      <c r="Q31" s="3"/>
      <c r="R31" s="26">
        <f t="shared" si="8"/>
        <v>0</v>
      </c>
      <c r="S31" s="3"/>
      <c r="T31" s="3">
        <v>2737.94</v>
      </c>
      <c r="U31" s="3"/>
      <c r="V31" s="26">
        <f t="shared" si="9"/>
        <v>0.12846988915123556</v>
      </c>
      <c r="W31" s="3"/>
      <c r="X31" s="3">
        <f t="shared" si="10"/>
        <v>-2737.94</v>
      </c>
      <c r="Y31" s="3"/>
      <c r="Z31" s="26">
        <f t="shared" si="11"/>
        <v>-1</v>
      </c>
    </row>
    <row r="32" spans="1:26" s="69" customFormat="1" ht="15" hidden="1" customHeight="1" outlineLevel="1" x14ac:dyDescent="0.3">
      <c r="A32" s="47"/>
      <c r="B32" s="9" t="str">
        <f>CONCATENATE("          ","5028"," - ","PURCHASES @ COST-ART/TECH")</f>
        <v xml:space="preserve">          5028 - PURCHASES @ COST-ART/TECH</v>
      </c>
      <c r="C32" s="9"/>
      <c r="D32" s="3"/>
      <c r="E32" s="3"/>
      <c r="F32" s="26">
        <f t="shared" si="4"/>
        <v>0</v>
      </c>
      <c r="G32" s="3"/>
      <c r="H32" s="3">
        <v>92180.17</v>
      </c>
      <c r="I32" s="3"/>
      <c r="J32" s="26">
        <f t="shared" si="5"/>
        <v>0</v>
      </c>
      <c r="K32" s="3"/>
      <c r="L32" s="3">
        <f t="shared" si="6"/>
        <v>-92180.17</v>
      </c>
      <c r="M32" s="3"/>
      <c r="N32" s="26">
        <f t="shared" si="7"/>
        <v>-1</v>
      </c>
      <c r="O32" s="9"/>
      <c r="P32" s="3">
        <v>0</v>
      </c>
      <c r="Q32" s="3"/>
      <c r="R32" s="26">
        <f t="shared" si="8"/>
        <v>0</v>
      </c>
      <c r="S32" s="3"/>
      <c r="T32" s="3">
        <v>133622.01999999999</v>
      </c>
      <c r="U32" s="3"/>
      <c r="V32" s="26">
        <f t="shared" si="9"/>
        <v>6.2698255248705888</v>
      </c>
      <c r="W32" s="3"/>
      <c r="X32" s="3">
        <f t="shared" si="10"/>
        <v>-133622.01999999999</v>
      </c>
      <c r="Y32" s="3"/>
      <c r="Z32" s="26">
        <f t="shared" si="11"/>
        <v>-1</v>
      </c>
    </row>
    <row r="33" spans="1:26" s="69" customFormat="1" ht="15" hidden="1" customHeight="1" outlineLevel="1" x14ac:dyDescent="0.3">
      <c r="A33" s="47"/>
      <c r="B33" s="9" t="str">
        <f>CONCATENATE("          ","5031"," - ","PURCHASES @ COST-FOOD")</f>
        <v xml:space="preserve">          5031 - PURCHASES @ COST-FOOD</v>
      </c>
      <c r="C33" s="9"/>
      <c r="D33" s="3"/>
      <c r="E33" s="3"/>
      <c r="F33" s="26">
        <f t="shared" si="4"/>
        <v>0</v>
      </c>
      <c r="G33" s="3"/>
      <c r="H33" s="3">
        <v>74968.09</v>
      </c>
      <c r="I33" s="3"/>
      <c r="J33" s="26">
        <f t="shared" si="5"/>
        <v>0</v>
      </c>
      <c r="K33" s="3"/>
      <c r="L33" s="3">
        <f t="shared" si="6"/>
        <v>-74968.09</v>
      </c>
      <c r="M33" s="3"/>
      <c r="N33" s="26">
        <f t="shared" si="7"/>
        <v>-1</v>
      </c>
      <c r="O33" s="9"/>
      <c r="P33" s="3">
        <v>0</v>
      </c>
      <c r="Q33" s="3"/>
      <c r="R33" s="26">
        <f t="shared" si="8"/>
        <v>0</v>
      </c>
      <c r="S33" s="3"/>
      <c r="T33" s="3">
        <v>77409.66</v>
      </c>
      <c r="U33" s="3"/>
      <c r="V33" s="26">
        <f t="shared" si="9"/>
        <v>3.63222365699571</v>
      </c>
      <c r="W33" s="3"/>
      <c r="X33" s="3">
        <f t="shared" si="10"/>
        <v>-77409.66</v>
      </c>
      <c r="Y33" s="3"/>
      <c r="Z33" s="26">
        <f t="shared" si="11"/>
        <v>-1</v>
      </c>
    </row>
    <row r="34" spans="1:26" s="69" customFormat="1" ht="15" hidden="1" customHeight="1" outlineLevel="1" x14ac:dyDescent="0.3">
      <c r="A34" s="47"/>
      <c r="B34" s="9" t="str">
        <f>CONCATENATE("          ","5032"," - ","PURCHASES @ COST-JUICE")</f>
        <v xml:space="preserve">          5032 - PURCHASES @ COST-JUICE</v>
      </c>
      <c r="C34" s="9"/>
      <c r="D34" s="3"/>
      <c r="E34" s="3"/>
      <c r="F34" s="26">
        <f t="shared" si="4"/>
        <v>0</v>
      </c>
      <c r="G34" s="3"/>
      <c r="H34" s="3">
        <v>291</v>
      </c>
      <c r="I34" s="3"/>
      <c r="J34" s="26">
        <f t="shared" si="5"/>
        <v>0</v>
      </c>
      <c r="K34" s="3"/>
      <c r="L34" s="3">
        <f t="shared" si="6"/>
        <v>-291</v>
      </c>
      <c r="M34" s="3"/>
      <c r="N34" s="26">
        <f t="shared" si="7"/>
        <v>-1</v>
      </c>
      <c r="O34" s="9"/>
      <c r="P34" s="3"/>
      <c r="Q34" s="3"/>
      <c r="R34" s="26">
        <f t="shared" si="8"/>
        <v>0</v>
      </c>
      <c r="S34" s="3"/>
      <c r="T34" s="3">
        <v>291</v>
      </c>
      <c r="U34" s="3"/>
      <c r="V34" s="26">
        <f t="shared" si="9"/>
        <v>1.3654330534273779E-2</v>
      </c>
      <c r="W34" s="3"/>
      <c r="X34" s="3">
        <f t="shared" si="10"/>
        <v>-291</v>
      </c>
      <c r="Y34" s="3"/>
      <c r="Z34" s="26">
        <f t="shared" si="11"/>
        <v>-1</v>
      </c>
    </row>
    <row r="35" spans="1:26" s="69" customFormat="1" ht="15" hidden="1" customHeight="1" outlineLevel="1" x14ac:dyDescent="0.3">
      <c r="A35" s="47"/>
      <c r="B35" s="9" t="str">
        <f>CONCATENATE("          ","5033"," - ","PURCHASES @ COST-CANDY")</f>
        <v xml:space="preserve">          5033 - PURCHASES @ COST-CANDY</v>
      </c>
      <c r="C35" s="9"/>
      <c r="D35" s="3"/>
      <c r="E35" s="3"/>
      <c r="F35" s="26">
        <f t="shared" si="4"/>
        <v>0</v>
      </c>
      <c r="G35" s="3"/>
      <c r="H35" s="3">
        <v>1266</v>
      </c>
      <c r="I35" s="3"/>
      <c r="J35" s="26">
        <f t="shared" si="5"/>
        <v>0</v>
      </c>
      <c r="K35" s="3"/>
      <c r="L35" s="3">
        <f t="shared" si="6"/>
        <v>-1266</v>
      </c>
      <c r="M35" s="3"/>
      <c r="N35" s="26">
        <f t="shared" si="7"/>
        <v>-1</v>
      </c>
      <c r="O35" s="9"/>
      <c r="P35" s="3"/>
      <c r="Q35" s="3"/>
      <c r="R35" s="26">
        <f t="shared" si="8"/>
        <v>0</v>
      </c>
      <c r="S35" s="3"/>
      <c r="T35" s="3">
        <v>1266</v>
      </c>
      <c r="U35" s="3"/>
      <c r="V35" s="26">
        <f t="shared" si="9"/>
        <v>5.9403376138799327E-2</v>
      </c>
      <c r="W35" s="3"/>
      <c r="X35" s="3">
        <f t="shared" si="10"/>
        <v>-1266</v>
      </c>
      <c r="Y35" s="3"/>
      <c r="Z35" s="26">
        <f t="shared" si="11"/>
        <v>-1</v>
      </c>
    </row>
    <row r="36" spans="1:26" s="69" customFormat="1" ht="15" hidden="1" customHeight="1" outlineLevel="1" x14ac:dyDescent="0.3">
      <c r="A36" s="47"/>
      <c r="B36" s="9" t="str">
        <f>CONCATENATE("          ","5034"," - ","PURCHASES @ COST-SODA")</f>
        <v xml:space="preserve">          5034 - PURCHASES @ COST-SODA</v>
      </c>
      <c r="C36" s="9"/>
      <c r="D36" s="3"/>
      <c r="E36" s="3"/>
      <c r="F36" s="26">
        <f t="shared" si="4"/>
        <v>0</v>
      </c>
      <c r="G36" s="3"/>
      <c r="H36" s="3">
        <v>567</v>
      </c>
      <c r="I36" s="3"/>
      <c r="J36" s="26">
        <f t="shared" si="5"/>
        <v>0</v>
      </c>
      <c r="K36" s="3"/>
      <c r="L36" s="3">
        <f t="shared" si="6"/>
        <v>-567</v>
      </c>
      <c r="M36" s="3"/>
      <c r="N36" s="26">
        <f t="shared" si="7"/>
        <v>-1</v>
      </c>
      <c r="O36" s="9"/>
      <c r="P36" s="3"/>
      <c r="Q36" s="3"/>
      <c r="R36" s="26">
        <f t="shared" si="8"/>
        <v>0</v>
      </c>
      <c r="S36" s="3"/>
      <c r="T36" s="3">
        <v>567</v>
      </c>
      <c r="U36" s="3"/>
      <c r="V36" s="26">
        <f t="shared" si="9"/>
        <v>2.6604829597708702E-2</v>
      </c>
      <c r="W36" s="3"/>
      <c r="X36" s="3">
        <f t="shared" si="10"/>
        <v>-567</v>
      </c>
      <c r="Y36" s="3"/>
      <c r="Z36" s="26">
        <f t="shared" si="11"/>
        <v>-1</v>
      </c>
    </row>
    <row r="37" spans="1:26" s="69" customFormat="1" ht="15" hidden="1" customHeight="1" outlineLevel="1" x14ac:dyDescent="0.3">
      <c r="A37" s="47"/>
      <c r="B37" s="9" t="str">
        <f>CONCATENATE("          ","5035"," - ","PURCHASES @ COST-HEALTH &amp; BEAU")</f>
        <v xml:space="preserve">          5035 - PURCHASES @ COST-HEALTH &amp; BEAU</v>
      </c>
      <c r="C37" s="9"/>
      <c r="D37" s="3"/>
      <c r="E37" s="3"/>
      <c r="F37" s="26">
        <f t="shared" si="4"/>
        <v>0</v>
      </c>
      <c r="G37" s="3"/>
      <c r="H37" s="3">
        <v>339</v>
      </c>
      <c r="I37" s="3"/>
      <c r="J37" s="26">
        <f t="shared" si="5"/>
        <v>0</v>
      </c>
      <c r="K37" s="3"/>
      <c r="L37" s="3">
        <f t="shared" si="6"/>
        <v>-339</v>
      </c>
      <c r="M37" s="3"/>
      <c r="N37" s="26">
        <f t="shared" si="7"/>
        <v>-1</v>
      </c>
      <c r="O37" s="9"/>
      <c r="P37" s="3"/>
      <c r="Q37" s="3"/>
      <c r="R37" s="26">
        <f t="shared" si="8"/>
        <v>0</v>
      </c>
      <c r="S37" s="3"/>
      <c r="T37" s="3">
        <v>339</v>
      </c>
      <c r="U37" s="3"/>
      <c r="V37" s="26">
        <f t="shared" si="9"/>
        <v>1.5906591240958112E-2</v>
      </c>
      <c r="W37" s="3"/>
      <c r="X37" s="3">
        <f t="shared" si="10"/>
        <v>-339</v>
      </c>
      <c r="Y37" s="3"/>
      <c r="Z37" s="26">
        <f t="shared" si="11"/>
        <v>-1</v>
      </c>
    </row>
    <row r="38" spans="1:26" s="69" customFormat="1" ht="15" hidden="1" customHeight="1" outlineLevel="1" x14ac:dyDescent="0.3">
      <c r="A38" s="47"/>
      <c r="B38" s="9" t="str">
        <f>CONCATENATE("          ","5037"," - ","PURCHASES @ COST-WATER")</f>
        <v xml:space="preserve">          5037 - PURCHASES @ COST-WATER</v>
      </c>
      <c r="C38" s="9"/>
      <c r="D38" s="3"/>
      <c r="E38" s="3"/>
      <c r="F38" s="26">
        <f t="shared" si="4"/>
        <v>0</v>
      </c>
      <c r="G38" s="3"/>
      <c r="H38" s="3">
        <v>179.95</v>
      </c>
      <c r="I38" s="3"/>
      <c r="J38" s="26">
        <f t="shared" si="5"/>
        <v>0</v>
      </c>
      <c r="K38" s="3"/>
      <c r="L38" s="3">
        <f t="shared" si="6"/>
        <v>-179.95</v>
      </c>
      <c r="M38" s="3"/>
      <c r="N38" s="26">
        <f t="shared" si="7"/>
        <v>-1</v>
      </c>
      <c r="O38" s="9"/>
      <c r="P38" s="3"/>
      <c r="Q38" s="3"/>
      <c r="R38" s="26">
        <f t="shared" si="8"/>
        <v>0</v>
      </c>
      <c r="S38" s="3"/>
      <c r="T38" s="3">
        <v>179.95</v>
      </c>
      <c r="U38" s="3"/>
      <c r="V38" s="26">
        <f t="shared" si="9"/>
        <v>8.4436315451634578E-3</v>
      </c>
      <c r="W38" s="3"/>
      <c r="X38" s="3">
        <f t="shared" si="10"/>
        <v>-179.95</v>
      </c>
      <c r="Y38" s="3"/>
      <c r="Z38" s="26">
        <f t="shared" si="11"/>
        <v>-1</v>
      </c>
    </row>
    <row r="39" spans="1:26" s="69" customFormat="1" ht="15" hidden="1" customHeight="1" outlineLevel="1" x14ac:dyDescent="0.3">
      <c r="A39" s="47"/>
      <c r="B39" s="9" t="str">
        <f>CONCATENATE("          ","5042"," - ","PURCHASES @ COST-EVERYDAY GIFT")</f>
        <v xml:space="preserve">          5042 - PURCHASES @ COST-EVERYDAY GIFT</v>
      </c>
      <c r="C39" s="9"/>
      <c r="D39" s="3"/>
      <c r="E39" s="3"/>
      <c r="F39" s="26">
        <f t="shared" si="4"/>
        <v>0</v>
      </c>
      <c r="G39" s="3"/>
      <c r="H39" s="3">
        <v>-6</v>
      </c>
      <c r="I39" s="3"/>
      <c r="J39" s="26">
        <f t="shared" si="5"/>
        <v>0</v>
      </c>
      <c r="K39" s="3"/>
      <c r="L39" s="3">
        <f t="shared" si="6"/>
        <v>6</v>
      </c>
      <c r="M39" s="3"/>
      <c r="N39" s="26">
        <f t="shared" si="7"/>
        <v>-1</v>
      </c>
      <c r="O39" s="9"/>
      <c r="P39" s="3">
        <v>0</v>
      </c>
      <c r="Q39" s="3"/>
      <c r="R39" s="26">
        <f t="shared" si="8"/>
        <v>0</v>
      </c>
      <c r="S39" s="3"/>
      <c r="T39" s="3">
        <v>-6</v>
      </c>
      <c r="U39" s="3"/>
      <c r="V39" s="26">
        <f t="shared" si="9"/>
        <v>-2.8153258833554183E-4</v>
      </c>
      <c r="W39" s="3"/>
      <c r="X39" s="3">
        <f t="shared" si="10"/>
        <v>6</v>
      </c>
      <c r="Y39" s="3"/>
      <c r="Z39" s="26">
        <f t="shared" si="11"/>
        <v>-1</v>
      </c>
    </row>
    <row r="40" spans="1:26" s="69" customFormat="1" ht="15" hidden="1" customHeight="1" outlineLevel="1" x14ac:dyDescent="0.3">
      <c r="A40" s="47"/>
      <c r="B40" s="9" t="str">
        <f>CONCATENATE("          ","5081"," - ","PURCHASES @ COST-ELECTRONICS")</f>
        <v xml:space="preserve">          5081 - PURCHASES @ COST-ELECTRONICS</v>
      </c>
      <c r="C40" s="9"/>
      <c r="D40" s="3"/>
      <c r="E40" s="3"/>
      <c r="F40" s="26">
        <f t="shared" si="4"/>
        <v>0</v>
      </c>
      <c r="G40" s="3"/>
      <c r="H40" s="3">
        <v>227</v>
      </c>
      <c r="I40" s="3"/>
      <c r="J40" s="26">
        <f t="shared" si="5"/>
        <v>0</v>
      </c>
      <c r="K40" s="3"/>
      <c r="L40" s="3">
        <f t="shared" si="6"/>
        <v>-227</v>
      </c>
      <c r="M40" s="3"/>
      <c r="N40" s="26">
        <f t="shared" si="7"/>
        <v>-1</v>
      </c>
      <c r="O40" s="9"/>
      <c r="P40" s="3"/>
      <c r="Q40" s="3"/>
      <c r="R40" s="26">
        <f t="shared" si="8"/>
        <v>0</v>
      </c>
      <c r="S40" s="3"/>
      <c r="T40" s="3">
        <v>227</v>
      </c>
      <c r="U40" s="3"/>
      <c r="V40" s="26">
        <f t="shared" si="9"/>
        <v>1.0651316258694666E-2</v>
      </c>
      <c r="W40" s="3"/>
      <c r="X40" s="3">
        <f t="shared" si="10"/>
        <v>-227</v>
      </c>
      <c r="Y40" s="3"/>
      <c r="Z40" s="26">
        <f t="shared" si="11"/>
        <v>-1</v>
      </c>
    </row>
    <row r="41" spans="1:26" s="69" customFormat="1" ht="15" hidden="1" customHeight="1" outlineLevel="1" x14ac:dyDescent="0.3">
      <c r="A41" s="47"/>
      <c r="B41" s="9" t="str">
        <f>CONCATENATE("          ","5082"," - ","PURCHASES @ COST-COMPUTER HARD")</f>
        <v xml:space="preserve">          5082 - PURCHASES @ COST-COMPUTER HARD</v>
      </c>
      <c r="C41" s="9"/>
      <c r="D41" s="3"/>
      <c r="E41" s="3"/>
      <c r="F41" s="26">
        <f t="shared" si="4"/>
        <v>0</v>
      </c>
      <c r="G41" s="3"/>
      <c r="H41" s="3">
        <v>972</v>
      </c>
      <c r="I41" s="3"/>
      <c r="J41" s="26">
        <f t="shared" si="5"/>
        <v>0</v>
      </c>
      <c r="K41" s="3"/>
      <c r="L41" s="3">
        <f t="shared" si="6"/>
        <v>-972</v>
      </c>
      <c r="M41" s="3"/>
      <c r="N41" s="26">
        <f t="shared" si="7"/>
        <v>-1</v>
      </c>
      <c r="O41" s="9"/>
      <c r="P41" s="3"/>
      <c r="Q41" s="3"/>
      <c r="R41" s="26">
        <f t="shared" si="8"/>
        <v>0</v>
      </c>
      <c r="S41" s="3"/>
      <c r="T41" s="3">
        <v>972</v>
      </c>
      <c r="U41" s="3"/>
      <c r="V41" s="26">
        <f t="shared" si="9"/>
        <v>4.5608279310357776E-2</v>
      </c>
      <c r="W41" s="3"/>
      <c r="X41" s="3">
        <f t="shared" si="10"/>
        <v>-972</v>
      </c>
      <c r="Y41" s="3"/>
      <c r="Z41" s="26">
        <f t="shared" si="11"/>
        <v>-1</v>
      </c>
    </row>
    <row r="42" spans="1:26" s="69" customFormat="1" ht="15" hidden="1" customHeight="1" outlineLevel="1" x14ac:dyDescent="0.3">
      <c r="A42" s="47"/>
      <c r="B42" s="9" t="str">
        <f>CONCATENATE("          ","5083"," - ","PURCHASES @ COST-COMPUTER EQUI")</f>
        <v xml:space="preserve">          5083 - PURCHASES @ COST-COMPUTER EQUI</v>
      </c>
      <c r="C42" s="9"/>
      <c r="D42" s="3"/>
      <c r="E42" s="3"/>
      <c r="F42" s="26">
        <f t="shared" si="4"/>
        <v>0</v>
      </c>
      <c r="G42" s="3"/>
      <c r="H42" s="3">
        <v>170</v>
      </c>
      <c r="I42" s="3"/>
      <c r="J42" s="26">
        <f t="shared" si="5"/>
        <v>0</v>
      </c>
      <c r="K42" s="3"/>
      <c r="L42" s="3">
        <f t="shared" si="6"/>
        <v>-170</v>
      </c>
      <c r="M42" s="3"/>
      <c r="N42" s="26">
        <f t="shared" si="7"/>
        <v>-1</v>
      </c>
      <c r="O42" s="9"/>
      <c r="P42" s="3"/>
      <c r="Q42" s="3"/>
      <c r="R42" s="26">
        <f t="shared" si="8"/>
        <v>0</v>
      </c>
      <c r="S42" s="3"/>
      <c r="T42" s="3">
        <v>170</v>
      </c>
      <c r="U42" s="3"/>
      <c r="V42" s="26">
        <f t="shared" si="9"/>
        <v>7.976756669507019E-3</v>
      </c>
      <c r="W42" s="3"/>
      <c r="X42" s="3">
        <f t="shared" si="10"/>
        <v>-170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","5086"," - ","PURCHASES @ COST-COMPUTER SUPP")</f>
        <v xml:space="preserve">          5086 - PURCHASES @ COST-COMPUTER SUPP</v>
      </c>
      <c r="C43" s="9"/>
      <c r="D43" s="3"/>
      <c r="E43" s="3"/>
      <c r="F43" s="26">
        <f t="shared" si="4"/>
        <v>0</v>
      </c>
      <c r="G43" s="3"/>
      <c r="H43" s="3">
        <v>143</v>
      </c>
      <c r="I43" s="3"/>
      <c r="J43" s="26">
        <f t="shared" si="5"/>
        <v>0</v>
      </c>
      <c r="K43" s="3"/>
      <c r="L43" s="3">
        <f t="shared" si="6"/>
        <v>-143</v>
      </c>
      <c r="M43" s="3"/>
      <c r="N43" s="26">
        <f t="shared" si="7"/>
        <v>-1</v>
      </c>
      <c r="O43" s="9"/>
      <c r="P43" s="3"/>
      <c r="Q43" s="3"/>
      <c r="R43" s="26">
        <f t="shared" si="8"/>
        <v>0</v>
      </c>
      <c r="S43" s="3"/>
      <c r="T43" s="3">
        <v>143</v>
      </c>
      <c r="U43" s="3"/>
      <c r="V43" s="26">
        <f t="shared" si="9"/>
        <v>6.7098600219970802E-3</v>
      </c>
      <c r="W43" s="3"/>
      <c r="X43" s="3">
        <f t="shared" si="10"/>
        <v>-143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","5200"," - ","PURCHASES OFFSET")</f>
        <v xml:space="preserve">          5200 - PURCHASES OFFSET</v>
      </c>
      <c r="C44" s="9"/>
      <c r="D44" s="3">
        <v>-825.74</v>
      </c>
      <c r="E44" s="3"/>
      <c r="F44" s="26">
        <f t="shared" si="4"/>
        <v>0</v>
      </c>
      <c r="G44" s="3"/>
      <c r="H44" s="3"/>
      <c r="I44" s="3"/>
      <c r="J44" s="26">
        <f t="shared" si="5"/>
        <v>0</v>
      </c>
      <c r="K44" s="3"/>
      <c r="L44" s="3">
        <f t="shared" si="6"/>
        <v>-825.74</v>
      </c>
      <c r="M44" s="3"/>
      <c r="N44" s="26">
        <f t="shared" si="7"/>
        <v>0</v>
      </c>
      <c r="O44" s="9"/>
      <c r="P44" s="3">
        <v>-171774.21</v>
      </c>
      <c r="Q44" s="3"/>
      <c r="R44" s="26">
        <f t="shared" si="8"/>
        <v>-0.71377450472589254</v>
      </c>
      <c r="S44" s="3"/>
      <c r="T44" s="3">
        <v>-45863.33</v>
      </c>
      <c r="U44" s="3"/>
      <c r="V44" s="26">
        <f t="shared" si="9"/>
        <v>-2.1520036674311842</v>
      </c>
      <c r="W44" s="3"/>
      <c r="X44" s="3">
        <f t="shared" si="10"/>
        <v>-125910.87999999999</v>
      </c>
      <c r="Y44" s="3"/>
      <c r="Z44" s="26">
        <f t="shared" si="11"/>
        <v>2.7453497162111864</v>
      </c>
    </row>
    <row r="45" spans="1:26" s="69" customFormat="1" ht="15" hidden="1" customHeight="1" outlineLevel="1" x14ac:dyDescent="0.3">
      <c r="A45" s="47"/>
      <c r="B45" s="9" t="str">
        <f>CONCATENATE("          ","5300"," - ","COG$ OFFSET")</f>
        <v xml:space="preserve">          5300 - COG$ OFFSET</v>
      </c>
      <c r="C45" s="9"/>
      <c r="D45" s="3">
        <v>13.67</v>
      </c>
      <c r="E45" s="3"/>
      <c r="F45" s="26">
        <f t="shared" si="4"/>
        <v>0</v>
      </c>
      <c r="G45" s="3"/>
      <c r="H45" s="3"/>
      <c r="I45" s="3"/>
      <c r="J45" s="26">
        <f t="shared" si="5"/>
        <v>0</v>
      </c>
      <c r="K45" s="3"/>
      <c r="L45" s="3">
        <f t="shared" si="6"/>
        <v>13.67</v>
      </c>
      <c r="M45" s="3"/>
      <c r="N45" s="26">
        <f t="shared" si="7"/>
        <v>0</v>
      </c>
      <c r="O45" s="9"/>
      <c r="P45" s="3">
        <v>133671.95000000001</v>
      </c>
      <c r="Q45" s="3"/>
      <c r="R45" s="26">
        <f t="shared" si="8"/>
        <v>0.55544793311518814</v>
      </c>
      <c r="S45" s="3"/>
      <c r="T45" s="3">
        <v>14145</v>
      </c>
      <c r="U45" s="3"/>
      <c r="V45" s="26">
        <f t="shared" si="9"/>
        <v>0.66371307700103988</v>
      </c>
      <c r="W45" s="3"/>
      <c r="X45" s="3">
        <f t="shared" si="10"/>
        <v>119526.95000000001</v>
      </c>
      <c r="Y45" s="3"/>
      <c r="Z45" s="26">
        <f t="shared" si="11"/>
        <v>8.4501201838105349</v>
      </c>
    </row>
    <row r="46" spans="1:26" s="69" customFormat="1" ht="15" hidden="1" customHeight="1" outlineLevel="1" x14ac:dyDescent="0.3">
      <c r="A46" s="47"/>
      <c r="B46" s="9" t="str">
        <f>CONCATENATE("          ","5500"," - ","FREIGHT-IN")</f>
        <v xml:space="preserve">          5500 - FREIGHT-IN</v>
      </c>
      <c r="C46" s="9"/>
      <c r="D46" s="3"/>
      <c r="E46" s="3"/>
      <c r="F46" s="26">
        <f t="shared" si="4"/>
        <v>0</v>
      </c>
      <c r="G46" s="3"/>
      <c r="H46" s="3"/>
      <c r="I46" s="3"/>
      <c r="J46" s="26">
        <f t="shared" si="5"/>
        <v>0</v>
      </c>
      <c r="K46" s="3"/>
      <c r="L46" s="3">
        <f t="shared" si="6"/>
        <v>0</v>
      </c>
      <c r="M46" s="3"/>
      <c r="N46" s="26">
        <f t="shared" si="7"/>
        <v>0</v>
      </c>
      <c r="O46" s="9"/>
      <c r="P46" s="3">
        <v>1787.6</v>
      </c>
      <c r="Q46" s="3"/>
      <c r="R46" s="26">
        <f t="shared" si="8"/>
        <v>7.4280260386469276E-3</v>
      </c>
      <c r="S46" s="3"/>
      <c r="T46" s="3"/>
      <c r="U46" s="3"/>
      <c r="V46" s="26">
        <f t="shared" si="9"/>
        <v>0</v>
      </c>
      <c r="W46" s="3"/>
      <c r="X46" s="3">
        <f t="shared" si="10"/>
        <v>1787.6</v>
      </c>
      <c r="Y46" s="3"/>
      <c r="Z46" s="26">
        <f t="shared" si="11"/>
        <v>0</v>
      </c>
    </row>
    <row r="47" spans="1:26" s="69" customFormat="1" ht="15" hidden="1" customHeight="1" outlineLevel="1" x14ac:dyDescent="0.3">
      <c r="A47" s="47"/>
      <c r="B47" s="9" t="str">
        <f>CONCATENATE("          ","5527"," - ","FREIGHT-IN-SCHOOL SUPPLIES")</f>
        <v xml:space="preserve">          5527 - FREIGHT-IN-SCHOOL SUPPLIES</v>
      </c>
      <c r="C47" s="9"/>
      <c r="D47" s="3"/>
      <c r="E47" s="3"/>
      <c r="F47" s="26">
        <f t="shared" si="4"/>
        <v>0</v>
      </c>
      <c r="G47" s="3"/>
      <c r="H47" s="3">
        <v>58.29</v>
      </c>
      <c r="I47" s="3"/>
      <c r="J47" s="26">
        <f t="shared" si="5"/>
        <v>0</v>
      </c>
      <c r="K47" s="3"/>
      <c r="L47" s="3">
        <f t="shared" si="6"/>
        <v>-58.29</v>
      </c>
      <c r="M47" s="3"/>
      <c r="N47" s="26">
        <f t="shared" si="7"/>
        <v>-1</v>
      </c>
      <c r="O47" s="9"/>
      <c r="P47" s="3"/>
      <c r="Q47" s="3"/>
      <c r="R47" s="26">
        <f t="shared" si="8"/>
        <v>0</v>
      </c>
      <c r="S47" s="3"/>
      <c r="T47" s="3">
        <v>58.29</v>
      </c>
      <c r="U47" s="3"/>
      <c r="V47" s="26">
        <f t="shared" si="9"/>
        <v>2.7350890956797888E-3</v>
      </c>
      <c r="W47" s="3"/>
      <c r="X47" s="3">
        <f t="shared" si="10"/>
        <v>-58.29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","5528"," - ","FREIGHT-IN-ART/TECH")</f>
        <v xml:space="preserve">          5528 - FREIGHT-IN-ART/TECH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>
        <v>0</v>
      </c>
      <c r="Q48" s="3"/>
      <c r="R48" s="26">
        <f t="shared" si="8"/>
        <v>0</v>
      </c>
      <c r="S48" s="3"/>
      <c r="T48" s="3">
        <v>396.05</v>
      </c>
      <c r="U48" s="3"/>
      <c r="V48" s="26">
        <f t="shared" si="9"/>
        <v>1.8583496935048557E-2</v>
      </c>
      <c r="W48" s="3"/>
      <c r="X48" s="3">
        <f t="shared" si="10"/>
        <v>-396.05</v>
      </c>
      <c r="Y48" s="3"/>
      <c r="Z48" s="26">
        <f t="shared" si="11"/>
        <v>-1</v>
      </c>
    </row>
    <row r="49" spans="1:26" ht="15" customHeight="1" x14ac:dyDescent="0.3">
      <c r="A49" s="12"/>
      <c r="B49" s="13"/>
      <c r="C49" s="13"/>
      <c r="D49" s="4"/>
      <c r="E49" s="4"/>
      <c r="F49" s="10"/>
      <c r="G49" s="4"/>
      <c r="H49" s="4"/>
      <c r="I49" s="4"/>
      <c r="J49" s="10"/>
      <c r="K49" s="4"/>
      <c r="L49" s="4"/>
      <c r="M49" s="4"/>
      <c r="N49" s="10"/>
      <c r="O49" s="13"/>
      <c r="P49" s="4"/>
      <c r="Q49" s="4"/>
      <c r="R49" s="10"/>
      <c r="S49" s="4"/>
      <c r="T49" s="4"/>
      <c r="U49" s="4"/>
      <c r="V49" s="10"/>
      <c r="W49" s="4"/>
      <c r="X49" s="4"/>
      <c r="Y49" s="4"/>
      <c r="Z49" s="10"/>
    </row>
    <row r="50" spans="1:26" s="62" customFormat="1" ht="15" customHeight="1" x14ac:dyDescent="0.3">
      <c r="A50" s="13"/>
      <c r="B50" s="28" t="s">
        <v>288</v>
      </c>
      <c r="C50" s="28"/>
      <c r="D50" s="22">
        <f>D12-D27</f>
        <v>55579.69</v>
      </c>
      <c r="E50" s="15"/>
      <c r="F50" s="24">
        <f>IF(D$12=0,0,D50/D$12)</f>
        <v>0</v>
      </c>
      <c r="G50" s="15"/>
      <c r="H50" s="22">
        <f>H12-H27</f>
        <v>-174968.99000000002</v>
      </c>
      <c r="I50" s="15"/>
      <c r="J50" s="24">
        <f>IF(H$12=0,0,H50/H$12)</f>
        <v>0</v>
      </c>
      <c r="K50" s="17"/>
      <c r="L50" s="22">
        <f>+D50-H50</f>
        <v>230548.68000000002</v>
      </c>
      <c r="M50" s="17"/>
      <c r="N50" s="24">
        <f>IF(H50=0,0,L50/H50)</f>
        <v>-1.3176545169518323</v>
      </c>
      <c r="O50" s="27"/>
      <c r="P50" s="22">
        <f>P12-P27</f>
        <v>162577.53999999995</v>
      </c>
      <c r="Q50" s="15"/>
      <c r="R50" s="24">
        <f>IF(P$12=0,0,P50/P$12)</f>
        <v>0.6755595213801534</v>
      </c>
      <c r="S50" s="15"/>
      <c r="T50" s="22">
        <f>T12-T27</f>
        <v>-167478.58999999997</v>
      </c>
      <c r="U50" s="15"/>
      <c r="V50" s="24">
        <f>IF(T$12=0,0,T50/T$12)</f>
        <v>-7.8584468222478305</v>
      </c>
      <c r="W50" s="17"/>
      <c r="X50" s="22">
        <f>+P50-T50</f>
        <v>330056.12999999989</v>
      </c>
      <c r="Y50" s="17"/>
      <c r="Z50" s="24">
        <f>IF(T50=0,0,X50/T50)</f>
        <v>-1.9707362594824804</v>
      </c>
    </row>
    <row r="51" spans="1:26" ht="15" customHeight="1" x14ac:dyDescent="0.3">
      <c r="A51" s="12"/>
      <c r="B51" s="13"/>
      <c r="C51" s="12"/>
      <c r="D51" s="2"/>
      <c r="E51" s="2"/>
      <c r="F51" s="5"/>
      <c r="G51" s="2"/>
      <c r="H51" s="2"/>
      <c r="I51" s="2"/>
      <c r="J51" s="5"/>
      <c r="K51" s="2"/>
      <c r="L51" s="2"/>
      <c r="M51" s="2"/>
      <c r="N51" s="5"/>
      <c r="O51" s="37"/>
      <c r="P51" s="2"/>
      <c r="Q51" s="2"/>
      <c r="R51" s="5"/>
      <c r="S51" s="2"/>
      <c r="T51" s="2"/>
      <c r="U51" s="2"/>
      <c r="V51" s="5"/>
      <c r="W51" s="2"/>
      <c r="X51" s="2"/>
      <c r="Y51" s="2"/>
      <c r="Z51" s="5"/>
    </row>
    <row r="52" spans="1:26" s="62" customFormat="1" ht="15" customHeight="1" x14ac:dyDescent="0.3">
      <c r="A52" s="13"/>
      <c r="B52" s="27" t="s">
        <v>289</v>
      </c>
      <c r="C52" s="13"/>
      <c r="D52" s="23" cm="1">
        <f t="array" ref="D52">SUM(OSRRefD22x_0)</f>
        <v>4885.28</v>
      </c>
      <c r="E52" s="23"/>
      <c r="F52" s="34">
        <f t="shared" ref="F52:F95" si="12">IF(D$12=0,0,D52/D$12)</f>
        <v>0</v>
      </c>
      <c r="G52" s="23"/>
      <c r="H52" s="23" cm="1">
        <f t="array" ref="H52">SUM(OSRRefH22x_0)</f>
        <v>114.11</v>
      </c>
      <c r="I52" s="23"/>
      <c r="J52" s="34">
        <f t="shared" ref="J52:J95" si="13">IF(H$12=0,0,H52/H$12)</f>
        <v>0</v>
      </c>
      <c r="K52" s="8"/>
      <c r="L52" s="23">
        <f t="shared" ref="L52:L95" si="14">+D52-H52</f>
        <v>4771.17</v>
      </c>
      <c r="M52" s="8"/>
      <c r="N52" s="34">
        <f t="shared" ref="N52:N95" si="15">IF(H52=0,0,L52/H52)</f>
        <v>41.812023486109894</v>
      </c>
      <c r="O52" s="13"/>
      <c r="P52" s="23" cm="1">
        <f t="array" ref="P52">SUM(OSRRefP22x_0)</f>
        <v>72858.91</v>
      </c>
      <c r="Q52" s="23"/>
      <c r="R52" s="34">
        <f t="shared" ref="R52:R95" si="16">IF(P$12=0,0,P52/P$12)</f>
        <v>0.30275110798133426</v>
      </c>
      <c r="S52" s="23"/>
      <c r="T52" s="23" cm="1">
        <f t="array" ref="T52">SUM(OSRRefT22x_0)</f>
        <v>12867.969999999998</v>
      </c>
      <c r="U52" s="23"/>
      <c r="V52" s="34">
        <f t="shared" ref="V52:V95" si="17">IF(T$12=0,0,T52/T$12)</f>
        <v>0.60379215012068355</v>
      </c>
      <c r="W52" s="8"/>
      <c r="X52" s="23">
        <f t="shared" ref="X52:X95" si="18">+P52-T52</f>
        <v>59990.94</v>
      </c>
      <c r="Y52" s="8"/>
      <c r="Z52" s="34">
        <f t="shared" ref="Z52:Z95" si="19">IF(T52=0,0,X52/T52)</f>
        <v>4.6620360476438796</v>
      </c>
    </row>
    <row r="53" spans="1:26" s="68" customFormat="1" ht="15" customHeight="1" outlineLevel="1" collapsed="1" x14ac:dyDescent="0.3">
      <c r="A53" s="20"/>
      <c r="B53" s="11" t="str">
        <f>CONCATENATE("     ","*Benefits                                         ")</f>
        <v xml:space="preserve">     *Benefits                                         </v>
      </c>
      <c r="C53" s="11"/>
      <c r="D53" s="2">
        <f>SUM(OSRRefD22_0x_0)</f>
        <v>1063.28</v>
      </c>
      <c r="E53" s="2"/>
      <c r="F53" s="5">
        <f t="shared" si="12"/>
        <v>0</v>
      </c>
      <c r="G53" s="2"/>
      <c r="H53" s="2">
        <f>SUM(OSRRefH22_0x_0)</f>
        <v>0</v>
      </c>
      <c r="I53" s="2"/>
      <c r="J53" s="5">
        <f t="shared" si="13"/>
        <v>0</v>
      </c>
      <c r="K53" s="2"/>
      <c r="L53" s="2">
        <f t="shared" si="14"/>
        <v>1063.28</v>
      </c>
      <c r="M53" s="2"/>
      <c r="N53" s="5">
        <f t="shared" si="15"/>
        <v>0</v>
      </c>
      <c r="O53" s="11"/>
      <c r="P53" s="2">
        <f>SUM(OSRRefP22_0x_0)</f>
        <v>3654.8700000000003</v>
      </c>
      <c r="Q53" s="2"/>
      <c r="R53" s="5">
        <f t="shared" si="16"/>
        <v>1.5187105352354834E-2</v>
      </c>
      <c r="S53" s="2"/>
      <c r="T53" s="2">
        <f>SUM(OSRRefT22_0x_0)</f>
        <v>778.2</v>
      </c>
      <c r="U53" s="2"/>
      <c r="V53" s="5">
        <f t="shared" si="17"/>
        <v>3.6514776707119778E-2</v>
      </c>
      <c r="W53" s="2"/>
      <c r="X53" s="2">
        <f t="shared" si="18"/>
        <v>2876.67</v>
      </c>
      <c r="Y53" s="2"/>
      <c r="Z53" s="5">
        <f t="shared" si="19"/>
        <v>3.6965690053970701</v>
      </c>
    </row>
    <row r="54" spans="1:26" s="69" customFormat="1" ht="15" hidden="1" customHeight="1" outlineLevel="2" x14ac:dyDescent="0.3">
      <c r="A54" s="21"/>
      <c r="B54" s="9" t="str">
        <f>CONCATENATE("          ","6111"," - ","F.I.C.A.")</f>
        <v xml:space="preserve">          6111 - F.I.C.A.</v>
      </c>
      <c r="C54" s="9"/>
      <c r="D54" s="6">
        <v>719.82</v>
      </c>
      <c r="E54" s="3"/>
      <c r="F54" s="7">
        <f t="shared" si="12"/>
        <v>0</v>
      </c>
      <c r="G54" s="3"/>
      <c r="H54" s="6"/>
      <c r="I54" s="3"/>
      <c r="J54" s="7">
        <f t="shared" si="13"/>
        <v>0</v>
      </c>
      <c r="K54" s="3"/>
      <c r="L54" s="6">
        <f t="shared" si="14"/>
        <v>719.82</v>
      </c>
      <c r="M54" s="3"/>
      <c r="N54" s="7">
        <f t="shared" si="15"/>
        <v>0</v>
      </c>
      <c r="O54" s="9"/>
      <c r="P54" s="6">
        <v>1614.77</v>
      </c>
      <c r="Q54" s="3"/>
      <c r="R54" s="7">
        <f t="shared" si="16"/>
        <v>6.7098644027891591E-3</v>
      </c>
      <c r="S54" s="3"/>
      <c r="T54" s="6">
        <v>484.61</v>
      </c>
      <c r="U54" s="3"/>
      <c r="V54" s="7">
        <f t="shared" si="17"/>
        <v>2.2738917938881154E-2</v>
      </c>
      <c r="W54" s="3"/>
      <c r="X54" s="6">
        <f t="shared" si="18"/>
        <v>1130.1599999999999</v>
      </c>
      <c r="Y54" s="3"/>
      <c r="Z54" s="7">
        <f t="shared" si="19"/>
        <v>2.3321021027217759</v>
      </c>
    </row>
    <row r="55" spans="1:26" s="69" customFormat="1" ht="15" hidden="1" customHeight="1" outlineLevel="2" x14ac:dyDescent="0.3">
      <c r="A55" s="21"/>
      <c r="B55" s="9" t="str">
        <f>CONCATENATE("          ","6112"," - ","COMPENSATION INSURANCE")</f>
        <v xml:space="preserve">          6112 - COMPENSATION INSURANCE</v>
      </c>
      <c r="C55" s="9"/>
      <c r="D55" s="6">
        <v>-160.85</v>
      </c>
      <c r="E55" s="3"/>
      <c r="F55" s="7">
        <f t="shared" si="12"/>
        <v>0</v>
      </c>
      <c r="G55" s="3"/>
      <c r="H55" s="6"/>
      <c r="I55" s="3"/>
      <c r="J55" s="7">
        <f t="shared" si="13"/>
        <v>0</v>
      </c>
      <c r="K55" s="3"/>
      <c r="L55" s="6">
        <f t="shared" si="14"/>
        <v>-160.85</v>
      </c>
      <c r="M55" s="3"/>
      <c r="N55" s="7">
        <f t="shared" si="15"/>
        <v>0</v>
      </c>
      <c r="O55" s="9"/>
      <c r="P55" s="6">
        <v>649.86</v>
      </c>
      <c r="Q55" s="3"/>
      <c r="R55" s="7">
        <f t="shared" si="16"/>
        <v>2.7003675327115085E-3</v>
      </c>
      <c r="S55" s="3"/>
      <c r="T55" s="6">
        <v>255.57</v>
      </c>
      <c r="U55" s="3"/>
      <c r="V55" s="7">
        <f t="shared" si="17"/>
        <v>1.1991880600152403E-2</v>
      </c>
      <c r="W55" s="3"/>
      <c r="X55" s="6">
        <f t="shared" si="18"/>
        <v>394.29</v>
      </c>
      <c r="Y55" s="3"/>
      <c r="Z55" s="7">
        <f t="shared" si="19"/>
        <v>1.5427867120554057</v>
      </c>
    </row>
    <row r="56" spans="1:26" s="69" customFormat="1" ht="15" hidden="1" customHeight="1" outlineLevel="2" x14ac:dyDescent="0.3">
      <c r="A56" s="21"/>
      <c r="B56" s="9" t="str">
        <f>CONCATENATE("          ","6113"," - ","GROUP INSURANCE")</f>
        <v xml:space="preserve">          6113 - GROUP INSURANCE</v>
      </c>
      <c r="C56" s="9"/>
      <c r="D56" s="6">
        <v>30.64</v>
      </c>
      <c r="E56" s="3"/>
      <c r="F56" s="7">
        <f t="shared" si="12"/>
        <v>0</v>
      </c>
      <c r="G56" s="3"/>
      <c r="H56" s="6"/>
      <c r="I56" s="3"/>
      <c r="J56" s="7">
        <f t="shared" si="13"/>
        <v>0</v>
      </c>
      <c r="K56" s="3"/>
      <c r="L56" s="6">
        <f t="shared" si="14"/>
        <v>30.64</v>
      </c>
      <c r="M56" s="3"/>
      <c r="N56" s="7">
        <f t="shared" si="15"/>
        <v>0</v>
      </c>
      <c r="O56" s="9"/>
      <c r="P56" s="6">
        <v>61.28</v>
      </c>
      <c r="Q56" s="3"/>
      <c r="R56" s="7">
        <f t="shared" si="16"/>
        <v>2.5463718709346821E-4</v>
      </c>
      <c r="S56" s="3"/>
      <c r="T56" s="6"/>
      <c r="U56" s="3"/>
      <c r="V56" s="7">
        <f t="shared" si="17"/>
        <v>0</v>
      </c>
      <c r="W56" s="3"/>
      <c r="X56" s="6">
        <f t="shared" si="18"/>
        <v>61.28</v>
      </c>
      <c r="Y56" s="3"/>
      <c r="Z56" s="7">
        <f t="shared" si="19"/>
        <v>0</v>
      </c>
    </row>
    <row r="57" spans="1:26" s="69" customFormat="1" ht="15" hidden="1" customHeight="1" outlineLevel="2" x14ac:dyDescent="0.3">
      <c r="A57" s="21"/>
      <c r="B57" s="9" t="str">
        <f>CONCATENATE("          ","6114"," - ","STATE UNEMPLOYMENT INSURANCE")</f>
        <v xml:space="preserve">          6114 - STATE UNEMPLOYMENT INSURANCE</v>
      </c>
      <c r="C57" s="9"/>
      <c r="D57" s="6"/>
      <c r="E57" s="3"/>
      <c r="F57" s="7">
        <f t="shared" si="12"/>
        <v>0</v>
      </c>
      <c r="G57" s="3"/>
      <c r="H57" s="6"/>
      <c r="I57" s="3"/>
      <c r="J57" s="7">
        <f t="shared" si="13"/>
        <v>0</v>
      </c>
      <c r="K57" s="3"/>
      <c r="L57" s="6">
        <f t="shared" si="14"/>
        <v>0</v>
      </c>
      <c r="M57" s="3"/>
      <c r="N57" s="7">
        <f t="shared" si="15"/>
        <v>0</v>
      </c>
      <c r="O57" s="9"/>
      <c r="P57" s="6">
        <v>142.41</v>
      </c>
      <c r="Q57" s="3"/>
      <c r="R57" s="7">
        <f t="shared" si="16"/>
        <v>5.9175720975817247E-4</v>
      </c>
      <c r="S57" s="3"/>
      <c r="T57" s="6">
        <v>38.020000000000003</v>
      </c>
      <c r="U57" s="3"/>
      <c r="V57" s="7">
        <f t="shared" si="17"/>
        <v>1.7839781680862169E-3</v>
      </c>
      <c r="W57" s="3"/>
      <c r="X57" s="6">
        <f t="shared" si="18"/>
        <v>104.38999999999999</v>
      </c>
      <c r="Y57" s="3"/>
      <c r="Z57" s="7">
        <f t="shared" si="19"/>
        <v>2.7456601788532344</v>
      </c>
    </row>
    <row r="58" spans="1:26" s="69" customFormat="1" ht="15" hidden="1" customHeight="1" outlineLevel="2" x14ac:dyDescent="0.3">
      <c r="A58" s="21"/>
      <c r="B58" s="9" t="str">
        <f>CONCATENATE("          ","6118"," - ","VACATION")</f>
        <v xml:space="preserve">          6118 - VACATION</v>
      </c>
      <c r="C58" s="9"/>
      <c r="D58" s="6">
        <v>147.84</v>
      </c>
      <c r="E58" s="3"/>
      <c r="F58" s="7">
        <f t="shared" si="12"/>
        <v>0</v>
      </c>
      <c r="G58" s="3"/>
      <c r="H58" s="6"/>
      <c r="I58" s="3"/>
      <c r="J58" s="7">
        <f t="shared" si="13"/>
        <v>0</v>
      </c>
      <c r="K58" s="3"/>
      <c r="L58" s="6">
        <f t="shared" si="14"/>
        <v>147.84</v>
      </c>
      <c r="M58" s="3"/>
      <c r="N58" s="7">
        <f t="shared" si="15"/>
        <v>0</v>
      </c>
      <c r="O58" s="9"/>
      <c r="P58" s="6">
        <v>369.6</v>
      </c>
      <c r="Q58" s="3"/>
      <c r="R58" s="7">
        <f t="shared" si="16"/>
        <v>1.5358013111903697E-3</v>
      </c>
      <c r="S58" s="3"/>
      <c r="T58" s="6"/>
      <c r="U58" s="3"/>
      <c r="V58" s="7">
        <f t="shared" si="17"/>
        <v>0</v>
      </c>
      <c r="W58" s="3"/>
      <c r="X58" s="6">
        <f t="shared" si="18"/>
        <v>369.6</v>
      </c>
      <c r="Y58" s="3"/>
      <c r="Z58" s="7">
        <f t="shared" si="19"/>
        <v>0</v>
      </c>
    </row>
    <row r="59" spans="1:26" s="69" customFormat="1" ht="15" hidden="1" customHeight="1" outlineLevel="2" x14ac:dyDescent="0.3">
      <c r="A59" s="21"/>
      <c r="B59" s="9" t="str">
        <f>CONCATENATE("          ","6119"," - ","SICK LEAVE")</f>
        <v xml:space="preserve">          6119 - SICK LEAVE</v>
      </c>
      <c r="C59" s="9"/>
      <c r="D59" s="6">
        <v>177.12</v>
      </c>
      <c r="E59" s="3"/>
      <c r="F59" s="7">
        <f t="shared" si="12"/>
        <v>0</v>
      </c>
      <c r="G59" s="3"/>
      <c r="H59" s="6"/>
      <c r="I59" s="3"/>
      <c r="J59" s="7">
        <f t="shared" si="13"/>
        <v>0</v>
      </c>
      <c r="K59" s="3"/>
      <c r="L59" s="6">
        <f t="shared" si="14"/>
        <v>177.12</v>
      </c>
      <c r="M59" s="3"/>
      <c r="N59" s="7">
        <f t="shared" si="15"/>
        <v>0</v>
      </c>
      <c r="O59" s="9"/>
      <c r="P59" s="6">
        <v>442.8</v>
      </c>
      <c r="Q59" s="3"/>
      <c r="R59" s="7">
        <f t="shared" si="16"/>
        <v>1.8399697526923584E-3</v>
      </c>
      <c r="S59" s="3"/>
      <c r="T59" s="6"/>
      <c r="U59" s="3"/>
      <c r="V59" s="7">
        <f t="shared" si="17"/>
        <v>0</v>
      </c>
      <c r="W59" s="3"/>
      <c r="X59" s="6">
        <f t="shared" si="18"/>
        <v>442.8</v>
      </c>
      <c r="Y59" s="3"/>
      <c r="Z59" s="7">
        <f t="shared" si="19"/>
        <v>0</v>
      </c>
    </row>
    <row r="60" spans="1:26" s="69" customFormat="1" ht="15" hidden="1" customHeight="1" outlineLevel="2" x14ac:dyDescent="0.3">
      <c r="A60" s="21"/>
      <c r="B60" s="9" t="str">
        <f>CONCATENATE("          ","6156"," - ","EMPLOYEE MEALS")</f>
        <v xml:space="preserve">          6156 - EMPLOYEE MEALS</v>
      </c>
      <c r="C60" s="9"/>
      <c r="D60" s="6">
        <v>148.71</v>
      </c>
      <c r="E60" s="3"/>
      <c r="F60" s="7">
        <f t="shared" si="12"/>
        <v>0</v>
      </c>
      <c r="G60" s="3"/>
      <c r="H60" s="6"/>
      <c r="I60" s="3"/>
      <c r="J60" s="7">
        <f t="shared" si="13"/>
        <v>0</v>
      </c>
      <c r="K60" s="3"/>
      <c r="L60" s="6">
        <f t="shared" si="14"/>
        <v>148.71</v>
      </c>
      <c r="M60" s="3"/>
      <c r="N60" s="7">
        <f t="shared" si="15"/>
        <v>0</v>
      </c>
      <c r="O60" s="9"/>
      <c r="P60" s="6">
        <v>374.15</v>
      </c>
      <c r="Q60" s="3"/>
      <c r="R60" s="7">
        <f t="shared" si="16"/>
        <v>1.5547079561197964E-3</v>
      </c>
      <c r="S60" s="3"/>
      <c r="T60" s="6"/>
      <c r="U60" s="3"/>
      <c r="V60" s="7">
        <f t="shared" si="17"/>
        <v>0</v>
      </c>
      <c r="W60" s="3"/>
      <c r="X60" s="6">
        <f t="shared" si="18"/>
        <v>374.15</v>
      </c>
      <c r="Y60" s="3"/>
      <c r="Z60" s="7">
        <f t="shared" si="19"/>
        <v>0</v>
      </c>
    </row>
    <row r="61" spans="1:26" s="68" customFormat="1" ht="15" customHeight="1" outlineLevel="1" collapsed="1" x14ac:dyDescent="0.3">
      <c r="A61" s="20"/>
      <c r="B61" s="11" t="str">
        <f>CONCATENATE("     ","*Payroll                                          ")</f>
        <v xml:space="preserve">     *Payroll                                          </v>
      </c>
      <c r="C61" s="11"/>
      <c r="D61" s="2">
        <f>SUM(OSRRefD22_1x_0)</f>
        <v>9409.2900000000009</v>
      </c>
      <c r="E61" s="2"/>
      <c r="F61" s="5">
        <f t="shared" si="12"/>
        <v>0</v>
      </c>
      <c r="G61" s="2"/>
      <c r="H61" s="2">
        <f>SUM(OSRRefH22_1x_0)</f>
        <v>0</v>
      </c>
      <c r="I61" s="2"/>
      <c r="J61" s="5">
        <f t="shared" si="13"/>
        <v>0</v>
      </c>
      <c r="K61" s="2"/>
      <c r="L61" s="2">
        <f t="shared" si="14"/>
        <v>9409.2900000000009</v>
      </c>
      <c r="M61" s="2"/>
      <c r="N61" s="5">
        <f t="shared" si="15"/>
        <v>0</v>
      </c>
      <c r="O61" s="11"/>
      <c r="P61" s="2">
        <f>SUM(OSRRefP22_1x_0)</f>
        <v>56716.2</v>
      </c>
      <c r="Q61" s="2"/>
      <c r="R61" s="5">
        <f t="shared" si="16"/>
        <v>0.23567319893326633</v>
      </c>
      <c r="S61" s="2"/>
      <c r="T61" s="2">
        <f>SUM(OSRRefT22_1x_0)</f>
        <v>8152.5399999999991</v>
      </c>
      <c r="U61" s="2"/>
      <c r="V61" s="5">
        <f t="shared" si="17"/>
        <v>0.38253428128483963</v>
      </c>
      <c r="W61" s="2"/>
      <c r="X61" s="2">
        <f t="shared" si="18"/>
        <v>48563.659999999996</v>
      </c>
      <c r="Y61" s="2"/>
      <c r="Z61" s="5">
        <f t="shared" si="19"/>
        <v>5.9568747899427663</v>
      </c>
    </row>
    <row r="62" spans="1:26" s="69" customFormat="1" ht="15" hidden="1" customHeight="1" outlineLevel="2" x14ac:dyDescent="0.3">
      <c r="A62" s="21"/>
      <c r="B62" s="9" t="str">
        <f>CONCATENATE("          ","6004"," - ","STAFF HOURLY")</f>
        <v xml:space="preserve">          6004 - STAFF HOURLY</v>
      </c>
      <c r="C62" s="9"/>
      <c r="D62" s="6">
        <v>3885.12</v>
      </c>
      <c r="E62" s="3"/>
      <c r="F62" s="7">
        <f t="shared" si="12"/>
        <v>0</v>
      </c>
      <c r="G62" s="3"/>
      <c r="H62" s="6"/>
      <c r="I62" s="3"/>
      <c r="J62" s="7">
        <f t="shared" si="13"/>
        <v>0</v>
      </c>
      <c r="K62" s="3"/>
      <c r="L62" s="6">
        <f t="shared" si="14"/>
        <v>3885.12</v>
      </c>
      <c r="M62" s="3"/>
      <c r="N62" s="7">
        <f t="shared" si="15"/>
        <v>0</v>
      </c>
      <c r="O62" s="9"/>
      <c r="P62" s="6">
        <v>9664.4500000000007</v>
      </c>
      <c r="Q62" s="3"/>
      <c r="R62" s="7">
        <f t="shared" si="16"/>
        <v>4.0158752656747211E-2</v>
      </c>
      <c r="S62" s="3"/>
      <c r="T62" s="6"/>
      <c r="U62" s="3"/>
      <c r="V62" s="7">
        <f t="shared" si="17"/>
        <v>0</v>
      </c>
      <c r="W62" s="3"/>
      <c r="X62" s="6">
        <f t="shared" si="18"/>
        <v>9664.4500000000007</v>
      </c>
      <c r="Y62" s="3"/>
      <c r="Z62" s="7">
        <f t="shared" si="19"/>
        <v>0</v>
      </c>
    </row>
    <row r="63" spans="1:26" s="69" customFormat="1" ht="15" hidden="1" customHeight="1" outlineLevel="2" x14ac:dyDescent="0.3">
      <c r="A63" s="21"/>
      <c r="B63" s="9" t="str">
        <f>CONCATENATE("          ","6005"," - ","TEMPORARY WAGES-HOURLY")</f>
        <v xml:space="preserve">          6005 - TEMPORARY WAGES-HOURLY</v>
      </c>
      <c r="C63" s="9"/>
      <c r="D63" s="6"/>
      <c r="E63" s="3"/>
      <c r="F63" s="7">
        <f t="shared" si="12"/>
        <v>0</v>
      </c>
      <c r="G63" s="3"/>
      <c r="H63" s="6"/>
      <c r="I63" s="3"/>
      <c r="J63" s="7">
        <f t="shared" si="13"/>
        <v>0</v>
      </c>
      <c r="K63" s="3"/>
      <c r="L63" s="6">
        <f t="shared" si="14"/>
        <v>0</v>
      </c>
      <c r="M63" s="3"/>
      <c r="N63" s="7">
        <f t="shared" si="15"/>
        <v>0</v>
      </c>
      <c r="O63" s="9"/>
      <c r="P63" s="6">
        <v>5808.94</v>
      </c>
      <c r="Q63" s="3"/>
      <c r="R63" s="7">
        <f t="shared" si="16"/>
        <v>2.4137926592603314E-2</v>
      </c>
      <c r="S63" s="3"/>
      <c r="T63" s="6">
        <v>5379.19</v>
      </c>
      <c r="U63" s="3"/>
      <c r="V63" s="7">
        <f t="shared" si="17"/>
        <v>0.25240288064144384</v>
      </c>
      <c r="W63" s="3"/>
      <c r="X63" s="6">
        <f t="shared" si="18"/>
        <v>429.75</v>
      </c>
      <c r="Y63" s="3"/>
      <c r="Z63" s="7">
        <f t="shared" si="19"/>
        <v>7.9891210386693917E-2</v>
      </c>
    </row>
    <row r="64" spans="1:26" s="69" customFormat="1" ht="15" hidden="1" customHeight="1" outlineLevel="2" x14ac:dyDescent="0.3">
      <c r="A64" s="21"/>
      <c r="B64" s="9" t="str">
        <f>CONCATENATE("          ","6007"," - ","STUDENT HOURLY")</f>
        <v xml:space="preserve">          6007 - STUDENT HOURLY</v>
      </c>
      <c r="C64" s="9"/>
      <c r="D64" s="6">
        <v>5524.17</v>
      </c>
      <c r="E64" s="3"/>
      <c r="F64" s="7">
        <f t="shared" si="12"/>
        <v>0</v>
      </c>
      <c r="G64" s="3"/>
      <c r="H64" s="6"/>
      <c r="I64" s="3"/>
      <c r="J64" s="7">
        <f t="shared" si="13"/>
        <v>0</v>
      </c>
      <c r="K64" s="3"/>
      <c r="L64" s="6">
        <f t="shared" si="14"/>
        <v>5524.17</v>
      </c>
      <c r="M64" s="3"/>
      <c r="N64" s="7">
        <f t="shared" si="15"/>
        <v>0</v>
      </c>
      <c r="O64" s="9"/>
      <c r="P64" s="6">
        <v>34719.43</v>
      </c>
      <c r="Q64" s="3"/>
      <c r="R64" s="7">
        <f t="shared" si="16"/>
        <v>0.14426987585980047</v>
      </c>
      <c r="S64" s="3"/>
      <c r="T64" s="6">
        <v>2773.35</v>
      </c>
      <c r="U64" s="3"/>
      <c r="V64" s="7">
        <f t="shared" si="17"/>
        <v>0.13013140064339582</v>
      </c>
      <c r="W64" s="3"/>
      <c r="X64" s="6">
        <f t="shared" si="18"/>
        <v>31946.080000000002</v>
      </c>
      <c r="Y64" s="3"/>
      <c r="Z64" s="7">
        <f t="shared" si="19"/>
        <v>11.518950006310058</v>
      </c>
    </row>
    <row r="65" spans="1:26" s="69" customFormat="1" ht="15" hidden="1" customHeight="1" outlineLevel="2" x14ac:dyDescent="0.3">
      <c r="A65" s="21"/>
      <c r="B65" s="9" t="str">
        <f>CONCATENATE("          ","6008"," - ","STUDENT HOURLY-FICA EXEMPT")</f>
        <v xml:space="preserve">          6008 - STUDENT HOURLY-FICA EXEMPT</v>
      </c>
      <c r="C65" s="9"/>
      <c r="D65" s="6"/>
      <c r="E65" s="3"/>
      <c r="F65" s="7">
        <f t="shared" si="12"/>
        <v>0</v>
      </c>
      <c r="G65" s="3"/>
      <c r="H65" s="6"/>
      <c r="I65" s="3"/>
      <c r="J65" s="7">
        <f t="shared" si="13"/>
        <v>0</v>
      </c>
      <c r="K65" s="3"/>
      <c r="L65" s="6">
        <f t="shared" si="14"/>
        <v>0</v>
      </c>
      <c r="M65" s="3"/>
      <c r="N65" s="7">
        <f t="shared" si="15"/>
        <v>0</v>
      </c>
      <c r="O65" s="9"/>
      <c r="P65" s="6">
        <v>6523.38</v>
      </c>
      <c r="Q65" s="3"/>
      <c r="R65" s="7">
        <f t="shared" si="16"/>
        <v>2.7106643824115349E-2</v>
      </c>
      <c r="S65" s="3"/>
      <c r="T65" s="6"/>
      <c r="U65" s="3"/>
      <c r="V65" s="7">
        <f t="shared" si="17"/>
        <v>0</v>
      </c>
      <c r="W65" s="3"/>
      <c r="X65" s="6">
        <f t="shared" si="18"/>
        <v>6523.38</v>
      </c>
      <c r="Y65" s="3"/>
      <c r="Z65" s="7">
        <f t="shared" si="19"/>
        <v>0</v>
      </c>
    </row>
    <row r="66" spans="1:26" s="68" customFormat="1" ht="15" customHeight="1" outlineLevel="1" collapsed="1" x14ac:dyDescent="0.3">
      <c r="A66" s="20"/>
      <c r="B66" s="11" t="str">
        <f>CONCATENATE("     ","Advertising/Promo                                 ")</f>
        <v xml:space="preserve">     Advertising/Promo                                 </v>
      </c>
      <c r="C66" s="11"/>
      <c r="D66" s="2">
        <f>SUM(OSRRefD22_2x_0)</f>
        <v>0</v>
      </c>
      <c r="E66" s="2"/>
      <c r="F66" s="5">
        <f t="shared" si="12"/>
        <v>0</v>
      </c>
      <c r="G66" s="2"/>
      <c r="H66" s="2">
        <f>SUM(OSRRefH22_2x_0)</f>
        <v>0</v>
      </c>
      <c r="I66" s="2"/>
      <c r="J66" s="5">
        <f t="shared" si="13"/>
        <v>0</v>
      </c>
      <c r="K66" s="2"/>
      <c r="L66" s="2">
        <f t="shared" si="14"/>
        <v>0</v>
      </c>
      <c r="M66" s="2"/>
      <c r="N66" s="5">
        <f t="shared" si="15"/>
        <v>0</v>
      </c>
      <c r="O66" s="11"/>
      <c r="P66" s="2">
        <f>SUM(OSRRefP22_2x_0)</f>
        <v>1669.12</v>
      </c>
      <c r="Q66" s="2"/>
      <c r="R66" s="5">
        <f t="shared" si="16"/>
        <v>6.9357053152978073E-3</v>
      </c>
      <c r="S66" s="2"/>
      <c r="T66" s="2">
        <f>SUM(OSRRefT22_2x_0)</f>
        <v>124.72</v>
      </c>
      <c r="U66" s="2"/>
      <c r="V66" s="5">
        <f t="shared" si="17"/>
        <v>5.8521240695347957E-3</v>
      </c>
      <c r="W66" s="2"/>
      <c r="X66" s="2">
        <f t="shared" si="18"/>
        <v>1544.3999999999999</v>
      </c>
      <c r="Y66" s="2"/>
      <c r="Z66" s="5">
        <f t="shared" si="19"/>
        <v>12.382937780628607</v>
      </c>
    </row>
    <row r="67" spans="1:26" s="69" customFormat="1" ht="15" hidden="1" customHeight="1" outlineLevel="2" x14ac:dyDescent="0.3">
      <c r="A67" s="21"/>
      <c r="B67" s="9" t="str">
        <f>CONCATENATE("          ","6362"," - ","ADVERTISING EXPENSE")</f>
        <v xml:space="preserve">          6362 - ADVERTISING EXPENSE</v>
      </c>
      <c r="C67" s="9"/>
      <c r="D67" s="6"/>
      <c r="E67" s="3"/>
      <c r="F67" s="7">
        <f t="shared" si="12"/>
        <v>0</v>
      </c>
      <c r="G67" s="3"/>
      <c r="H67" s="6"/>
      <c r="I67" s="3"/>
      <c r="J67" s="7">
        <f t="shared" si="13"/>
        <v>0</v>
      </c>
      <c r="K67" s="3"/>
      <c r="L67" s="6">
        <f t="shared" si="14"/>
        <v>0</v>
      </c>
      <c r="M67" s="3"/>
      <c r="N67" s="7">
        <f t="shared" si="15"/>
        <v>0</v>
      </c>
      <c r="O67" s="9"/>
      <c r="P67" s="6">
        <v>1669.12</v>
      </c>
      <c r="Q67" s="3"/>
      <c r="R67" s="7">
        <f t="shared" si="16"/>
        <v>6.9357053152978073E-3</v>
      </c>
      <c r="S67" s="3"/>
      <c r="T67" s="6">
        <v>124.72</v>
      </c>
      <c r="U67" s="3"/>
      <c r="V67" s="7">
        <f t="shared" si="17"/>
        <v>5.8521240695347957E-3</v>
      </c>
      <c r="W67" s="3"/>
      <c r="X67" s="6">
        <f t="shared" si="18"/>
        <v>1544.3999999999999</v>
      </c>
      <c r="Y67" s="3"/>
      <c r="Z67" s="7">
        <f t="shared" si="19"/>
        <v>12.382937780628607</v>
      </c>
    </row>
    <row r="68" spans="1:26" s="68" customFormat="1" ht="15" customHeight="1" outlineLevel="1" collapsed="1" x14ac:dyDescent="0.3">
      <c r="A68" s="20"/>
      <c r="B68" s="11" t="str">
        <f>CONCATENATE("     ","Bad Debts/Over/Short                              ")</f>
        <v xml:space="preserve">     Bad Debts/Over/Short                              </v>
      </c>
      <c r="C68" s="11"/>
      <c r="D68" s="2">
        <f>SUM(OSRRefD22_3x_0)</f>
        <v>0</v>
      </c>
      <c r="E68" s="2"/>
      <c r="F68" s="5">
        <f t="shared" si="12"/>
        <v>0</v>
      </c>
      <c r="G68" s="2"/>
      <c r="H68" s="2">
        <f>SUM(OSRRefH22_3x_0)</f>
        <v>0</v>
      </c>
      <c r="I68" s="2"/>
      <c r="J68" s="5">
        <f t="shared" si="13"/>
        <v>0</v>
      </c>
      <c r="K68" s="2"/>
      <c r="L68" s="2">
        <f t="shared" si="14"/>
        <v>0</v>
      </c>
      <c r="M68" s="2"/>
      <c r="N68" s="5">
        <f t="shared" si="15"/>
        <v>0</v>
      </c>
      <c r="O68" s="11"/>
      <c r="P68" s="2">
        <f>SUM(OSRRefP22_3x_0)</f>
        <v>-8.7799999999999994</v>
      </c>
      <c r="Q68" s="2"/>
      <c r="R68" s="5">
        <f t="shared" si="16"/>
        <v>-3.6483591753927065E-5</v>
      </c>
      <c r="S68" s="2"/>
      <c r="T68" s="2">
        <f>SUM(OSRRefT22_3x_0)</f>
        <v>1.1000000000000001</v>
      </c>
      <c r="U68" s="2"/>
      <c r="V68" s="5">
        <f t="shared" si="17"/>
        <v>5.1614307861516002E-5</v>
      </c>
      <c r="W68" s="2"/>
      <c r="X68" s="2">
        <f t="shared" si="18"/>
        <v>-9.879999999999999</v>
      </c>
      <c r="Y68" s="2"/>
      <c r="Z68" s="5">
        <f t="shared" si="19"/>
        <v>-8.9818181818181806</v>
      </c>
    </row>
    <row r="69" spans="1:26" s="69" customFormat="1" ht="15" hidden="1" customHeight="1" outlineLevel="2" x14ac:dyDescent="0.3">
      <c r="A69" s="21"/>
      <c r="B69" s="9" t="str">
        <f>CONCATENATE("          ","6272"," - ","CASH (OVER/SHORT)")</f>
        <v xml:space="preserve">          6272 - CASH (OVER/SHORT)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-8.7799999999999994</v>
      </c>
      <c r="Q69" s="3"/>
      <c r="R69" s="7">
        <f t="shared" si="16"/>
        <v>-3.6483591753927065E-5</v>
      </c>
      <c r="S69" s="3"/>
      <c r="T69" s="6">
        <v>1.1000000000000001</v>
      </c>
      <c r="U69" s="3"/>
      <c r="V69" s="7">
        <f t="shared" si="17"/>
        <v>5.1614307861516002E-5</v>
      </c>
      <c r="W69" s="3"/>
      <c r="X69" s="6">
        <f t="shared" si="18"/>
        <v>-9.879999999999999</v>
      </c>
      <c r="Y69" s="3"/>
      <c r="Z69" s="7">
        <f t="shared" si="19"/>
        <v>-8.9818181818181806</v>
      </c>
    </row>
    <row r="70" spans="1:26" s="68" customFormat="1" ht="15" customHeight="1" outlineLevel="1" collapsed="1" x14ac:dyDescent="0.3">
      <c r="A70" s="20"/>
      <c r="B70" s="11" t="str">
        <f>CONCATENATE("     ","Discounts and Markdowns                           ")</f>
        <v xml:space="preserve">     Discounts and Markdowns                           </v>
      </c>
      <c r="C70" s="11"/>
      <c r="D70" s="2">
        <f>SUM(OSRRefD22_4x_0)</f>
        <v>30.17</v>
      </c>
      <c r="E70" s="2"/>
      <c r="F70" s="5">
        <f t="shared" si="12"/>
        <v>0</v>
      </c>
      <c r="G70" s="2"/>
      <c r="H70" s="2">
        <f>SUM(OSRRefH22_4x_0)</f>
        <v>0</v>
      </c>
      <c r="I70" s="2"/>
      <c r="J70" s="5">
        <f t="shared" si="13"/>
        <v>0</v>
      </c>
      <c r="K70" s="2"/>
      <c r="L70" s="2">
        <f t="shared" si="14"/>
        <v>30.17</v>
      </c>
      <c r="M70" s="2"/>
      <c r="N70" s="5">
        <f t="shared" si="15"/>
        <v>0</v>
      </c>
      <c r="O70" s="11"/>
      <c r="P70" s="2">
        <f>SUM(OSRRefP22_4x_0)</f>
        <v>-8.93</v>
      </c>
      <c r="Q70" s="2"/>
      <c r="R70" s="5">
        <f t="shared" si="16"/>
        <v>-3.710688774061147E-5</v>
      </c>
      <c r="S70" s="2"/>
      <c r="T70" s="2">
        <f>SUM(OSRRefT22_4x_0)</f>
        <v>0</v>
      </c>
      <c r="U70" s="2"/>
      <c r="V70" s="5">
        <f t="shared" si="17"/>
        <v>0</v>
      </c>
      <c r="W70" s="2"/>
      <c r="X70" s="2">
        <f t="shared" si="18"/>
        <v>-8.93</v>
      </c>
      <c r="Y70" s="2"/>
      <c r="Z70" s="5">
        <f t="shared" si="19"/>
        <v>0</v>
      </c>
    </row>
    <row r="71" spans="1:26" s="69" customFormat="1" ht="15" hidden="1" customHeight="1" outlineLevel="2" x14ac:dyDescent="0.3">
      <c r="A71" s="21"/>
      <c r="B71" s="9" t="str">
        <f>CONCATENATE("          ","6382"," - ","DISCOUNTS/MARK DOWNS")</f>
        <v xml:space="preserve">          6382 - DISCOUNTS/MARK DOWNS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/>
      <c r="Q71" s="3"/>
      <c r="R71" s="7">
        <f t="shared" si="16"/>
        <v>0</v>
      </c>
      <c r="S71" s="3"/>
      <c r="T71" s="6">
        <v>0</v>
      </c>
      <c r="U71" s="3"/>
      <c r="V71" s="7">
        <f t="shared" si="17"/>
        <v>0</v>
      </c>
      <c r="W71" s="3"/>
      <c r="X71" s="6">
        <f t="shared" si="18"/>
        <v>0</v>
      </c>
      <c r="Y71" s="3"/>
      <c r="Z71" s="7">
        <f t="shared" si="19"/>
        <v>0</v>
      </c>
    </row>
    <row r="72" spans="1:26" s="69" customFormat="1" ht="15" hidden="1" customHeight="1" outlineLevel="2" x14ac:dyDescent="0.3">
      <c r="A72" s="21"/>
      <c r="B72" s="9" t="str">
        <f>CONCATENATE("          ","9175"," - ","EARNED DISCOUNTS")</f>
        <v xml:space="preserve">          9175 - EARNED DISCOUNTS</v>
      </c>
      <c r="C72" s="9"/>
      <c r="D72" s="6">
        <v>30.17</v>
      </c>
      <c r="E72" s="3"/>
      <c r="F72" s="7">
        <f t="shared" si="12"/>
        <v>0</v>
      </c>
      <c r="G72" s="3"/>
      <c r="H72" s="6"/>
      <c r="I72" s="3"/>
      <c r="J72" s="7">
        <f t="shared" si="13"/>
        <v>0</v>
      </c>
      <c r="K72" s="3"/>
      <c r="L72" s="6">
        <f t="shared" si="14"/>
        <v>30.17</v>
      </c>
      <c r="M72" s="3"/>
      <c r="N72" s="7">
        <f t="shared" si="15"/>
        <v>0</v>
      </c>
      <c r="O72" s="9"/>
      <c r="P72" s="6">
        <v>-8.93</v>
      </c>
      <c r="Q72" s="3"/>
      <c r="R72" s="7">
        <f t="shared" si="16"/>
        <v>-3.710688774061147E-5</v>
      </c>
      <c r="S72" s="3"/>
      <c r="T72" s="6">
        <v>0</v>
      </c>
      <c r="U72" s="3"/>
      <c r="V72" s="7">
        <f t="shared" si="17"/>
        <v>0</v>
      </c>
      <c r="W72" s="3"/>
      <c r="X72" s="6">
        <f t="shared" si="18"/>
        <v>-8.93</v>
      </c>
      <c r="Y72" s="3"/>
      <c r="Z72" s="7">
        <f t="shared" si="19"/>
        <v>0</v>
      </c>
    </row>
    <row r="73" spans="1:26" s="68" customFormat="1" ht="15" customHeight="1" outlineLevel="1" collapsed="1" x14ac:dyDescent="0.3">
      <c r="A73" s="20"/>
      <c r="B73" s="11" t="str">
        <f>CONCATENATE("     ","Freight out/Postage                               ")</f>
        <v xml:space="preserve">     Freight out/Postage                               </v>
      </c>
      <c r="C73" s="11"/>
      <c r="D73" s="2">
        <f>SUM(OSRRefD22_5x_0)</f>
        <v>0</v>
      </c>
      <c r="E73" s="2"/>
      <c r="F73" s="5">
        <f t="shared" si="12"/>
        <v>0</v>
      </c>
      <c r="G73" s="2"/>
      <c r="H73" s="2">
        <f>SUM(OSRRefH22_5x_0)</f>
        <v>0</v>
      </c>
      <c r="I73" s="2"/>
      <c r="J73" s="5">
        <f t="shared" si="13"/>
        <v>0</v>
      </c>
      <c r="K73" s="2"/>
      <c r="L73" s="2">
        <f t="shared" si="14"/>
        <v>0</v>
      </c>
      <c r="M73" s="2"/>
      <c r="N73" s="5">
        <f t="shared" si="15"/>
        <v>0</v>
      </c>
      <c r="O73" s="11"/>
      <c r="P73" s="2">
        <f>SUM(OSRRefP22_5x_0)</f>
        <v>54.5</v>
      </c>
      <c r="Q73" s="2"/>
      <c r="R73" s="5">
        <f t="shared" si="16"/>
        <v>2.2646420849533317E-4</v>
      </c>
      <c r="S73" s="2"/>
      <c r="T73" s="2">
        <f>SUM(OSRRefT22_5x_0)</f>
        <v>0</v>
      </c>
      <c r="U73" s="2"/>
      <c r="V73" s="5">
        <f t="shared" si="17"/>
        <v>0</v>
      </c>
      <c r="W73" s="2"/>
      <c r="X73" s="2">
        <f t="shared" si="18"/>
        <v>54.5</v>
      </c>
      <c r="Y73" s="2"/>
      <c r="Z73" s="5">
        <f t="shared" si="19"/>
        <v>0</v>
      </c>
    </row>
    <row r="74" spans="1:26" s="69" customFormat="1" ht="15" hidden="1" customHeight="1" outlineLevel="2" x14ac:dyDescent="0.3">
      <c r="A74" s="21"/>
      <c r="B74" s="9" t="str">
        <f>CONCATENATE("          ","6307"," - ","POSTAGE")</f>
        <v xml:space="preserve">          6307 - POSTAGE</v>
      </c>
      <c r="C74" s="9"/>
      <c r="D74" s="6"/>
      <c r="E74" s="3"/>
      <c r="F74" s="7">
        <f t="shared" si="12"/>
        <v>0</v>
      </c>
      <c r="G74" s="3"/>
      <c r="H74" s="6"/>
      <c r="I74" s="3"/>
      <c r="J74" s="7">
        <f t="shared" si="13"/>
        <v>0</v>
      </c>
      <c r="K74" s="3"/>
      <c r="L74" s="6">
        <f t="shared" si="14"/>
        <v>0</v>
      </c>
      <c r="M74" s="3"/>
      <c r="N74" s="7">
        <f t="shared" si="15"/>
        <v>0</v>
      </c>
      <c r="O74" s="9"/>
      <c r="P74" s="6">
        <v>54.5</v>
      </c>
      <c r="Q74" s="3"/>
      <c r="R74" s="7">
        <f t="shared" si="16"/>
        <v>2.2646420849533317E-4</v>
      </c>
      <c r="S74" s="3"/>
      <c r="T74" s="6"/>
      <c r="U74" s="3"/>
      <c r="V74" s="7">
        <f t="shared" si="17"/>
        <v>0</v>
      </c>
      <c r="W74" s="3"/>
      <c r="X74" s="6">
        <f t="shared" si="18"/>
        <v>54.5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0"/>
      <c r="B75" s="11" t="str">
        <f>CONCATENATE("     ","General                                           ")</f>
        <v xml:space="preserve">     General                                           </v>
      </c>
      <c r="C75" s="11"/>
      <c r="D75" s="2">
        <f>SUM(OSRRefD22_6x_0)</f>
        <v>0</v>
      </c>
      <c r="E75" s="2"/>
      <c r="F75" s="5">
        <f t="shared" si="12"/>
        <v>0</v>
      </c>
      <c r="G75" s="2"/>
      <c r="H75" s="2">
        <f>SUM(OSRRefH22_6x_0)</f>
        <v>0</v>
      </c>
      <c r="I75" s="2"/>
      <c r="J75" s="5">
        <f t="shared" si="13"/>
        <v>0</v>
      </c>
      <c r="K75" s="2"/>
      <c r="L75" s="2">
        <f t="shared" si="14"/>
        <v>0</v>
      </c>
      <c r="M75" s="2"/>
      <c r="N75" s="5">
        <f t="shared" si="15"/>
        <v>0</v>
      </c>
      <c r="O75" s="11"/>
      <c r="P75" s="2">
        <f>SUM(OSRRefP22_6x_0)</f>
        <v>1122.5899999999999</v>
      </c>
      <c r="Q75" s="2"/>
      <c r="R75" s="5">
        <f t="shared" si="16"/>
        <v>4.6647056112802945E-3</v>
      </c>
      <c r="S75" s="2"/>
      <c r="T75" s="2">
        <f>SUM(OSRRefT22_6x_0)</f>
        <v>879.55</v>
      </c>
      <c r="U75" s="2"/>
      <c r="V75" s="5">
        <f t="shared" si="17"/>
        <v>4.1270331345087632E-2</v>
      </c>
      <c r="W75" s="2"/>
      <c r="X75" s="2">
        <f t="shared" si="18"/>
        <v>243.03999999999996</v>
      </c>
      <c r="Y75" s="2"/>
      <c r="Z75" s="5">
        <f t="shared" si="19"/>
        <v>0.27632311977715873</v>
      </c>
    </row>
    <row r="76" spans="1:26" s="69" customFormat="1" ht="15" hidden="1" customHeight="1" outlineLevel="2" x14ac:dyDescent="0.3">
      <c r="A76" s="21"/>
      <c r="B76" s="9" t="str">
        <f>CONCATENATE("          ","6279"," - ","GENERAL EXPENSE")</f>
        <v xml:space="preserve">          6279 - GENERAL EXPENSE</v>
      </c>
      <c r="C76" s="9"/>
      <c r="D76" s="6"/>
      <c r="E76" s="3"/>
      <c r="F76" s="7">
        <f t="shared" si="12"/>
        <v>0</v>
      </c>
      <c r="G76" s="3"/>
      <c r="H76" s="6"/>
      <c r="I76" s="3"/>
      <c r="J76" s="7">
        <f t="shared" si="13"/>
        <v>0</v>
      </c>
      <c r="K76" s="3"/>
      <c r="L76" s="6">
        <f t="shared" si="14"/>
        <v>0</v>
      </c>
      <c r="M76" s="3"/>
      <c r="N76" s="7">
        <f t="shared" si="15"/>
        <v>0</v>
      </c>
      <c r="O76" s="9"/>
      <c r="P76" s="6">
        <v>1122.5899999999999</v>
      </c>
      <c r="Q76" s="3"/>
      <c r="R76" s="7">
        <f t="shared" si="16"/>
        <v>4.6647056112802945E-3</v>
      </c>
      <c r="S76" s="3"/>
      <c r="T76" s="6">
        <v>879.55</v>
      </c>
      <c r="U76" s="3"/>
      <c r="V76" s="7">
        <f t="shared" si="17"/>
        <v>4.1270331345087632E-2</v>
      </c>
      <c r="W76" s="3"/>
      <c r="X76" s="6">
        <f t="shared" si="18"/>
        <v>243.03999999999996</v>
      </c>
      <c r="Y76" s="3"/>
      <c r="Z76" s="7">
        <f t="shared" si="19"/>
        <v>0.27632311977715873</v>
      </c>
    </row>
    <row r="77" spans="1:26" s="68" customFormat="1" ht="15" customHeight="1" outlineLevel="1" collapsed="1" x14ac:dyDescent="0.3">
      <c r="A77" s="20"/>
      <c r="B77" s="11" t="str">
        <f>CONCATENATE("     ","Inventory Adjustment                              ")</f>
        <v xml:space="preserve">     Inventory Adjustment                              </v>
      </c>
      <c r="C77" s="11"/>
      <c r="D77" s="2">
        <f>SUM(OSRRefD22_7x_0)</f>
        <v>-7150</v>
      </c>
      <c r="E77" s="2"/>
      <c r="F77" s="5">
        <f t="shared" si="12"/>
        <v>0</v>
      </c>
      <c r="G77" s="2"/>
      <c r="H77" s="2">
        <f>SUM(OSRRefH22_7x_0)</f>
        <v>0</v>
      </c>
      <c r="I77" s="2"/>
      <c r="J77" s="5">
        <f t="shared" si="13"/>
        <v>0</v>
      </c>
      <c r="K77" s="2"/>
      <c r="L77" s="2">
        <f t="shared" si="14"/>
        <v>-7150</v>
      </c>
      <c r="M77" s="2"/>
      <c r="N77" s="5">
        <f t="shared" si="15"/>
        <v>0</v>
      </c>
      <c r="O77" s="11"/>
      <c r="P77" s="2">
        <f>SUM(OSRRefP22_7x_0)</f>
        <v>0</v>
      </c>
      <c r="Q77" s="2"/>
      <c r="R77" s="5">
        <f t="shared" si="16"/>
        <v>0</v>
      </c>
      <c r="S77" s="2"/>
      <c r="T77" s="2">
        <f>SUM(OSRRefT22_7x_0)</f>
        <v>0</v>
      </c>
      <c r="U77" s="2"/>
      <c r="V77" s="5">
        <f t="shared" si="17"/>
        <v>0</v>
      </c>
      <c r="W77" s="2"/>
      <c r="X77" s="2">
        <f t="shared" si="18"/>
        <v>0</v>
      </c>
      <c r="Y77" s="2"/>
      <c r="Z77" s="5">
        <f t="shared" si="19"/>
        <v>0</v>
      </c>
    </row>
    <row r="78" spans="1:26" s="69" customFormat="1" ht="15" hidden="1" customHeight="1" outlineLevel="2" x14ac:dyDescent="0.3">
      <c r="A78" s="21"/>
      <c r="B78" s="9" t="str">
        <f>CONCATENATE("          ","6408"," - ","INVENTORY ADJUSTMENT")</f>
        <v xml:space="preserve">          6408 - INVENTORY ADJUSTMENT</v>
      </c>
      <c r="C78" s="9"/>
      <c r="D78" s="6">
        <v>-7150</v>
      </c>
      <c r="E78" s="3"/>
      <c r="F78" s="7">
        <f t="shared" si="12"/>
        <v>0</v>
      </c>
      <c r="G78" s="3"/>
      <c r="H78" s="6"/>
      <c r="I78" s="3"/>
      <c r="J78" s="7">
        <f t="shared" si="13"/>
        <v>0</v>
      </c>
      <c r="K78" s="3"/>
      <c r="L78" s="6">
        <f t="shared" si="14"/>
        <v>-7150</v>
      </c>
      <c r="M78" s="3"/>
      <c r="N78" s="7">
        <f t="shared" si="15"/>
        <v>0</v>
      </c>
      <c r="O78" s="9"/>
      <c r="P78" s="6">
        <v>0</v>
      </c>
      <c r="Q78" s="3"/>
      <c r="R78" s="7">
        <f t="shared" si="16"/>
        <v>0</v>
      </c>
      <c r="S78" s="3"/>
      <c r="T78" s="6"/>
      <c r="U78" s="3"/>
      <c r="V78" s="7">
        <f t="shared" si="17"/>
        <v>0</v>
      </c>
      <c r="W78" s="3"/>
      <c r="X78" s="6">
        <f t="shared" si="18"/>
        <v>0</v>
      </c>
      <c r="Y78" s="3"/>
      <c r="Z78" s="7">
        <f t="shared" si="19"/>
        <v>0</v>
      </c>
    </row>
    <row r="79" spans="1:26" s="68" customFormat="1" ht="15" customHeight="1" outlineLevel="1" collapsed="1" x14ac:dyDescent="0.3">
      <c r="A79" s="20"/>
      <c r="B79" s="11" t="str">
        <f>CONCATENATE("     ","Repair and Maintenance                            ")</f>
        <v xml:space="preserve">     Repair and Maintenance                            </v>
      </c>
      <c r="C79" s="11"/>
      <c r="D79" s="2">
        <f>SUM(OSRRefD22_8x_0)</f>
        <v>0</v>
      </c>
      <c r="E79" s="2"/>
      <c r="F79" s="5">
        <f t="shared" si="12"/>
        <v>0</v>
      </c>
      <c r="G79" s="2"/>
      <c r="H79" s="2">
        <f>SUM(OSRRefH22_8x_0)</f>
        <v>61.11</v>
      </c>
      <c r="I79" s="2"/>
      <c r="J79" s="5">
        <f t="shared" si="13"/>
        <v>0</v>
      </c>
      <c r="K79" s="2"/>
      <c r="L79" s="2">
        <f t="shared" si="14"/>
        <v>-61.11</v>
      </c>
      <c r="M79" s="2"/>
      <c r="N79" s="5">
        <f t="shared" si="15"/>
        <v>-1</v>
      </c>
      <c r="O79" s="11"/>
      <c r="P79" s="2">
        <f>SUM(OSRRefP22_8x_0)</f>
        <v>1057.25</v>
      </c>
      <c r="Q79" s="2"/>
      <c r="R79" s="5">
        <f t="shared" si="16"/>
        <v>4.3931978794805688E-3</v>
      </c>
      <c r="S79" s="2"/>
      <c r="T79" s="2">
        <f>SUM(OSRRefT22_8x_0)</f>
        <v>323.04000000000002</v>
      </c>
      <c r="U79" s="2"/>
      <c r="V79" s="5">
        <f t="shared" si="17"/>
        <v>1.5157714555985573E-2</v>
      </c>
      <c r="W79" s="2"/>
      <c r="X79" s="2">
        <f t="shared" si="18"/>
        <v>734.21</v>
      </c>
      <c r="Y79" s="2"/>
      <c r="Z79" s="5">
        <f t="shared" si="19"/>
        <v>2.2728145121347203</v>
      </c>
    </row>
    <row r="80" spans="1:26" s="69" customFormat="1" ht="15" hidden="1" customHeight="1" outlineLevel="2" x14ac:dyDescent="0.3">
      <c r="A80" s="21"/>
      <c r="B80" s="9" t="str">
        <f>CONCATENATE("          ","6373"," - ","MAINTENANCE CONTRACTS")</f>
        <v xml:space="preserve">          6373 - MAINTENANCE CONTRACTS</v>
      </c>
      <c r="C80" s="9"/>
      <c r="D80" s="6"/>
      <c r="E80" s="3"/>
      <c r="F80" s="7">
        <f t="shared" si="12"/>
        <v>0</v>
      </c>
      <c r="G80" s="3"/>
      <c r="H80" s="6">
        <v>61.11</v>
      </c>
      <c r="I80" s="3"/>
      <c r="J80" s="7">
        <f t="shared" si="13"/>
        <v>0</v>
      </c>
      <c r="K80" s="3"/>
      <c r="L80" s="6">
        <f t="shared" si="14"/>
        <v>-61.11</v>
      </c>
      <c r="M80" s="3"/>
      <c r="N80" s="7">
        <f t="shared" si="15"/>
        <v>-1</v>
      </c>
      <c r="O80" s="9"/>
      <c r="P80" s="6">
        <v>339.23</v>
      </c>
      <c r="Q80" s="3"/>
      <c r="R80" s="7">
        <f t="shared" si="16"/>
        <v>1.4096046504196674E-3</v>
      </c>
      <c r="S80" s="3"/>
      <c r="T80" s="6">
        <v>323.04000000000002</v>
      </c>
      <c r="U80" s="3"/>
      <c r="V80" s="7">
        <f t="shared" si="17"/>
        <v>1.5157714555985573E-2</v>
      </c>
      <c r="W80" s="3"/>
      <c r="X80" s="6">
        <f t="shared" si="18"/>
        <v>16.189999999999998</v>
      </c>
      <c r="Y80" s="3"/>
      <c r="Z80" s="7">
        <f t="shared" si="19"/>
        <v>5.0117632491332331E-2</v>
      </c>
    </row>
    <row r="81" spans="1:26" s="69" customFormat="1" ht="15" hidden="1" customHeight="1" outlineLevel="2" x14ac:dyDescent="0.3">
      <c r="A81" s="21"/>
      <c r="B81" s="9" t="str">
        <f>CONCATENATE("          ","6375"," - ","OUTSIDE REPAIRS &amp; MAINTENANCE")</f>
        <v xml:space="preserve">          6375 - OUTSIDE REPAIRS &amp; MAINTENANCE</v>
      </c>
      <c r="C81" s="9"/>
      <c r="D81" s="6"/>
      <c r="E81" s="3"/>
      <c r="F81" s="7">
        <f t="shared" si="12"/>
        <v>0</v>
      </c>
      <c r="G81" s="3"/>
      <c r="H81" s="6"/>
      <c r="I81" s="3"/>
      <c r="J81" s="7">
        <f t="shared" si="13"/>
        <v>0</v>
      </c>
      <c r="K81" s="3"/>
      <c r="L81" s="6">
        <f t="shared" si="14"/>
        <v>0</v>
      </c>
      <c r="M81" s="3"/>
      <c r="N81" s="7">
        <f t="shared" si="15"/>
        <v>0</v>
      </c>
      <c r="O81" s="9"/>
      <c r="P81" s="6">
        <v>718.02</v>
      </c>
      <c r="Q81" s="3"/>
      <c r="R81" s="7">
        <f t="shared" si="16"/>
        <v>2.9835932290609014E-3</v>
      </c>
      <c r="S81" s="3"/>
      <c r="T81" s="6"/>
      <c r="U81" s="3"/>
      <c r="V81" s="7">
        <f t="shared" si="17"/>
        <v>0</v>
      </c>
      <c r="W81" s="3"/>
      <c r="X81" s="6">
        <f t="shared" si="18"/>
        <v>718.02</v>
      </c>
      <c r="Y81" s="3"/>
      <c r="Z81" s="7">
        <f t="shared" si="19"/>
        <v>0</v>
      </c>
    </row>
    <row r="82" spans="1:26" s="68" customFormat="1" ht="15" customHeight="1" outlineLevel="1" collapsed="1" x14ac:dyDescent="0.3">
      <c r="A82" s="20"/>
      <c r="B82" s="11" t="str">
        <f>CONCATENATE("     ","Services                                          ")</f>
        <v xml:space="preserve">     Services                                          </v>
      </c>
      <c r="C82" s="11"/>
      <c r="D82" s="2">
        <f>SUM(OSRRefD22_9x_0)</f>
        <v>1444.14</v>
      </c>
      <c r="E82" s="2"/>
      <c r="F82" s="5">
        <f t="shared" si="12"/>
        <v>0</v>
      </c>
      <c r="G82" s="2"/>
      <c r="H82" s="2">
        <f>SUM(OSRRefH22_9x_0)</f>
        <v>0</v>
      </c>
      <c r="I82" s="2"/>
      <c r="J82" s="5">
        <f t="shared" si="13"/>
        <v>0</v>
      </c>
      <c r="K82" s="2"/>
      <c r="L82" s="2">
        <f t="shared" si="14"/>
        <v>1444.14</v>
      </c>
      <c r="M82" s="2"/>
      <c r="N82" s="5">
        <f t="shared" si="15"/>
        <v>0</v>
      </c>
      <c r="O82" s="11"/>
      <c r="P82" s="2">
        <f>SUM(OSRRefP22_9x_0)</f>
        <v>6079.1399999999994</v>
      </c>
      <c r="Q82" s="2"/>
      <c r="R82" s="5">
        <f t="shared" si="16"/>
        <v>2.5260690429950817E-2</v>
      </c>
      <c r="S82" s="2"/>
      <c r="T82" s="2">
        <f>SUM(OSRRefT22_9x_0)</f>
        <v>18.5</v>
      </c>
      <c r="U82" s="2"/>
      <c r="V82" s="5">
        <f t="shared" si="17"/>
        <v>8.6805881403458724E-4</v>
      </c>
      <c r="W82" s="2"/>
      <c r="X82" s="2">
        <f t="shared" si="18"/>
        <v>6060.6399999999994</v>
      </c>
      <c r="Y82" s="2"/>
      <c r="Z82" s="5">
        <f t="shared" si="19"/>
        <v>327.60216216216213</v>
      </c>
    </row>
    <row r="83" spans="1:26" s="69" customFormat="1" ht="15" hidden="1" customHeight="1" outlineLevel="2" x14ac:dyDescent="0.3">
      <c r="A83" s="21"/>
      <c r="B83" s="9" t="str">
        <f>CONCATENATE("          ","6282"," - ","JANITORIAL/EXTERMINATOR EXPENS")</f>
        <v xml:space="preserve">          6282 - JANITORIAL/EXTERMINATOR EXPENS</v>
      </c>
      <c r="C83" s="9"/>
      <c r="D83" s="6">
        <v>69</v>
      </c>
      <c r="E83" s="3"/>
      <c r="F83" s="7">
        <f t="shared" si="12"/>
        <v>0</v>
      </c>
      <c r="G83" s="3"/>
      <c r="H83" s="6"/>
      <c r="I83" s="3"/>
      <c r="J83" s="7">
        <f t="shared" si="13"/>
        <v>0</v>
      </c>
      <c r="K83" s="3"/>
      <c r="L83" s="6">
        <f t="shared" si="14"/>
        <v>69</v>
      </c>
      <c r="M83" s="3"/>
      <c r="N83" s="7">
        <f t="shared" si="15"/>
        <v>0</v>
      </c>
      <c r="O83" s="9"/>
      <c r="P83" s="6">
        <v>1043.5999999999999</v>
      </c>
      <c r="Q83" s="3"/>
      <c r="R83" s="7">
        <f t="shared" si="16"/>
        <v>4.336477944692288E-3</v>
      </c>
      <c r="S83" s="3"/>
      <c r="T83" s="6">
        <v>176</v>
      </c>
      <c r="U83" s="3"/>
      <c r="V83" s="7">
        <f t="shared" si="17"/>
        <v>8.2582892578425601E-3</v>
      </c>
      <c r="W83" s="3"/>
      <c r="X83" s="6">
        <f t="shared" si="18"/>
        <v>867.59999999999991</v>
      </c>
      <c r="Y83" s="3"/>
      <c r="Z83" s="7">
        <f t="shared" si="19"/>
        <v>4.9295454545454538</v>
      </c>
    </row>
    <row r="84" spans="1:26" s="69" customFormat="1" ht="15" hidden="1" customHeight="1" outlineLevel="2" x14ac:dyDescent="0.3">
      <c r="A84" s="21"/>
      <c r="B84" s="9" t="str">
        <f>CONCATENATE("          ","6285"," - ","JANITORIAL SERVICES")</f>
        <v xml:space="preserve">          6285 - JANITORIAL SERVICES</v>
      </c>
      <c r="C84" s="9"/>
      <c r="D84" s="6">
        <v>1375.14</v>
      </c>
      <c r="E84" s="3"/>
      <c r="F84" s="7">
        <f t="shared" si="12"/>
        <v>0</v>
      </c>
      <c r="G84" s="3"/>
      <c r="H84" s="6"/>
      <c r="I84" s="3"/>
      <c r="J84" s="7">
        <f t="shared" si="13"/>
        <v>0</v>
      </c>
      <c r="K84" s="3"/>
      <c r="L84" s="6">
        <f t="shared" si="14"/>
        <v>1375.14</v>
      </c>
      <c r="M84" s="3"/>
      <c r="N84" s="7">
        <f t="shared" si="15"/>
        <v>0</v>
      </c>
      <c r="O84" s="9"/>
      <c r="P84" s="6">
        <v>5035.54</v>
      </c>
      <c r="Q84" s="3"/>
      <c r="R84" s="7">
        <f t="shared" si="16"/>
        <v>2.0924212485258532E-2</v>
      </c>
      <c r="S84" s="3"/>
      <c r="T84" s="6">
        <v>-157.5</v>
      </c>
      <c r="U84" s="3"/>
      <c r="V84" s="7">
        <f t="shared" si="17"/>
        <v>-7.3902304438079732E-3</v>
      </c>
      <c r="W84" s="3"/>
      <c r="X84" s="6">
        <f t="shared" si="18"/>
        <v>5193.04</v>
      </c>
      <c r="Y84" s="3"/>
      <c r="Z84" s="7">
        <f t="shared" si="19"/>
        <v>-32.97168253968254</v>
      </c>
    </row>
    <row r="85" spans="1:26" s="68" customFormat="1" ht="15" customHeight="1" outlineLevel="1" collapsed="1" x14ac:dyDescent="0.3">
      <c r="A85" s="20"/>
      <c r="B85" s="11" t="str">
        <f>CONCATENATE("     ","Subscriptions &amp; Dues                              ")</f>
        <v xml:space="preserve">     Subscriptions &amp; Dues                              </v>
      </c>
      <c r="C85" s="11"/>
      <c r="D85" s="2">
        <f>SUM(OSRRefD22_10x_0)</f>
        <v>0</v>
      </c>
      <c r="E85" s="2"/>
      <c r="F85" s="5">
        <f t="shared" si="12"/>
        <v>0</v>
      </c>
      <c r="G85" s="2"/>
      <c r="H85" s="2">
        <f>SUM(OSRRefH22_10x_0)</f>
        <v>0</v>
      </c>
      <c r="I85" s="2"/>
      <c r="J85" s="5">
        <f t="shared" si="13"/>
        <v>0</v>
      </c>
      <c r="K85" s="2"/>
      <c r="L85" s="2">
        <f t="shared" si="14"/>
        <v>0</v>
      </c>
      <c r="M85" s="2"/>
      <c r="N85" s="5">
        <f t="shared" si="15"/>
        <v>0</v>
      </c>
      <c r="O85" s="11"/>
      <c r="P85" s="2">
        <f>SUM(OSRRefP22_10x_0)</f>
        <v>45.27</v>
      </c>
      <c r="Q85" s="2"/>
      <c r="R85" s="5">
        <f t="shared" si="16"/>
        <v>1.8811072878135291E-4</v>
      </c>
      <c r="S85" s="2"/>
      <c r="T85" s="2">
        <f>SUM(OSRRefT22_10x_0)</f>
        <v>0</v>
      </c>
      <c r="U85" s="2"/>
      <c r="V85" s="5">
        <f t="shared" si="17"/>
        <v>0</v>
      </c>
      <c r="W85" s="2"/>
      <c r="X85" s="2">
        <f t="shared" si="18"/>
        <v>45.27</v>
      </c>
      <c r="Y85" s="2"/>
      <c r="Z85" s="5">
        <f t="shared" si="19"/>
        <v>0</v>
      </c>
    </row>
    <row r="86" spans="1:26" s="69" customFormat="1" ht="15" hidden="1" customHeight="1" outlineLevel="2" x14ac:dyDescent="0.3">
      <c r="A86" s="21"/>
      <c r="B86" s="9" t="str">
        <f>CONCATENATE("          ","6258"," - ","MEMBERSHIP DUES")</f>
        <v xml:space="preserve">          6258 - MEMBERSHIP DUES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>
        <v>45.27</v>
      </c>
      <c r="Q86" s="3"/>
      <c r="R86" s="7">
        <f t="shared" si="16"/>
        <v>1.8811072878135291E-4</v>
      </c>
      <c r="S86" s="3"/>
      <c r="T86" s="6"/>
      <c r="U86" s="3"/>
      <c r="V86" s="7">
        <f t="shared" si="17"/>
        <v>0</v>
      </c>
      <c r="W86" s="3"/>
      <c r="X86" s="6">
        <f t="shared" si="18"/>
        <v>45.27</v>
      </c>
      <c r="Y86" s="3"/>
      <c r="Z86" s="7">
        <f t="shared" si="19"/>
        <v>0</v>
      </c>
    </row>
    <row r="87" spans="1:26" s="68" customFormat="1" ht="15" customHeight="1" outlineLevel="1" collapsed="1" x14ac:dyDescent="0.3">
      <c r="A87" s="20"/>
      <c r="B87" s="11" t="str">
        <f>CONCATENATE("     ","Supplies                                          ")</f>
        <v xml:space="preserve">     Supplies                                          </v>
      </c>
      <c r="C87" s="11"/>
      <c r="D87" s="2">
        <f>SUM(OSRRefD22_11x_0)</f>
        <v>51.4</v>
      </c>
      <c r="E87" s="2"/>
      <c r="F87" s="5">
        <f t="shared" si="12"/>
        <v>0</v>
      </c>
      <c r="G87" s="2"/>
      <c r="H87" s="2">
        <f>SUM(OSRRefH22_11x_0)</f>
        <v>0</v>
      </c>
      <c r="I87" s="2"/>
      <c r="J87" s="5">
        <f t="shared" si="13"/>
        <v>0</v>
      </c>
      <c r="K87" s="2"/>
      <c r="L87" s="2">
        <f t="shared" si="14"/>
        <v>51.4</v>
      </c>
      <c r="M87" s="2"/>
      <c r="N87" s="5">
        <f t="shared" si="15"/>
        <v>0</v>
      </c>
      <c r="O87" s="11"/>
      <c r="P87" s="2">
        <f>SUM(OSRRefP22_11x_0)</f>
        <v>1973.7399999999998</v>
      </c>
      <c r="Q87" s="2"/>
      <c r="R87" s="5">
        <f t="shared" si="16"/>
        <v>8.2014948050564921E-3</v>
      </c>
      <c r="S87" s="2"/>
      <c r="T87" s="2">
        <f>SUM(OSRRefT22_11x_0)</f>
        <v>1892.27</v>
      </c>
      <c r="U87" s="2"/>
      <c r="V87" s="5">
        <f t="shared" si="17"/>
        <v>8.8789278488282622E-2</v>
      </c>
      <c r="W87" s="2"/>
      <c r="X87" s="2">
        <f t="shared" si="18"/>
        <v>81.4699999999998</v>
      </c>
      <c r="Y87" s="2"/>
      <c r="Z87" s="5">
        <f t="shared" si="19"/>
        <v>4.3054109614378396E-2</v>
      </c>
    </row>
    <row r="88" spans="1:26" s="69" customFormat="1" ht="15" hidden="1" customHeight="1" outlineLevel="2" x14ac:dyDescent="0.3">
      <c r="A88" s="21"/>
      <c r="B88" s="9" t="str">
        <f>CONCATENATE("          ","6234"," - ","EXPENDABLE SUPPLIES &amp; EQUIPMEN")</f>
        <v xml:space="preserve">          6234 - EXPENDABLE SUPPLIES &amp; EQUIPMEN</v>
      </c>
      <c r="C88" s="9"/>
      <c r="D88" s="6"/>
      <c r="E88" s="3"/>
      <c r="F88" s="7">
        <f t="shared" si="12"/>
        <v>0</v>
      </c>
      <c r="G88" s="3"/>
      <c r="H88" s="6"/>
      <c r="I88" s="3"/>
      <c r="J88" s="7">
        <f t="shared" si="13"/>
        <v>0</v>
      </c>
      <c r="K88" s="3"/>
      <c r="L88" s="6">
        <f t="shared" si="14"/>
        <v>0</v>
      </c>
      <c r="M88" s="3"/>
      <c r="N88" s="7">
        <f t="shared" si="15"/>
        <v>0</v>
      </c>
      <c r="O88" s="9"/>
      <c r="P88" s="6">
        <v>1393.55</v>
      </c>
      <c r="Q88" s="3"/>
      <c r="R88" s="7">
        <f t="shared" si="16"/>
        <v>5.7906274816270009E-3</v>
      </c>
      <c r="S88" s="3"/>
      <c r="T88" s="6"/>
      <c r="U88" s="3"/>
      <c r="V88" s="7">
        <f t="shared" si="17"/>
        <v>0</v>
      </c>
      <c r="W88" s="3"/>
      <c r="X88" s="6">
        <f t="shared" si="18"/>
        <v>1393.55</v>
      </c>
      <c r="Y88" s="3"/>
      <c r="Z88" s="7">
        <f t="shared" si="19"/>
        <v>0</v>
      </c>
    </row>
    <row r="89" spans="1:26" s="69" customFormat="1" ht="15" hidden="1" customHeight="1" outlineLevel="2" x14ac:dyDescent="0.3">
      <c r="A89" s="21"/>
      <c r="B89" s="9" t="str">
        <f>CONCATENATE("          ","6235"," - ","COVID-19 EXPENSES")</f>
        <v xml:space="preserve">          6235 - COVID-19 EXPENSES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/>
      <c r="Q89" s="3"/>
      <c r="R89" s="7">
        <f t="shared" si="16"/>
        <v>0</v>
      </c>
      <c r="S89" s="3"/>
      <c r="T89" s="6">
        <v>444.3</v>
      </c>
      <c r="U89" s="3"/>
      <c r="V89" s="7">
        <f t="shared" si="17"/>
        <v>2.0847488166246871E-2</v>
      </c>
      <c r="W89" s="3"/>
      <c r="X89" s="6">
        <f t="shared" si="18"/>
        <v>-444.3</v>
      </c>
      <c r="Y89" s="3"/>
      <c r="Z89" s="7">
        <f t="shared" si="19"/>
        <v>-1</v>
      </c>
    </row>
    <row r="90" spans="1:26" s="69" customFormat="1" ht="15" hidden="1" customHeight="1" outlineLevel="2" x14ac:dyDescent="0.3">
      <c r="A90" s="21"/>
      <c r="B90" s="9" t="str">
        <f>CONCATENATE("          ","6241"," - ","OFFICE EXPENSE")</f>
        <v xml:space="preserve">          6241 - OFFICE EXPENSE</v>
      </c>
      <c r="C90" s="9"/>
      <c r="D90" s="6">
        <v>51.4</v>
      </c>
      <c r="E90" s="3"/>
      <c r="F90" s="7">
        <f t="shared" si="12"/>
        <v>0</v>
      </c>
      <c r="G90" s="3"/>
      <c r="H90" s="6"/>
      <c r="I90" s="3"/>
      <c r="J90" s="7">
        <f t="shared" si="13"/>
        <v>0</v>
      </c>
      <c r="K90" s="3"/>
      <c r="L90" s="6">
        <f t="shared" si="14"/>
        <v>51.4</v>
      </c>
      <c r="M90" s="3"/>
      <c r="N90" s="7">
        <f t="shared" si="15"/>
        <v>0</v>
      </c>
      <c r="O90" s="9"/>
      <c r="P90" s="6">
        <v>370.61</v>
      </c>
      <c r="Q90" s="3"/>
      <c r="R90" s="7">
        <f t="shared" si="16"/>
        <v>1.5399981708340447E-3</v>
      </c>
      <c r="S90" s="3"/>
      <c r="T90" s="6">
        <v>225.24</v>
      </c>
      <c r="U90" s="3"/>
      <c r="V90" s="7">
        <f t="shared" si="17"/>
        <v>1.056873336611624E-2</v>
      </c>
      <c r="W90" s="3"/>
      <c r="X90" s="6">
        <f t="shared" si="18"/>
        <v>145.37</v>
      </c>
      <c r="Y90" s="3"/>
      <c r="Z90" s="7">
        <f t="shared" si="19"/>
        <v>0.64540046172971055</v>
      </c>
    </row>
    <row r="91" spans="1:26" s="69" customFormat="1" ht="15" hidden="1" customHeight="1" outlineLevel="2" x14ac:dyDescent="0.3">
      <c r="A91" s="21"/>
      <c r="B91" s="9" t="str">
        <f>CONCATENATE("          ","6247"," - ","STORE SUPPLIES")</f>
        <v xml:space="preserve">          6247 - STORE SUPPLIES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209.58</v>
      </c>
      <c r="Q91" s="3"/>
      <c r="R91" s="7">
        <f t="shared" si="16"/>
        <v>8.7086915259544824E-4</v>
      </c>
      <c r="S91" s="3"/>
      <c r="T91" s="6">
        <v>1222.73</v>
      </c>
      <c r="U91" s="3"/>
      <c r="V91" s="7">
        <f t="shared" si="17"/>
        <v>5.7373056955919509E-2</v>
      </c>
      <c r="W91" s="3"/>
      <c r="X91" s="6">
        <f t="shared" si="18"/>
        <v>-1013.15</v>
      </c>
      <c r="Y91" s="3"/>
      <c r="Z91" s="7">
        <f t="shared" si="19"/>
        <v>-0.82859666484015271</v>
      </c>
    </row>
    <row r="92" spans="1:26" s="68" customFormat="1" ht="15" customHeight="1" outlineLevel="1" collapsed="1" x14ac:dyDescent="0.3">
      <c r="A92" s="20"/>
      <c r="B92" s="11" t="str">
        <f>CONCATENATE("     ","Telephone/Data Lines                              ")</f>
        <v xml:space="preserve">     Telephone/Data Lines                              </v>
      </c>
      <c r="C92" s="11"/>
      <c r="D92" s="2">
        <f>SUM(OSRRefD22_12x_0)</f>
        <v>37</v>
      </c>
      <c r="E92" s="2"/>
      <c r="F92" s="5">
        <f t="shared" si="12"/>
        <v>0</v>
      </c>
      <c r="G92" s="2"/>
      <c r="H92" s="2">
        <f>SUM(OSRRefH22_12x_0)</f>
        <v>53</v>
      </c>
      <c r="I92" s="2"/>
      <c r="J92" s="5">
        <f t="shared" si="13"/>
        <v>0</v>
      </c>
      <c r="K92" s="2"/>
      <c r="L92" s="2">
        <f t="shared" si="14"/>
        <v>-16</v>
      </c>
      <c r="M92" s="2"/>
      <c r="N92" s="5">
        <f t="shared" si="15"/>
        <v>-0.30188679245283018</v>
      </c>
      <c r="O92" s="11"/>
      <c r="P92" s="2">
        <f>SUM(OSRRefP22_12x_0)</f>
        <v>503.94</v>
      </c>
      <c r="Q92" s="2"/>
      <c r="R92" s="5">
        <f t="shared" si="16"/>
        <v>2.0940251968649213E-3</v>
      </c>
      <c r="S92" s="2"/>
      <c r="T92" s="2">
        <f>SUM(OSRRefT22_12x_0)</f>
        <v>684.05</v>
      </c>
      <c r="U92" s="2"/>
      <c r="V92" s="5">
        <f t="shared" si="17"/>
        <v>3.2097061175154561E-2</v>
      </c>
      <c r="W92" s="2"/>
      <c r="X92" s="2">
        <f t="shared" si="18"/>
        <v>-180.10999999999996</v>
      </c>
      <c r="Y92" s="2"/>
      <c r="Z92" s="5">
        <f t="shared" si="19"/>
        <v>-0.26329946641327384</v>
      </c>
    </row>
    <row r="93" spans="1:26" s="69" customFormat="1" ht="15" hidden="1" customHeight="1" outlineLevel="2" x14ac:dyDescent="0.3">
      <c r="A93" s="21"/>
      <c r="B93" s="9" t="str">
        <f>CONCATENATE("          ","6309"," - ","TELEPHONE")</f>
        <v xml:space="preserve">          6309 - TELEPHONE</v>
      </c>
      <c r="C93" s="9"/>
      <c r="D93" s="6">
        <v>37</v>
      </c>
      <c r="E93" s="3"/>
      <c r="F93" s="7">
        <f t="shared" si="12"/>
        <v>0</v>
      </c>
      <c r="G93" s="3"/>
      <c r="H93" s="6">
        <v>53</v>
      </c>
      <c r="I93" s="3"/>
      <c r="J93" s="7">
        <f t="shared" si="13"/>
        <v>0</v>
      </c>
      <c r="K93" s="3"/>
      <c r="L93" s="6">
        <f t="shared" si="14"/>
        <v>-16</v>
      </c>
      <c r="M93" s="3"/>
      <c r="N93" s="7">
        <f t="shared" si="15"/>
        <v>-0.30188679245283018</v>
      </c>
      <c r="O93" s="9"/>
      <c r="P93" s="6">
        <v>503.94</v>
      </c>
      <c r="Q93" s="3"/>
      <c r="R93" s="7">
        <f t="shared" si="16"/>
        <v>2.0940251968649213E-3</v>
      </c>
      <c r="S93" s="3"/>
      <c r="T93" s="6">
        <v>684.05</v>
      </c>
      <c r="U93" s="3"/>
      <c r="V93" s="7">
        <f t="shared" si="17"/>
        <v>3.2097061175154561E-2</v>
      </c>
      <c r="W93" s="3"/>
      <c r="X93" s="6">
        <f t="shared" si="18"/>
        <v>-180.10999999999996</v>
      </c>
      <c r="Y93" s="3"/>
      <c r="Z93" s="7">
        <f t="shared" si="19"/>
        <v>-0.26329946641327384</v>
      </c>
    </row>
    <row r="94" spans="1:26" s="68" customFormat="1" ht="15" customHeight="1" outlineLevel="1" collapsed="1" x14ac:dyDescent="0.3">
      <c r="A94" s="20"/>
      <c r="B94" s="11" t="str">
        <f>CONCATENATE("     ","Training                                          ")</f>
        <v xml:space="preserve">     Training                                          </v>
      </c>
      <c r="C94" s="11"/>
      <c r="D94" s="2">
        <f>SUM(OSRRefD22_13x_0)</f>
        <v>0</v>
      </c>
      <c r="E94" s="2"/>
      <c r="F94" s="5">
        <f t="shared" si="12"/>
        <v>0</v>
      </c>
      <c r="G94" s="2"/>
      <c r="H94" s="2">
        <f>SUM(OSRRefH22_13x_0)</f>
        <v>0</v>
      </c>
      <c r="I94" s="2"/>
      <c r="J94" s="5">
        <f t="shared" si="13"/>
        <v>0</v>
      </c>
      <c r="K94" s="2"/>
      <c r="L94" s="2">
        <f t="shared" si="14"/>
        <v>0</v>
      </c>
      <c r="M94" s="2"/>
      <c r="N94" s="5">
        <f t="shared" si="15"/>
        <v>0</v>
      </c>
      <c r="O94" s="11"/>
      <c r="P94" s="2">
        <f>SUM(OSRRefP22_13x_0)</f>
        <v>0</v>
      </c>
      <c r="Q94" s="2"/>
      <c r="R94" s="5">
        <f t="shared" si="16"/>
        <v>0</v>
      </c>
      <c r="S94" s="2"/>
      <c r="T94" s="2">
        <f>SUM(OSRRefT22_13x_0)</f>
        <v>14</v>
      </c>
      <c r="U94" s="2"/>
      <c r="V94" s="5">
        <f t="shared" si="17"/>
        <v>6.5690937278293094E-4</v>
      </c>
      <c r="W94" s="2"/>
      <c r="X94" s="2">
        <f t="shared" si="18"/>
        <v>-14</v>
      </c>
      <c r="Y94" s="2"/>
      <c r="Z94" s="5">
        <f t="shared" si="19"/>
        <v>-1</v>
      </c>
    </row>
    <row r="95" spans="1:26" s="69" customFormat="1" ht="15" hidden="1" customHeight="1" outlineLevel="2" x14ac:dyDescent="0.3">
      <c r="A95" s="21"/>
      <c r="B95" s="9" t="str">
        <f>CONCATENATE("          ","6376"," - ","TRAINING")</f>
        <v xml:space="preserve">          6376 - TRAINING</v>
      </c>
      <c r="C95" s="9"/>
      <c r="D95" s="6"/>
      <c r="E95" s="3"/>
      <c r="F95" s="7">
        <f t="shared" si="12"/>
        <v>0</v>
      </c>
      <c r="G95" s="3"/>
      <c r="H95" s="6"/>
      <c r="I95" s="3"/>
      <c r="J95" s="7">
        <f t="shared" si="13"/>
        <v>0</v>
      </c>
      <c r="K95" s="3"/>
      <c r="L95" s="6">
        <f t="shared" si="14"/>
        <v>0</v>
      </c>
      <c r="M95" s="3"/>
      <c r="N95" s="7">
        <f t="shared" si="15"/>
        <v>0</v>
      </c>
      <c r="O95" s="9"/>
      <c r="P95" s="6"/>
      <c r="Q95" s="3"/>
      <c r="R95" s="7">
        <f t="shared" si="16"/>
        <v>0</v>
      </c>
      <c r="S95" s="3"/>
      <c r="T95" s="6">
        <v>14</v>
      </c>
      <c r="U95" s="3"/>
      <c r="V95" s="7">
        <f t="shared" si="17"/>
        <v>6.5690937278293094E-4</v>
      </c>
      <c r="W95" s="3"/>
      <c r="X95" s="6">
        <f t="shared" si="18"/>
        <v>-14</v>
      </c>
      <c r="Y95" s="3"/>
      <c r="Z95" s="7">
        <f t="shared" si="19"/>
        <v>-1</v>
      </c>
    </row>
    <row r="96" spans="1:26" s="64" customFormat="1" ht="15" customHeight="1" x14ac:dyDescent="0.3">
      <c r="A96" s="37"/>
      <c r="B96" s="37"/>
      <c r="C96" s="37"/>
      <c r="D96" s="2"/>
      <c r="E96" s="2"/>
      <c r="F96" s="5"/>
      <c r="G96" s="2"/>
      <c r="H96" s="2"/>
      <c r="I96" s="2"/>
      <c r="J96" s="5"/>
      <c r="K96" s="2"/>
      <c r="L96" s="2"/>
      <c r="M96" s="2"/>
      <c r="N96" s="5"/>
      <c r="O96" s="37"/>
      <c r="P96" s="2"/>
      <c r="Q96" s="2"/>
      <c r="R96" s="5"/>
      <c r="S96" s="2"/>
      <c r="T96" s="2"/>
      <c r="U96" s="2"/>
      <c r="V96" s="5"/>
      <c r="W96" s="2"/>
      <c r="X96" s="2"/>
      <c r="Y96" s="2"/>
      <c r="Z96" s="5"/>
    </row>
    <row r="97" spans="1:26" s="62" customFormat="1" ht="15" customHeight="1" x14ac:dyDescent="0.3">
      <c r="A97" s="13"/>
      <c r="B97" s="27" t="s">
        <v>290</v>
      </c>
      <c r="C97" s="13"/>
      <c r="D97" s="8">
        <f>SUM(0)</f>
        <v>0</v>
      </c>
      <c r="E97" s="8"/>
      <c r="F97" s="14">
        <f>IF(D$12=0,0,D97/D$12)</f>
        <v>0</v>
      </c>
      <c r="G97" s="8"/>
      <c r="H97" s="8">
        <f>SUM(0)</f>
        <v>0</v>
      </c>
      <c r="I97" s="8"/>
      <c r="J97" s="14">
        <f>IF(H$12=0,0,H97/H$12)</f>
        <v>0</v>
      </c>
      <c r="K97" s="8"/>
      <c r="L97" s="8">
        <f>+D97-H97</f>
        <v>0</v>
      </c>
      <c r="M97" s="8"/>
      <c r="N97" s="14">
        <f>IF(H97=0,0,L97/H97)</f>
        <v>0</v>
      </c>
      <c r="O97" s="13"/>
      <c r="P97" s="8">
        <f>SUM(0)</f>
        <v>0</v>
      </c>
      <c r="Q97" s="8"/>
      <c r="R97" s="14">
        <f>IF(P$12=0,0,P97/P$12)</f>
        <v>0</v>
      </c>
      <c r="S97" s="8"/>
      <c r="T97" s="8">
        <f>SUM(0)</f>
        <v>0</v>
      </c>
      <c r="U97" s="8"/>
      <c r="V97" s="14">
        <f>IF(T$12=0,0,T97/T$12)</f>
        <v>0</v>
      </c>
      <c r="W97" s="8"/>
      <c r="X97" s="8">
        <f>+P97-T97</f>
        <v>0</v>
      </c>
      <c r="Y97" s="8"/>
      <c r="Z97" s="14">
        <f>IF(T97=0,0,X97/T97)</f>
        <v>0</v>
      </c>
    </row>
    <row r="98" spans="1:26" ht="15" customHeight="1" x14ac:dyDescent="0.3">
      <c r="A98" s="12"/>
      <c r="B98" s="13"/>
      <c r="C98" s="13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O98" s="13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2" customFormat="1" ht="15" customHeight="1" x14ac:dyDescent="0.3">
      <c r="A99" s="13"/>
      <c r="B99" s="28" t="s">
        <v>291</v>
      </c>
      <c r="C99" s="28"/>
      <c r="D99" s="22">
        <f>+D50-D52+D97</f>
        <v>50694.41</v>
      </c>
      <c r="E99" s="15"/>
      <c r="F99" s="24">
        <f>IF(D$12=0,0,D99/D$12)</f>
        <v>0</v>
      </c>
      <c r="G99" s="15"/>
      <c r="H99" s="22">
        <f>+H50-H52+H97</f>
        <v>-175083.1</v>
      </c>
      <c r="I99" s="15"/>
      <c r="J99" s="24">
        <f>IF(H$12=0,0,H99/H$12)</f>
        <v>0</v>
      </c>
      <c r="K99" s="17"/>
      <c r="L99" s="22">
        <f>+D99-H99</f>
        <v>225777.51</v>
      </c>
      <c r="M99" s="17"/>
      <c r="N99" s="24">
        <f>IF(H99=0,0,L99/H99)</f>
        <v>-1.289544850416745</v>
      </c>
      <c r="O99" s="27"/>
      <c r="P99" s="22">
        <f>+P50-P52+P97</f>
        <v>89718.629999999946</v>
      </c>
      <c r="Q99" s="15"/>
      <c r="R99" s="24">
        <f>IF(P$12=0,0,P99/P$12)</f>
        <v>0.37280841339881909</v>
      </c>
      <c r="S99" s="15"/>
      <c r="T99" s="22">
        <f>+T50-T52+T97</f>
        <v>-180346.55999999997</v>
      </c>
      <c r="U99" s="15"/>
      <c r="V99" s="24">
        <f>IF(T$12=0,0,T99/T$12)</f>
        <v>-8.4622389723685139</v>
      </c>
      <c r="W99" s="17"/>
      <c r="X99" s="22">
        <f>+P99-T99</f>
        <v>270065.18999999994</v>
      </c>
      <c r="Y99" s="17"/>
      <c r="Z99" s="24">
        <f>IF(T99=0,0,X99/T99)</f>
        <v>-1.4974790203927371</v>
      </c>
    </row>
    <row r="100" spans="1:26" ht="15" customHeight="1" x14ac:dyDescent="0.3">
      <c r="A100" s="12"/>
      <c r="B100" s="13"/>
      <c r="C100" s="12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2" customFormat="1" ht="15" customHeight="1" x14ac:dyDescent="0.3">
      <c r="A101" s="48"/>
      <c r="B101" s="13" t="s">
        <v>292</v>
      </c>
      <c r="C101" s="13"/>
      <c r="D101" s="8">
        <v>-54800.79</v>
      </c>
      <c r="E101" s="8"/>
      <c r="F101" s="14">
        <f>IF(D$12=0,0,D101/D$12)</f>
        <v>0</v>
      </c>
      <c r="G101" s="8"/>
      <c r="H101" s="8">
        <v>1344.87</v>
      </c>
      <c r="I101" s="8"/>
      <c r="J101" s="14">
        <f>IF(H$12=0,0,H101/H$12)</f>
        <v>0</v>
      </c>
      <c r="K101" s="8"/>
      <c r="L101" s="8">
        <f>+D101-H101</f>
        <v>-56145.66</v>
      </c>
      <c r="M101" s="8"/>
      <c r="N101" s="14">
        <f>IF(H101=0,0,L101/H101)</f>
        <v>-41.748020254745818</v>
      </c>
      <c r="O101" s="13"/>
      <c r="P101" s="8">
        <v>-27744.94</v>
      </c>
      <c r="Q101" s="8"/>
      <c r="R101" s="14">
        <f>IF(P$12=0,0,P101/P$12)</f>
        <v>-0.11528873168533044</v>
      </c>
      <c r="S101" s="8"/>
      <c r="T101" s="8">
        <v>5899.03</v>
      </c>
      <c r="U101" s="8"/>
      <c r="V101" s="14">
        <f>IF(T$12=0,0,T101/T$12)</f>
        <v>0.27679486409483522</v>
      </c>
      <c r="W101" s="8"/>
      <c r="X101" s="8">
        <f>+P101-T101</f>
        <v>-33643.97</v>
      </c>
      <c r="Y101" s="8"/>
      <c r="Z101" s="14">
        <f>IF(T101=0,0,X101/T101)</f>
        <v>-5.7033054586940573</v>
      </c>
    </row>
    <row r="102" spans="1:26" ht="15" customHeight="1" x14ac:dyDescent="0.3">
      <c r="A102" s="12"/>
      <c r="B102" s="13"/>
      <c r="C102" s="13"/>
      <c r="D102" s="4"/>
      <c r="E102" s="4"/>
      <c r="F102" s="10"/>
      <c r="G102" s="4"/>
      <c r="H102" s="4"/>
      <c r="I102" s="4"/>
      <c r="J102" s="10"/>
      <c r="K102" s="4"/>
      <c r="L102" s="4"/>
      <c r="M102" s="4"/>
      <c r="N102" s="10"/>
      <c r="O102" s="13"/>
      <c r="P102" s="4"/>
      <c r="Q102" s="4"/>
      <c r="R102" s="10"/>
      <c r="S102" s="4"/>
      <c r="T102" s="4"/>
      <c r="U102" s="4"/>
      <c r="V102" s="10"/>
      <c r="W102" s="4"/>
      <c r="X102" s="4"/>
      <c r="Y102" s="4"/>
      <c r="Z102" s="10"/>
    </row>
    <row r="103" spans="1:26" s="62" customFormat="1" ht="15" customHeight="1" x14ac:dyDescent="0.3">
      <c r="A103" s="13"/>
      <c r="B103" s="28" t="s">
        <v>293</v>
      </c>
      <c r="C103" s="28"/>
      <c r="D103" s="29">
        <f>+D99-D101</f>
        <v>105495.20000000001</v>
      </c>
      <c r="E103" s="15"/>
      <c r="F103" s="31">
        <f>IF(D$12=0,0,D103/D$12)</f>
        <v>0</v>
      </c>
      <c r="G103" s="15"/>
      <c r="H103" s="29">
        <f>+H99-H101</f>
        <v>-176427.97</v>
      </c>
      <c r="I103" s="15"/>
      <c r="J103" s="31">
        <f>IF(H$12=0,0,H103/H$12)</f>
        <v>0</v>
      </c>
      <c r="K103" s="17"/>
      <c r="L103" s="29">
        <f>D103-H103</f>
        <v>281923.17000000004</v>
      </c>
      <c r="M103" s="17"/>
      <c r="N103" s="31">
        <f>IF(H103=0,0,L103/H103)</f>
        <v>-1.5979505403820042</v>
      </c>
      <c r="O103" s="27"/>
      <c r="P103" s="29">
        <f>+P99-P101</f>
        <v>117463.56999999995</v>
      </c>
      <c r="Q103" s="15"/>
      <c r="R103" s="31">
        <f>IF(P$12=0,0,P103/P$12)</f>
        <v>0.48809714508414959</v>
      </c>
      <c r="S103" s="15"/>
      <c r="T103" s="29">
        <f>+T99-T101</f>
        <v>-186245.58999999997</v>
      </c>
      <c r="U103" s="15"/>
      <c r="V103" s="31">
        <f>IF(T$12=0,0,T103/T$12)</f>
        <v>-8.7390338364633493</v>
      </c>
      <c r="W103" s="17"/>
      <c r="X103" s="29">
        <f>P103-T103</f>
        <v>303709.15999999992</v>
      </c>
      <c r="Y103" s="17"/>
      <c r="Z103" s="31">
        <f>IF(T103=0,0,X103/T103)</f>
        <v>-1.630691819333816</v>
      </c>
    </row>
    <row r="104" spans="1:26" ht="15" customHeight="1" x14ac:dyDescent="0.3">
      <c r="A104" s="12"/>
      <c r="B104" s="12"/>
      <c r="C104" s="12"/>
      <c r="D104" s="4"/>
      <c r="E104" s="4"/>
      <c r="F104" s="10"/>
      <c r="G104" s="4"/>
      <c r="H104" s="4"/>
      <c r="I104" s="4"/>
      <c r="J104" s="10"/>
      <c r="K104" s="4"/>
      <c r="L104" s="4"/>
      <c r="M104" s="4"/>
      <c r="N104" s="10"/>
      <c r="P104" s="4"/>
      <c r="Q104" s="4"/>
      <c r="R104" s="10"/>
      <c r="S104" s="4"/>
      <c r="T104" s="4"/>
      <c r="U104" s="4"/>
      <c r="V104" s="10"/>
      <c r="W104" s="4"/>
      <c r="X104" s="4"/>
      <c r="Y104" s="4"/>
      <c r="Z104" s="10"/>
    </row>
    <row r="105" spans="1:26" ht="15" customHeight="1" x14ac:dyDescent="0.3">
      <c r="A105" s="12"/>
      <c r="B105" s="12"/>
      <c r="C105" s="12"/>
      <c r="D105" s="4"/>
      <c r="E105" s="4"/>
      <c r="F105" s="10"/>
      <c r="G105" s="4"/>
      <c r="H105" s="4"/>
      <c r="I105" s="4"/>
      <c r="J105" s="10"/>
      <c r="K105" s="4"/>
      <c r="L105" s="4"/>
      <c r="M105" s="4"/>
      <c r="N105" s="10"/>
      <c r="P105" s="4"/>
      <c r="Q105" s="4"/>
      <c r="R105" s="10"/>
      <c r="S105" s="4"/>
      <c r="T105" s="4"/>
      <c r="U105" s="4"/>
      <c r="V105" s="10"/>
      <c r="W105" s="4"/>
      <c r="X105" s="4"/>
      <c r="Y105" s="4"/>
      <c r="Z105" s="10"/>
    </row>
    <row r="106" spans="1:26" s="62" customFormat="1" ht="15" customHeight="1" x14ac:dyDescent="0.3">
      <c r="A106" s="13"/>
      <c r="B106" s="28" t="s">
        <v>296</v>
      </c>
      <c r="C106" s="28"/>
      <c r="D106" s="30">
        <f>SUM(D103:D105)</f>
        <v>105495.20000000001</v>
      </c>
      <c r="E106" s="15"/>
      <c r="F106" s="35">
        <f>IF(D$12=0,0,D106/D$12)</f>
        <v>0</v>
      </c>
      <c r="G106" s="15"/>
      <c r="H106" s="30">
        <f>SUM(H103:H105)</f>
        <v>-176427.97</v>
      </c>
      <c r="I106" s="15"/>
      <c r="J106" s="35">
        <f>IF(H$12=0,0,H106/H$12)</f>
        <v>0</v>
      </c>
      <c r="K106" s="17"/>
      <c r="L106" s="30">
        <f>+D106-H106</f>
        <v>281923.17000000004</v>
      </c>
      <c r="M106" s="17"/>
      <c r="N106" s="35">
        <f>IF(H106=0,0,L106/H106)</f>
        <v>-1.5979505403820042</v>
      </c>
      <c r="O106" s="27"/>
      <c r="P106" s="30">
        <f>SUM(P103:P105)</f>
        <v>117463.56999999995</v>
      </c>
      <c r="Q106" s="15"/>
      <c r="R106" s="35">
        <f>IF(P$12=0,0,P106/P$12)</f>
        <v>0.48809714508414959</v>
      </c>
      <c r="S106" s="15"/>
      <c r="T106" s="30">
        <f>SUM(T103:T105)</f>
        <v>-186245.58999999997</v>
      </c>
      <c r="U106" s="15"/>
      <c r="V106" s="35">
        <f>IF(T$12=0,0,T106/T$12)</f>
        <v>-8.7390338364633493</v>
      </c>
      <c r="W106" s="17"/>
      <c r="X106" s="30">
        <f>+P106-T106</f>
        <v>303709.15999999992</v>
      </c>
      <c r="Y106" s="17"/>
      <c r="Z106" s="35">
        <f>IF(T106=0,0,X106/T106)</f>
        <v>-1.630691819333816</v>
      </c>
    </row>
    <row r="107" spans="1:26" ht="15" customHeight="1" x14ac:dyDescent="0.3">
      <c r="A107" s="12"/>
      <c r="C107" s="12"/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2"/>
      <c r="B108" s="54">
        <v>44767.815885219905</v>
      </c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A109" s="12"/>
      <c r="B109" s="53" t="s">
        <v>297</v>
      </c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  <row r="110" spans="1:26" ht="15" customHeight="1" x14ac:dyDescent="0.3">
      <c r="A110" s="12"/>
      <c r="B110" s="51"/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60019-FBF2-A672-D72A-B2ACEEBD6882}">
  <sheetPr>
    <tabColor rgb="FFFFFF00"/>
    <outlinePr summaryBelow="0" summaryRight="0"/>
  </sheetPr>
  <dimension ref="A2:Z17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282453.05</v>
      </c>
      <c r="E12" s="8"/>
      <c r="F12" s="14"/>
      <c r="G12" s="8"/>
      <c r="H12" s="8">
        <f>SUM(OSRRefH13x_0)</f>
        <v>255640.00000000003</v>
      </c>
      <c r="I12" s="8"/>
      <c r="J12" s="14"/>
      <c r="K12" s="8"/>
      <c r="L12" s="8">
        <f t="shared" ref="L12:L55" si="0">+D12-H12</f>
        <v>26813.049999999959</v>
      </c>
      <c r="M12" s="8"/>
      <c r="N12" s="14">
        <f t="shared" ref="N12:N55" si="1">IF(H12=0,0,L12/H12)</f>
        <v>0.1048859724612735</v>
      </c>
      <c r="O12" s="13"/>
      <c r="P12" s="8">
        <f>SUM(OSRRefP13x_0)</f>
        <v>5102278.129999999</v>
      </c>
      <c r="Q12" s="8"/>
      <c r="R12" s="14"/>
      <c r="S12" s="8"/>
      <c r="T12" s="8">
        <f>SUM(OSRRefT13x_0)</f>
        <v>2572755.8200000008</v>
      </c>
      <c r="U12" s="8"/>
      <c r="V12" s="14"/>
      <c r="W12" s="8"/>
      <c r="X12" s="8">
        <f t="shared" ref="X12:X55" si="2">+P12-T12</f>
        <v>2529522.3099999982</v>
      </c>
      <c r="Y12" s="8"/>
      <c r="Z12" s="14">
        <f t="shared" ref="Z12:Z55" si="3">IF(T12=0,0,X12/T12)</f>
        <v>0.98319564194008802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--278306.49</f>
        <v>278306.49</v>
      </c>
      <c r="E13" s="3"/>
      <c r="F13" s="26"/>
      <c r="G13" s="3"/>
      <c r="H13" s="3">
        <f>-6259.7</f>
        <v>-6259.7</v>
      </c>
      <c r="I13" s="3"/>
      <c r="J13" s="26"/>
      <c r="K13" s="3"/>
      <c r="L13" s="3">
        <f t="shared" si="0"/>
        <v>284566.19</v>
      </c>
      <c r="M13" s="3"/>
      <c r="N13" s="26">
        <f t="shared" si="1"/>
        <v>-45.460036423470775</v>
      </c>
      <c r="O13" s="9"/>
      <c r="P13" s="3">
        <f>--4821259.76</f>
        <v>4821259.76</v>
      </c>
      <c r="Q13" s="3"/>
      <c r="R13" s="26"/>
      <c r="S13" s="3"/>
      <c r="T13" s="3">
        <f>-140321.65</f>
        <v>-140321.65</v>
      </c>
      <c r="U13" s="3"/>
      <c r="V13" s="26"/>
      <c r="W13" s="3"/>
      <c r="X13" s="3">
        <f t="shared" si="2"/>
        <v>4961581.41</v>
      </c>
      <c r="Y13" s="3"/>
      <c r="Z13" s="26">
        <f t="shared" si="3"/>
        <v>-35.358630760114352</v>
      </c>
    </row>
    <row r="14" spans="1:26" s="69" customFormat="1" ht="15" hidden="1" customHeight="1" outlineLevel="1" x14ac:dyDescent="0.3">
      <c r="A14" s="47"/>
      <c r="B14" s="9" t="str">
        <f>CONCATENATE("          ","4026"," - ","TAXABLE SALES-WRITING INSTRUME")</f>
        <v xml:space="preserve">          4026 - TAXABLE SALES-WRITING INSTRUME</v>
      </c>
      <c r="C14" s="9"/>
      <c r="D14" s="3">
        <f>0</f>
        <v>0</v>
      </c>
      <c r="E14" s="3"/>
      <c r="F14" s="26"/>
      <c r="G14" s="3"/>
      <c r="H14" s="3">
        <f>--25.1</f>
        <v>25.1</v>
      </c>
      <c r="I14" s="3"/>
      <c r="J14" s="26"/>
      <c r="K14" s="3"/>
      <c r="L14" s="3">
        <f t="shared" si="0"/>
        <v>-25.1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--530.13</f>
        <v>530.13</v>
      </c>
      <c r="U14" s="3"/>
      <c r="V14" s="26"/>
      <c r="W14" s="3"/>
      <c r="X14" s="3">
        <f t="shared" si="2"/>
        <v>-530.13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","4027"," - ","TAXABLE SALES-SCHOOL SUPPLIES")</f>
        <v xml:space="preserve">          4027 - TAXABLE SALES-SCHOOL SUPPLIES</v>
      </c>
      <c r="C15" s="9"/>
      <c r="D15" s="3">
        <f>0</f>
        <v>0</v>
      </c>
      <c r="E15" s="3"/>
      <c r="F15" s="26"/>
      <c r="G15" s="3"/>
      <c r="H15" s="3">
        <f>--3459.71</f>
        <v>3459.71</v>
      </c>
      <c r="I15" s="3"/>
      <c r="J15" s="26"/>
      <c r="K15" s="3"/>
      <c r="L15" s="3">
        <f t="shared" si="0"/>
        <v>-3459.71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--65573.68</f>
        <v>65573.679999999993</v>
      </c>
      <c r="U15" s="3"/>
      <c r="V15" s="26"/>
      <c r="W15" s="3"/>
      <c r="X15" s="3">
        <f t="shared" si="2"/>
        <v>-65573.679999999993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","4028"," - ","TAXABLE SALES-ART/TECH")</f>
        <v xml:space="preserve">          4028 - TAXABLE SALES-ART/TECH</v>
      </c>
      <c r="C16" s="9"/>
      <c r="D16" s="3">
        <f>0</f>
        <v>0</v>
      </c>
      <c r="E16" s="3"/>
      <c r="F16" s="26"/>
      <c r="G16" s="3"/>
      <c r="H16" s="3">
        <f>--2312.88</f>
        <v>2312.88</v>
      </c>
      <c r="I16" s="3"/>
      <c r="J16" s="26"/>
      <c r="K16" s="3"/>
      <c r="L16" s="3">
        <f t="shared" si="0"/>
        <v>-2312.88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--38229.15</f>
        <v>38229.15</v>
      </c>
      <c r="U16" s="3"/>
      <c r="V16" s="26"/>
      <c r="W16" s="3"/>
      <c r="X16" s="3">
        <f t="shared" si="2"/>
        <v>-38229.15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","4031"," - ","TAXABLE SALES-FOOD")</f>
        <v xml:space="preserve">          4031 - TAXABLE SALES-FOOD</v>
      </c>
      <c r="C17" s="9"/>
      <c r="D17" s="3">
        <f>0</f>
        <v>0</v>
      </c>
      <c r="E17" s="3"/>
      <c r="F17" s="26"/>
      <c r="G17" s="3"/>
      <c r="H17" s="3">
        <f>--380.76</f>
        <v>380.76</v>
      </c>
      <c r="I17" s="3"/>
      <c r="J17" s="26"/>
      <c r="K17" s="3"/>
      <c r="L17" s="3">
        <f t="shared" si="0"/>
        <v>-380.76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--4706.92</f>
        <v>4706.92</v>
      </c>
      <c r="U17" s="3"/>
      <c r="V17" s="26"/>
      <c r="W17" s="3"/>
      <c r="X17" s="3">
        <f t="shared" si="2"/>
        <v>-4706.92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","4034"," - ","TAXABLE SALES-SODA")</f>
        <v xml:space="preserve">          4034 - TAXABLE SALES-SODA</v>
      </c>
      <c r="C18" s="9"/>
      <c r="D18" s="3">
        <f>0</f>
        <v>0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>
        <f>--6.78</f>
        <v>6.78</v>
      </c>
      <c r="U18" s="3"/>
      <c r="V18" s="26"/>
      <c r="W18" s="3"/>
      <c r="X18" s="3">
        <f t="shared" si="2"/>
        <v>-6.78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","4040"," - ","TAXABLE SALES-LOGO CLOTHING")</f>
        <v xml:space="preserve">          4040 - TAXABLE SALES-LOGO CLOTHING</v>
      </c>
      <c r="C19" s="9"/>
      <c r="D19" s="3">
        <f>0</f>
        <v>0</v>
      </c>
      <c r="E19" s="3"/>
      <c r="F19" s="26"/>
      <c r="G19" s="3"/>
      <c r="H19" s="3">
        <f>--109798.76</f>
        <v>109798.76</v>
      </c>
      <c r="I19" s="3"/>
      <c r="J19" s="26"/>
      <c r="K19" s="3"/>
      <c r="L19" s="3">
        <f t="shared" si="0"/>
        <v>-109798.76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--1210378.91</f>
        <v>1210378.9099999999</v>
      </c>
      <c r="U19" s="3"/>
      <c r="V19" s="26"/>
      <c r="W19" s="3"/>
      <c r="X19" s="3">
        <f t="shared" si="2"/>
        <v>-1210378.9099999999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","4041"," - ","TAXABLE SALES-LOGO GIFTS")</f>
        <v xml:space="preserve">          4041 - TAXABLE SALES-LOGO GIFTS</v>
      </c>
      <c r="C20" s="9"/>
      <c r="D20" s="3">
        <f>0</f>
        <v>0</v>
      </c>
      <c r="E20" s="3"/>
      <c r="F20" s="26"/>
      <c r="G20" s="3"/>
      <c r="H20" s="3">
        <f>--80214.77</f>
        <v>80214.77</v>
      </c>
      <c r="I20" s="3"/>
      <c r="J20" s="26"/>
      <c r="K20" s="3"/>
      <c r="L20" s="3">
        <f t="shared" si="0"/>
        <v>-80214.77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--618685.64</f>
        <v>618685.64</v>
      </c>
      <c r="U20" s="3"/>
      <c r="V20" s="26"/>
      <c r="W20" s="3"/>
      <c r="X20" s="3">
        <f t="shared" si="2"/>
        <v>-618685.64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","4042"," - ","TAXABLE SALES-EVERYDAY GIFTS")</f>
        <v xml:space="preserve">          4042 - TAXABLE SALES-EVERYDAY GIFTS</v>
      </c>
      <c r="C21" s="9"/>
      <c r="D21" s="3">
        <f>0</f>
        <v>0</v>
      </c>
      <c r="E21" s="3"/>
      <c r="F21" s="26"/>
      <c r="G21" s="3"/>
      <c r="H21" s="3">
        <f>--4764.33</f>
        <v>4764.33</v>
      </c>
      <c r="I21" s="3"/>
      <c r="J21" s="26"/>
      <c r="K21" s="3"/>
      <c r="L21" s="3">
        <f t="shared" si="0"/>
        <v>-4764.33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--95345.21</f>
        <v>95345.21</v>
      </c>
      <c r="U21" s="3"/>
      <c r="V21" s="26"/>
      <c r="W21" s="3"/>
      <c r="X21" s="3">
        <f t="shared" si="2"/>
        <v>-95345.21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","4043"," - ","TAXABLE SALES-CARDS")</f>
        <v xml:space="preserve">          4043 - TAXABLE SALES-CARDS</v>
      </c>
      <c r="C22" s="9"/>
      <c r="D22" s="3">
        <f>0</f>
        <v>0</v>
      </c>
      <c r="E22" s="3"/>
      <c r="F22" s="26"/>
      <c r="G22" s="3"/>
      <c r="H22" s="3">
        <f>--2905.23</f>
        <v>2905.23</v>
      </c>
      <c r="I22" s="3"/>
      <c r="J22" s="26"/>
      <c r="K22" s="3"/>
      <c r="L22" s="3">
        <f t="shared" si="0"/>
        <v>-2905.23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--146920.75</f>
        <v>146920.75</v>
      </c>
      <c r="U22" s="3"/>
      <c r="V22" s="26"/>
      <c r="W22" s="3"/>
      <c r="X22" s="3">
        <f t="shared" si="2"/>
        <v>-146920.75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","4044"," - ","TAXABLE SALES-ACCESSORIES")</f>
        <v xml:space="preserve">          4044 - TAXABLE SALES-ACCESSORIES</v>
      </c>
      <c r="C23" s="9"/>
      <c r="D23" s="3">
        <f>0</f>
        <v>0</v>
      </c>
      <c r="E23" s="3"/>
      <c r="F23" s="26"/>
      <c r="G23" s="3"/>
      <c r="H23" s="3">
        <f>--2172.33</f>
        <v>2172.33</v>
      </c>
      <c r="I23" s="3"/>
      <c r="J23" s="26"/>
      <c r="K23" s="3"/>
      <c r="L23" s="3">
        <f t="shared" si="0"/>
        <v>-2172.33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--43288.66</f>
        <v>43288.66</v>
      </c>
      <c r="U23" s="3"/>
      <c r="V23" s="26"/>
      <c r="W23" s="3"/>
      <c r="X23" s="3">
        <f t="shared" si="2"/>
        <v>-43288.66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","4045"," - ","TAXABLE SALES-SPECIAL ORDERS")</f>
        <v xml:space="preserve">          4045 - TAXABLE SALES-SPECIAL ORDERS</v>
      </c>
      <c r="C24" s="9"/>
      <c r="D24" s="3">
        <f>0</f>
        <v>0</v>
      </c>
      <c r="E24" s="3"/>
      <c r="F24" s="26"/>
      <c r="G24" s="3"/>
      <c r="H24" s="3">
        <f>--81300.55</f>
        <v>81300.55</v>
      </c>
      <c r="I24" s="3"/>
      <c r="J24" s="26"/>
      <c r="K24" s="3"/>
      <c r="L24" s="3">
        <f t="shared" si="0"/>
        <v>-81300.55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--314878.48</f>
        <v>314878.48</v>
      </c>
      <c r="U24" s="3"/>
      <c r="V24" s="26"/>
      <c r="W24" s="3"/>
      <c r="X24" s="3">
        <f t="shared" si="2"/>
        <v>-314878.48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","4100"," - ","NON-TAXABLE SALES")</f>
        <v xml:space="preserve">          4100 - NON-TAXABLE SALES</v>
      </c>
      <c r="C25" s="9"/>
      <c r="D25" s="3">
        <f>--30713.63</f>
        <v>30713.63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30713.63</v>
      </c>
      <c r="M25" s="3"/>
      <c r="N25" s="26">
        <f t="shared" si="1"/>
        <v>0</v>
      </c>
      <c r="O25" s="9"/>
      <c r="P25" s="3">
        <f>--582801.63</f>
        <v>582801.63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582801.63</v>
      </c>
      <c r="Y25" s="3"/>
      <c r="Z25" s="26">
        <f t="shared" si="3"/>
        <v>0</v>
      </c>
    </row>
    <row r="26" spans="1:26" s="69" customFormat="1" ht="15" hidden="1" customHeight="1" outlineLevel="1" x14ac:dyDescent="0.3">
      <c r="A26" s="47"/>
      <c r="B26" s="9" t="str">
        <f>CONCATENATE("          ","4126"," - ","NON-TAXABLE SALES-WRITING INST")</f>
        <v xml:space="preserve">          4126 - NON-TAXABLE SALES-WRITING INST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--52.68</f>
        <v>52.68</v>
      </c>
      <c r="U26" s="3"/>
      <c r="V26" s="26"/>
      <c r="W26" s="3"/>
      <c r="X26" s="3">
        <f t="shared" si="2"/>
        <v>-52.68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","4127"," - ","NON-TAXABLE SALES-SCHOOL SUPPL")</f>
        <v xml:space="preserve">          4127 - NON-TAXABLE SALES-SCHOOL SUPPL</v>
      </c>
      <c r="C27" s="9"/>
      <c r="D27" s="3">
        <f>0</f>
        <v>0</v>
      </c>
      <c r="E27" s="3"/>
      <c r="F27" s="26"/>
      <c r="G27" s="3"/>
      <c r="H27" s="3">
        <f>--99.87</f>
        <v>99.87</v>
      </c>
      <c r="I27" s="3"/>
      <c r="J27" s="26"/>
      <c r="K27" s="3"/>
      <c r="L27" s="3">
        <f t="shared" si="0"/>
        <v>-99.87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--7748.6</f>
        <v>7748.6</v>
      </c>
      <c r="U27" s="3"/>
      <c r="V27" s="26"/>
      <c r="W27" s="3"/>
      <c r="X27" s="3">
        <f t="shared" si="2"/>
        <v>-7748.6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","4128"," - ","NON-TAXABLE SALES-ART/TECH")</f>
        <v xml:space="preserve">          4128 - NON-TAXABLE SALES-ART/TECH</v>
      </c>
      <c r="C28" s="9"/>
      <c r="D28" s="3">
        <f>0</f>
        <v>0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0</v>
      </c>
      <c r="M28" s="3"/>
      <c r="N28" s="26">
        <f t="shared" si="1"/>
        <v>0</v>
      </c>
      <c r="O28" s="9"/>
      <c r="P28" s="3">
        <f>0</f>
        <v>0</v>
      </c>
      <c r="Q28" s="3"/>
      <c r="R28" s="26"/>
      <c r="S28" s="3"/>
      <c r="T28" s="3">
        <f>--115.91</f>
        <v>115.91</v>
      </c>
      <c r="U28" s="3"/>
      <c r="V28" s="26"/>
      <c r="W28" s="3"/>
      <c r="X28" s="3">
        <f t="shared" si="2"/>
        <v>-115.91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","4131"," - ","NON-TAXABLE SALES-FOOD")</f>
        <v xml:space="preserve">          4131 - NON-TAXABLE SALES-FOOD</v>
      </c>
      <c r="C29" s="9"/>
      <c r="D29" s="3">
        <f>0</f>
        <v>0</v>
      </c>
      <c r="E29" s="3"/>
      <c r="F29" s="26"/>
      <c r="G29" s="3"/>
      <c r="H29" s="3">
        <f>--540.62</f>
        <v>540.62</v>
      </c>
      <c r="I29" s="3"/>
      <c r="J29" s="26"/>
      <c r="K29" s="3"/>
      <c r="L29" s="3">
        <f t="shared" si="0"/>
        <v>-540.62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--10849.6</f>
        <v>10849.6</v>
      </c>
      <c r="U29" s="3"/>
      <c r="V29" s="26"/>
      <c r="W29" s="3"/>
      <c r="X29" s="3">
        <f t="shared" si="2"/>
        <v>-10849.6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","4132"," - ","NON-TAXABLE SALES-JUICE")</f>
        <v xml:space="preserve">          4132 - NON-TAXABLE SALES-JUICE</v>
      </c>
      <c r="C30" s="9"/>
      <c r="D30" s="3">
        <f>0</f>
        <v>0</v>
      </c>
      <c r="E30" s="3"/>
      <c r="F30" s="26"/>
      <c r="G30" s="3"/>
      <c r="H30" s="3">
        <f>0</f>
        <v>0</v>
      </c>
      <c r="I30" s="3"/>
      <c r="J30" s="26"/>
      <c r="K30" s="3"/>
      <c r="L30" s="3">
        <f t="shared" si="0"/>
        <v>0</v>
      </c>
      <c r="M30" s="3"/>
      <c r="N30" s="26">
        <f t="shared" si="1"/>
        <v>0</v>
      </c>
      <c r="O30" s="9"/>
      <c r="P30" s="3">
        <f>0</f>
        <v>0</v>
      </c>
      <c r="Q30" s="3"/>
      <c r="R30" s="26"/>
      <c r="S30" s="3"/>
      <c r="T30" s="3">
        <f>--22.49</f>
        <v>22.49</v>
      </c>
      <c r="U30" s="3"/>
      <c r="V30" s="26"/>
      <c r="W30" s="3"/>
      <c r="X30" s="3">
        <f t="shared" si="2"/>
        <v>-22.49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","4133"," - ","NON-TAXABLE SALES-CANDY")</f>
        <v xml:space="preserve">          4133 - NON-TAXABLE SALES-CANDY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0</f>
        <v>0</v>
      </c>
      <c r="Q31" s="3"/>
      <c r="R31" s="26"/>
      <c r="S31" s="3"/>
      <c r="T31" s="3">
        <f>--80.71</f>
        <v>80.709999999999994</v>
      </c>
      <c r="U31" s="3"/>
      <c r="V31" s="26"/>
      <c r="W31" s="3"/>
      <c r="X31" s="3">
        <f t="shared" si="2"/>
        <v>-80.709999999999994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","4134"," - ","NON-TAXABLE SALES-SODA")</f>
        <v xml:space="preserve">          4134 - NON-TAXABLE SALES-SODA</v>
      </c>
      <c r="C32" s="9"/>
      <c r="D32" s="3">
        <f>0</f>
        <v>0</v>
      </c>
      <c r="E32" s="3"/>
      <c r="F32" s="26"/>
      <c r="G32" s="3"/>
      <c r="H32" s="3">
        <f>0</f>
        <v>0</v>
      </c>
      <c r="I32" s="3"/>
      <c r="J32" s="26"/>
      <c r="K32" s="3"/>
      <c r="L32" s="3">
        <f t="shared" si="0"/>
        <v>0</v>
      </c>
      <c r="M32" s="3"/>
      <c r="N32" s="26">
        <f t="shared" si="1"/>
        <v>0</v>
      </c>
      <c r="O32" s="9"/>
      <c r="P32" s="3">
        <f>0</f>
        <v>0</v>
      </c>
      <c r="Q32" s="3"/>
      <c r="R32" s="26"/>
      <c r="S32" s="3"/>
      <c r="T32" s="3">
        <f>--45.53</f>
        <v>45.53</v>
      </c>
      <c r="U32" s="3"/>
      <c r="V32" s="26"/>
      <c r="W32" s="3"/>
      <c r="X32" s="3">
        <f t="shared" si="2"/>
        <v>-45.53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","4137"," - ","NON-TAXABLE SALES-WATER")</f>
        <v xml:space="preserve">          4137 - NON-TAXABLE SALES-WATER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--68.25</f>
        <v>68.25</v>
      </c>
      <c r="U33" s="3"/>
      <c r="V33" s="26"/>
      <c r="W33" s="3"/>
      <c r="X33" s="3">
        <f t="shared" si="2"/>
        <v>-68.25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","4140"," - ","NON-TAXABLE SALES-LOGO CLOTHIN")</f>
        <v xml:space="preserve">          4140 - NON-TAXABLE SALES-LOGO CLOTHIN</v>
      </c>
      <c r="C34" s="9"/>
      <c r="D34" s="3">
        <f>0</f>
        <v>0</v>
      </c>
      <c r="E34" s="3"/>
      <c r="F34" s="26"/>
      <c r="G34" s="3"/>
      <c r="H34" s="3">
        <f>--9520.45</f>
        <v>9520.4500000000007</v>
      </c>
      <c r="I34" s="3"/>
      <c r="J34" s="26"/>
      <c r="K34" s="3"/>
      <c r="L34" s="3">
        <f t="shared" si="0"/>
        <v>-9520.4500000000007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--181046.21</f>
        <v>181046.21</v>
      </c>
      <c r="U34" s="3"/>
      <c r="V34" s="26"/>
      <c r="W34" s="3"/>
      <c r="X34" s="3">
        <f t="shared" si="2"/>
        <v>-181046.21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","4141"," - ","NON-TAXABLE SALES-LOGO GIFTS")</f>
        <v xml:space="preserve">          4141 - NON-TAXABLE SALES-LOGO GIFTS</v>
      </c>
      <c r="C35" s="9"/>
      <c r="D35" s="3">
        <f>0</f>
        <v>0</v>
      </c>
      <c r="E35" s="3"/>
      <c r="F35" s="26"/>
      <c r="G35" s="3"/>
      <c r="H35" s="3">
        <f>-25127.54</f>
        <v>-25127.54</v>
      </c>
      <c r="I35" s="3"/>
      <c r="J35" s="26"/>
      <c r="K35" s="3"/>
      <c r="L35" s="3">
        <f t="shared" si="0"/>
        <v>25127.54</v>
      </c>
      <c r="M35" s="3"/>
      <c r="N35" s="26">
        <f t="shared" si="1"/>
        <v>-1</v>
      </c>
      <c r="O35" s="9"/>
      <c r="P35" s="3">
        <f>0</f>
        <v>0</v>
      </c>
      <c r="Q35" s="3"/>
      <c r="R35" s="26"/>
      <c r="S35" s="3"/>
      <c r="T35" s="3">
        <f>--12272.45</f>
        <v>12272.45</v>
      </c>
      <c r="U35" s="3"/>
      <c r="V35" s="26"/>
      <c r="W35" s="3"/>
      <c r="X35" s="3">
        <f t="shared" si="2"/>
        <v>-12272.45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","4142"," - ","NON-TAXABLE SALES-EVERYDAY GIF")</f>
        <v xml:space="preserve">          4142 - NON-TAXABLE SALES-EVERYDAY GIF</v>
      </c>
      <c r="C36" s="9"/>
      <c r="D36" s="3">
        <f>0</f>
        <v>0</v>
      </c>
      <c r="E36" s="3"/>
      <c r="F36" s="26"/>
      <c r="G36" s="3"/>
      <c r="H36" s="3">
        <f>--54.07</f>
        <v>54.07</v>
      </c>
      <c r="I36" s="3"/>
      <c r="J36" s="26"/>
      <c r="K36" s="3"/>
      <c r="L36" s="3">
        <f t="shared" si="0"/>
        <v>-54.07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--1521.44</f>
        <v>1521.44</v>
      </c>
      <c r="U36" s="3"/>
      <c r="V36" s="26"/>
      <c r="W36" s="3"/>
      <c r="X36" s="3">
        <f t="shared" si="2"/>
        <v>-1521.44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","4143"," - ","NON-TAXABLE SALES-CARDS")</f>
        <v xml:space="preserve">          4143 - NON-TAXABLE SALES-CARDS</v>
      </c>
      <c r="C37" s="9"/>
      <c r="D37" s="3">
        <f>0</f>
        <v>0</v>
      </c>
      <c r="E37" s="3"/>
      <c r="F37" s="26"/>
      <c r="G37" s="3"/>
      <c r="H37" s="3">
        <f>--9.95</f>
        <v>9.9499999999999993</v>
      </c>
      <c r="I37" s="3"/>
      <c r="J37" s="26"/>
      <c r="K37" s="3"/>
      <c r="L37" s="3">
        <f t="shared" si="0"/>
        <v>-9.9499999999999993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--2562.11</f>
        <v>2562.11</v>
      </c>
      <c r="U37" s="3"/>
      <c r="V37" s="26"/>
      <c r="W37" s="3"/>
      <c r="X37" s="3">
        <f t="shared" si="2"/>
        <v>-2562.11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","4144"," - ","NON-TAXABLE SALES-ACCESSORIES")</f>
        <v xml:space="preserve">          4144 - NON-TAXABLE SALES-ACCESSORIES</v>
      </c>
      <c r="C38" s="9"/>
      <c r="D38" s="3">
        <f>0</f>
        <v>0</v>
      </c>
      <c r="E38" s="3"/>
      <c r="F38" s="26"/>
      <c r="G38" s="3"/>
      <c r="H38" s="3">
        <f>--129.75</f>
        <v>129.75</v>
      </c>
      <c r="I38" s="3"/>
      <c r="J38" s="26"/>
      <c r="K38" s="3"/>
      <c r="L38" s="3">
        <f t="shared" si="0"/>
        <v>-129.75</v>
      </c>
      <c r="M38" s="3"/>
      <c r="N38" s="26">
        <f t="shared" si="1"/>
        <v>-1</v>
      </c>
      <c r="O38" s="9"/>
      <c r="P38" s="3">
        <f>0</f>
        <v>0</v>
      </c>
      <c r="Q38" s="3"/>
      <c r="R38" s="26"/>
      <c r="S38" s="3"/>
      <c r="T38" s="3">
        <f>--1003.55</f>
        <v>1003.55</v>
      </c>
      <c r="U38" s="3"/>
      <c r="V38" s="26"/>
      <c r="W38" s="3"/>
      <c r="X38" s="3">
        <f t="shared" si="2"/>
        <v>-1003.55</v>
      </c>
      <c r="Y38" s="3"/>
      <c r="Z38" s="26">
        <f t="shared" si="3"/>
        <v>-1</v>
      </c>
    </row>
    <row r="39" spans="1:26" s="69" customFormat="1" ht="15" hidden="1" customHeight="1" outlineLevel="1" x14ac:dyDescent="0.3">
      <c r="A39" s="47"/>
      <c r="B39" s="9" t="str">
        <f>CONCATENATE("          ","4145"," - ","NON-TAXABLE SALES-SPECIAL ORDE")</f>
        <v xml:space="preserve">          4145 - NON-TAXABLE SALES-SPECIAL ORDE</v>
      </c>
      <c r="C39" s="9"/>
      <c r="D39" s="3">
        <f>0</f>
        <v>0</v>
      </c>
      <c r="E39" s="3"/>
      <c r="F39" s="26"/>
      <c r="G39" s="3"/>
      <c r="H39" s="3">
        <f>--30</f>
        <v>30</v>
      </c>
      <c r="I39" s="3"/>
      <c r="J39" s="26"/>
      <c r="K39" s="3"/>
      <c r="L39" s="3">
        <f t="shared" si="0"/>
        <v>-30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--74096.89</f>
        <v>74096.89</v>
      </c>
      <c r="U39" s="3"/>
      <c r="V39" s="26"/>
      <c r="W39" s="3"/>
      <c r="X39" s="3">
        <f t="shared" si="2"/>
        <v>-74096.89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","4200"," - ","TAXABLE RETURNS")</f>
        <v xml:space="preserve">          4200 - TAXABLE RETURNS</v>
      </c>
      <c r="C40" s="9"/>
      <c r="D40" s="3">
        <f>-19314.84</f>
        <v>-19314.84</v>
      </c>
      <c r="E40" s="3"/>
      <c r="F40" s="26"/>
      <c r="G40" s="3"/>
      <c r="H40" s="3">
        <f>0</f>
        <v>0</v>
      </c>
      <c r="I40" s="3"/>
      <c r="J40" s="26"/>
      <c r="K40" s="3"/>
      <c r="L40" s="3">
        <f t="shared" si="0"/>
        <v>-19314.84</v>
      </c>
      <c r="M40" s="3"/>
      <c r="N40" s="26">
        <f t="shared" si="1"/>
        <v>0</v>
      </c>
      <c r="O40" s="9"/>
      <c r="P40" s="3">
        <f>-173191.2</f>
        <v>-173191.2</v>
      </c>
      <c r="Q40" s="3"/>
      <c r="R40" s="26"/>
      <c r="S40" s="3"/>
      <c r="T40" s="3">
        <f>0</f>
        <v>0</v>
      </c>
      <c r="U40" s="3"/>
      <c r="V40" s="26"/>
      <c r="W40" s="3"/>
      <c r="X40" s="3">
        <f t="shared" si="2"/>
        <v>-173191.2</v>
      </c>
      <c r="Y40" s="3"/>
      <c r="Z40" s="26">
        <f t="shared" si="3"/>
        <v>0</v>
      </c>
    </row>
    <row r="41" spans="1:26" s="69" customFormat="1" ht="15" hidden="1" customHeight="1" outlineLevel="1" x14ac:dyDescent="0.3">
      <c r="A41" s="47"/>
      <c r="B41" s="9" t="str">
        <f>CONCATENATE("          ","4226"," - ","SALES RETURN TAXABLE-WRITING I")</f>
        <v xml:space="preserve">          4226 - SALES RETURN TAXABLE-WRITING I</v>
      </c>
      <c r="C41" s="9"/>
      <c r="D41" s="3">
        <f>0</f>
        <v>0</v>
      </c>
      <c r="E41" s="3"/>
      <c r="F41" s="26"/>
      <c r="G41" s="3"/>
      <c r="H41" s="3">
        <f>0</f>
        <v>0</v>
      </c>
      <c r="I41" s="3"/>
      <c r="J41" s="26"/>
      <c r="K41" s="3"/>
      <c r="L41" s="3">
        <f t="shared" si="0"/>
        <v>0</v>
      </c>
      <c r="M41" s="3"/>
      <c r="N41" s="26">
        <f t="shared" si="1"/>
        <v>0</v>
      </c>
      <c r="O41" s="9"/>
      <c r="P41" s="3">
        <f>0</f>
        <v>0</v>
      </c>
      <c r="Q41" s="3"/>
      <c r="R41" s="26"/>
      <c r="S41" s="3"/>
      <c r="T41" s="3">
        <f>-35.02</f>
        <v>-35.020000000000003</v>
      </c>
      <c r="U41" s="3"/>
      <c r="V41" s="26"/>
      <c r="W41" s="3"/>
      <c r="X41" s="3">
        <f t="shared" si="2"/>
        <v>35.020000000000003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","4227"," - ","SALES RETURN TAXABLE-SCHOOL SU")</f>
        <v xml:space="preserve">          4227 - SALES RETURN TAXABLE-SCHOOL SU</v>
      </c>
      <c r="C42" s="9"/>
      <c r="D42" s="3">
        <f>0</f>
        <v>0</v>
      </c>
      <c r="E42" s="3"/>
      <c r="F42" s="26"/>
      <c r="G42" s="3"/>
      <c r="H42" s="3">
        <f>-80.63</f>
        <v>-80.63</v>
      </c>
      <c r="I42" s="3"/>
      <c r="J42" s="26"/>
      <c r="K42" s="3"/>
      <c r="L42" s="3">
        <f t="shared" si="0"/>
        <v>80.63</v>
      </c>
      <c r="M42" s="3"/>
      <c r="N42" s="26">
        <f t="shared" si="1"/>
        <v>-1</v>
      </c>
      <c r="O42" s="9"/>
      <c r="P42" s="3">
        <f>0</f>
        <v>0</v>
      </c>
      <c r="Q42" s="3"/>
      <c r="R42" s="26"/>
      <c r="S42" s="3"/>
      <c r="T42" s="3">
        <f>-1405.14</f>
        <v>-1405.14</v>
      </c>
      <c r="U42" s="3"/>
      <c r="V42" s="26"/>
      <c r="W42" s="3"/>
      <c r="X42" s="3">
        <f t="shared" si="2"/>
        <v>1405.14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","4228"," - ","SALES RETURN TAXABLE-ART/TECH")</f>
        <v xml:space="preserve">          4228 - SALES RETURN TAXABLE-ART/TECH</v>
      </c>
      <c r="C43" s="9"/>
      <c r="D43" s="3">
        <f>0</f>
        <v>0</v>
      </c>
      <c r="E43" s="3"/>
      <c r="F43" s="26"/>
      <c r="G43" s="3"/>
      <c r="H43" s="3">
        <f>-105.6</f>
        <v>-105.6</v>
      </c>
      <c r="I43" s="3"/>
      <c r="J43" s="26"/>
      <c r="K43" s="3"/>
      <c r="L43" s="3">
        <f t="shared" si="0"/>
        <v>105.6</v>
      </c>
      <c r="M43" s="3"/>
      <c r="N43" s="26">
        <f t="shared" si="1"/>
        <v>-1</v>
      </c>
      <c r="O43" s="9"/>
      <c r="P43" s="3">
        <f>0</f>
        <v>0</v>
      </c>
      <c r="Q43" s="3"/>
      <c r="R43" s="26"/>
      <c r="S43" s="3"/>
      <c r="T43" s="3">
        <f>-12857.13</f>
        <v>-12857.13</v>
      </c>
      <c r="U43" s="3"/>
      <c r="V43" s="26"/>
      <c r="W43" s="3"/>
      <c r="X43" s="3">
        <f t="shared" si="2"/>
        <v>12857.13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","4240"," - ","SALES RETURN TAXABLE-LOGO CLOT")</f>
        <v xml:space="preserve">          4240 - SALES RETURN TAXABLE-LOGO CLOT</v>
      </c>
      <c r="C44" s="9"/>
      <c r="D44" s="3">
        <f>0</f>
        <v>0</v>
      </c>
      <c r="E44" s="3"/>
      <c r="F44" s="26"/>
      <c r="G44" s="3"/>
      <c r="H44" s="3">
        <f>-4795.71</f>
        <v>-4795.71</v>
      </c>
      <c r="I44" s="3"/>
      <c r="J44" s="26"/>
      <c r="K44" s="3"/>
      <c r="L44" s="3">
        <f t="shared" si="0"/>
        <v>4795.71</v>
      </c>
      <c r="M44" s="3"/>
      <c r="N44" s="26">
        <f t="shared" si="1"/>
        <v>-1</v>
      </c>
      <c r="O44" s="9"/>
      <c r="P44" s="3">
        <f>0</f>
        <v>0</v>
      </c>
      <c r="Q44" s="3"/>
      <c r="R44" s="26"/>
      <c r="S44" s="3"/>
      <c r="T44" s="3">
        <f>-51889.15</f>
        <v>-51889.15</v>
      </c>
      <c r="U44" s="3"/>
      <c r="V44" s="26"/>
      <c r="W44" s="3"/>
      <c r="X44" s="3">
        <f t="shared" si="2"/>
        <v>51889.15</v>
      </c>
      <c r="Y44" s="3"/>
      <c r="Z44" s="26">
        <f t="shared" si="3"/>
        <v>-1</v>
      </c>
    </row>
    <row r="45" spans="1:26" s="69" customFormat="1" ht="15" hidden="1" customHeight="1" outlineLevel="1" x14ac:dyDescent="0.3">
      <c r="A45" s="47"/>
      <c r="B45" s="9" t="str">
        <f>CONCATENATE("          ","4241"," - ","SALES RETURN TAXABLE-LOGO GIFT")</f>
        <v xml:space="preserve">          4241 - SALES RETURN TAXABLE-LOGO GIFT</v>
      </c>
      <c r="C45" s="9"/>
      <c r="D45" s="3">
        <f>0</f>
        <v>0</v>
      </c>
      <c r="E45" s="3"/>
      <c r="F45" s="26"/>
      <c r="G45" s="3"/>
      <c r="H45" s="3">
        <f>-1907.39</f>
        <v>-1907.39</v>
      </c>
      <c r="I45" s="3"/>
      <c r="J45" s="26"/>
      <c r="K45" s="3"/>
      <c r="L45" s="3">
        <f t="shared" si="0"/>
        <v>1907.39</v>
      </c>
      <c r="M45" s="3"/>
      <c r="N45" s="26">
        <f t="shared" si="1"/>
        <v>-1</v>
      </c>
      <c r="O45" s="9"/>
      <c r="P45" s="3">
        <f>0</f>
        <v>0</v>
      </c>
      <c r="Q45" s="3"/>
      <c r="R45" s="26"/>
      <c r="S45" s="3"/>
      <c r="T45" s="3">
        <f>-17294.93</f>
        <v>-17294.93</v>
      </c>
      <c r="U45" s="3"/>
      <c r="V45" s="26"/>
      <c r="W45" s="3"/>
      <c r="X45" s="3">
        <f t="shared" si="2"/>
        <v>17294.93</v>
      </c>
      <c r="Y45" s="3"/>
      <c r="Z45" s="26">
        <f t="shared" si="3"/>
        <v>-1</v>
      </c>
    </row>
    <row r="46" spans="1:26" s="69" customFormat="1" ht="15" hidden="1" customHeight="1" outlineLevel="1" x14ac:dyDescent="0.3">
      <c r="A46" s="47"/>
      <c r="B46" s="9" t="str">
        <f>CONCATENATE("          ","4242"," - ","SALES RETURN TAXABLE-EVERYDAY")</f>
        <v xml:space="preserve">          4242 - SALES RETURN TAXABLE-EVERYDAY</v>
      </c>
      <c r="C46" s="9"/>
      <c r="D46" s="3">
        <f>0</f>
        <v>0</v>
      </c>
      <c r="E46" s="3"/>
      <c r="F46" s="26"/>
      <c r="G46" s="3"/>
      <c r="H46" s="3">
        <f>-131.98</f>
        <v>-131.97999999999999</v>
      </c>
      <c r="I46" s="3"/>
      <c r="J46" s="26"/>
      <c r="K46" s="3"/>
      <c r="L46" s="3">
        <f t="shared" si="0"/>
        <v>131.97999999999999</v>
      </c>
      <c r="M46" s="3"/>
      <c r="N46" s="26">
        <f t="shared" si="1"/>
        <v>-1</v>
      </c>
      <c r="O46" s="9"/>
      <c r="P46" s="3">
        <f>0</f>
        <v>0</v>
      </c>
      <c r="Q46" s="3"/>
      <c r="R46" s="26"/>
      <c r="S46" s="3"/>
      <c r="T46" s="3">
        <f>-2875.07</f>
        <v>-2875.07</v>
      </c>
      <c r="U46" s="3"/>
      <c r="V46" s="26"/>
      <c r="W46" s="3"/>
      <c r="X46" s="3">
        <f t="shared" si="2"/>
        <v>2875.07</v>
      </c>
      <c r="Y46" s="3"/>
      <c r="Z46" s="26">
        <f t="shared" si="3"/>
        <v>-1</v>
      </c>
    </row>
    <row r="47" spans="1:26" s="69" customFormat="1" ht="15" hidden="1" customHeight="1" outlineLevel="1" x14ac:dyDescent="0.3">
      <c r="A47" s="47"/>
      <c r="B47" s="9" t="str">
        <f>CONCATENATE("          ","4243"," - ","SALES RETURN TAXABLE-CARDS")</f>
        <v xml:space="preserve">          4243 - SALES RETURN TAXABLE-CARDS</v>
      </c>
      <c r="C47" s="9"/>
      <c r="D47" s="3">
        <f>0</f>
        <v>0</v>
      </c>
      <c r="E47" s="3"/>
      <c r="F47" s="26"/>
      <c r="G47" s="3"/>
      <c r="H47" s="3">
        <f>-9.99</f>
        <v>-9.99</v>
      </c>
      <c r="I47" s="3"/>
      <c r="J47" s="26"/>
      <c r="K47" s="3"/>
      <c r="L47" s="3">
        <f t="shared" si="0"/>
        <v>9.99</v>
      </c>
      <c r="M47" s="3"/>
      <c r="N47" s="26">
        <f t="shared" si="1"/>
        <v>-1</v>
      </c>
      <c r="O47" s="9"/>
      <c r="P47" s="3">
        <f>0</f>
        <v>0</v>
      </c>
      <c r="Q47" s="3"/>
      <c r="R47" s="26"/>
      <c r="S47" s="3"/>
      <c r="T47" s="3">
        <f>-6228.98</f>
        <v>-6228.98</v>
      </c>
      <c r="U47" s="3"/>
      <c r="V47" s="26"/>
      <c r="W47" s="3"/>
      <c r="X47" s="3">
        <f t="shared" si="2"/>
        <v>6228.98</v>
      </c>
      <c r="Y47" s="3"/>
      <c r="Z47" s="26">
        <f t="shared" si="3"/>
        <v>-1</v>
      </c>
    </row>
    <row r="48" spans="1:26" s="69" customFormat="1" ht="15" hidden="1" customHeight="1" outlineLevel="1" x14ac:dyDescent="0.3">
      <c r="A48" s="47"/>
      <c r="B48" s="9" t="str">
        <f>CONCATENATE("          ","4244"," - ","SALES RETURN TAXABLE-ACCESSORI")</f>
        <v xml:space="preserve">          4244 - SALES RETURN TAXABLE-ACCESSORI</v>
      </c>
      <c r="C48" s="9"/>
      <c r="D48" s="3">
        <f>0</f>
        <v>0</v>
      </c>
      <c r="E48" s="3"/>
      <c r="F48" s="26"/>
      <c r="G48" s="3"/>
      <c r="H48" s="3">
        <f>-34.84</f>
        <v>-34.840000000000003</v>
      </c>
      <c r="I48" s="3"/>
      <c r="J48" s="26"/>
      <c r="K48" s="3"/>
      <c r="L48" s="3">
        <f t="shared" si="0"/>
        <v>34.840000000000003</v>
      </c>
      <c r="M48" s="3"/>
      <c r="N48" s="26">
        <f t="shared" si="1"/>
        <v>-1</v>
      </c>
      <c r="O48" s="9"/>
      <c r="P48" s="3">
        <f>0</f>
        <v>0</v>
      </c>
      <c r="Q48" s="3"/>
      <c r="R48" s="26"/>
      <c r="S48" s="3"/>
      <c r="T48" s="3">
        <f>-1302.75</f>
        <v>-1302.75</v>
      </c>
      <c r="U48" s="3"/>
      <c r="V48" s="26"/>
      <c r="W48" s="3"/>
      <c r="X48" s="3">
        <f t="shared" si="2"/>
        <v>1302.75</v>
      </c>
      <c r="Y48" s="3"/>
      <c r="Z48" s="26">
        <f t="shared" si="3"/>
        <v>-1</v>
      </c>
    </row>
    <row r="49" spans="1:26" s="69" customFormat="1" ht="15" hidden="1" customHeight="1" outlineLevel="1" x14ac:dyDescent="0.3">
      <c r="A49" s="47"/>
      <c r="B49" s="9" t="str">
        <f>CONCATENATE("          ","4245"," - ","SALES RETURN TAXABLE-SPECIAL O")</f>
        <v xml:space="preserve">          4245 - SALES RETURN TAXABLE-SPECIAL O</v>
      </c>
      <c r="C49" s="9"/>
      <c r="D49" s="3">
        <f>0</f>
        <v>0</v>
      </c>
      <c r="E49" s="3"/>
      <c r="F49" s="26"/>
      <c r="G49" s="3"/>
      <c r="H49" s="3">
        <f>-3318.4</f>
        <v>-3318.4</v>
      </c>
      <c r="I49" s="3"/>
      <c r="J49" s="26"/>
      <c r="K49" s="3"/>
      <c r="L49" s="3">
        <f t="shared" si="0"/>
        <v>3318.4</v>
      </c>
      <c r="M49" s="3"/>
      <c r="N49" s="26">
        <f t="shared" si="1"/>
        <v>-1</v>
      </c>
      <c r="O49" s="9"/>
      <c r="P49" s="3">
        <f>0</f>
        <v>0</v>
      </c>
      <c r="Q49" s="3"/>
      <c r="R49" s="26"/>
      <c r="S49" s="3"/>
      <c r="T49" s="3">
        <f>-18779.13</f>
        <v>-18779.13</v>
      </c>
      <c r="U49" s="3"/>
      <c r="V49" s="26"/>
      <c r="W49" s="3"/>
      <c r="X49" s="3">
        <f t="shared" si="2"/>
        <v>18779.13</v>
      </c>
      <c r="Y49" s="3"/>
      <c r="Z49" s="26">
        <f t="shared" si="3"/>
        <v>-1</v>
      </c>
    </row>
    <row r="50" spans="1:26" s="69" customFormat="1" ht="15" hidden="1" customHeight="1" outlineLevel="1" x14ac:dyDescent="0.3">
      <c r="A50" s="47"/>
      <c r="B50" s="9" t="str">
        <f>CONCATENATE("          ","4300"," - ","NON-TAX RETURNS")</f>
        <v xml:space="preserve">          4300 - NON-TAX RETURNS</v>
      </c>
      <c r="C50" s="9"/>
      <c r="D50" s="3">
        <f>-364.5</f>
        <v>-364.5</v>
      </c>
      <c r="E50" s="3"/>
      <c r="F50" s="26"/>
      <c r="G50" s="3"/>
      <c r="H50" s="3">
        <f>0</f>
        <v>0</v>
      </c>
      <c r="I50" s="3"/>
      <c r="J50" s="26"/>
      <c r="K50" s="3"/>
      <c r="L50" s="3">
        <f t="shared" si="0"/>
        <v>-364.5</v>
      </c>
      <c r="M50" s="3"/>
      <c r="N50" s="26">
        <f t="shared" si="1"/>
        <v>0</v>
      </c>
      <c r="O50" s="9"/>
      <c r="P50" s="3">
        <f>-3861.19</f>
        <v>-3861.19</v>
      </c>
      <c r="Q50" s="3"/>
      <c r="R50" s="26"/>
      <c r="S50" s="3"/>
      <c r="T50" s="3">
        <f>0</f>
        <v>0</v>
      </c>
      <c r="U50" s="3"/>
      <c r="V50" s="26"/>
      <c r="W50" s="3"/>
      <c r="X50" s="3">
        <f t="shared" si="2"/>
        <v>-3861.19</v>
      </c>
      <c r="Y50" s="3"/>
      <c r="Z50" s="26">
        <f t="shared" si="3"/>
        <v>0</v>
      </c>
    </row>
    <row r="51" spans="1:26" s="69" customFormat="1" ht="15" hidden="1" customHeight="1" outlineLevel="1" x14ac:dyDescent="0.3">
      <c r="A51" s="47"/>
      <c r="B51" s="9" t="str">
        <f>CONCATENATE("          ","4327"," - ","SALES RETURN NON TAXABLE-SCHOO")</f>
        <v xml:space="preserve">          4327 - SALES RETURN NON TAXABLE-SCHOO</v>
      </c>
      <c r="C51" s="9"/>
      <c r="D51" s="3">
        <f>0</f>
        <v>0</v>
      </c>
      <c r="E51" s="3"/>
      <c r="F51" s="26"/>
      <c r="G51" s="3"/>
      <c r="H51" s="3">
        <f>0</f>
        <v>0</v>
      </c>
      <c r="I51" s="3"/>
      <c r="J51" s="26"/>
      <c r="K51" s="3"/>
      <c r="L51" s="3">
        <f t="shared" si="0"/>
        <v>0</v>
      </c>
      <c r="M51" s="3"/>
      <c r="N51" s="26">
        <f t="shared" si="1"/>
        <v>0</v>
      </c>
      <c r="O51" s="9"/>
      <c r="P51" s="3">
        <f>0</f>
        <v>0</v>
      </c>
      <c r="Q51" s="3"/>
      <c r="R51" s="26"/>
      <c r="S51" s="3"/>
      <c r="T51" s="3">
        <f>-17.41</f>
        <v>-17.41</v>
      </c>
      <c r="U51" s="3"/>
      <c r="V51" s="26"/>
      <c r="W51" s="3"/>
      <c r="X51" s="3">
        <f t="shared" si="2"/>
        <v>17.41</v>
      </c>
      <c r="Y51" s="3"/>
      <c r="Z51" s="26">
        <f t="shared" si="3"/>
        <v>-1</v>
      </c>
    </row>
    <row r="52" spans="1:26" s="69" customFormat="1" ht="15" hidden="1" customHeight="1" outlineLevel="1" x14ac:dyDescent="0.3">
      <c r="A52" s="47"/>
      <c r="B52" s="9" t="str">
        <f>CONCATENATE("          ","4340"," - ","SALES RETURN NON TAXABLE-LOGO")</f>
        <v xml:space="preserve">          4340 - SALES RETURN NON TAXABLE-LOGO</v>
      </c>
      <c r="C52" s="9"/>
      <c r="D52" s="3">
        <f>0</f>
        <v>0</v>
      </c>
      <c r="E52" s="3"/>
      <c r="F52" s="26"/>
      <c r="G52" s="3"/>
      <c r="H52" s="3">
        <f>-286.5</f>
        <v>-286.5</v>
      </c>
      <c r="I52" s="3"/>
      <c r="J52" s="26"/>
      <c r="K52" s="3"/>
      <c r="L52" s="3">
        <f t="shared" si="0"/>
        <v>286.5</v>
      </c>
      <c r="M52" s="3"/>
      <c r="N52" s="26">
        <f t="shared" si="1"/>
        <v>-1</v>
      </c>
      <c r="O52" s="9"/>
      <c r="P52" s="3">
        <f>0</f>
        <v>0</v>
      </c>
      <c r="Q52" s="3"/>
      <c r="R52" s="26"/>
      <c r="S52" s="3"/>
      <c r="T52" s="3">
        <f>-3737.76</f>
        <v>-3737.76</v>
      </c>
      <c r="U52" s="3"/>
      <c r="V52" s="26"/>
      <c r="W52" s="3"/>
      <c r="X52" s="3">
        <f t="shared" si="2"/>
        <v>3737.76</v>
      </c>
      <c r="Y52" s="3"/>
      <c r="Z52" s="26">
        <f t="shared" si="3"/>
        <v>-1</v>
      </c>
    </row>
    <row r="53" spans="1:26" s="69" customFormat="1" ht="15" hidden="1" customHeight="1" outlineLevel="1" x14ac:dyDescent="0.3">
      <c r="A53" s="47"/>
      <c r="B53" s="9" t="str">
        <f>CONCATENATE("          ","4341"," - ","SALES RETURN NON TAXABLE-LOGO")</f>
        <v xml:space="preserve">          4341 - SALES RETURN NON TAXABLE-LOGO</v>
      </c>
      <c r="C53" s="9"/>
      <c r="D53" s="3">
        <f>0</f>
        <v>0</v>
      </c>
      <c r="E53" s="3"/>
      <c r="F53" s="26"/>
      <c r="G53" s="3"/>
      <c r="H53" s="3">
        <f>-20.85</f>
        <v>-20.85</v>
      </c>
      <c r="I53" s="3"/>
      <c r="J53" s="26"/>
      <c r="K53" s="3"/>
      <c r="L53" s="3">
        <f t="shared" si="0"/>
        <v>20.85</v>
      </c>
      <c r="M53" s="3"/>
      <c r="N53" s="26">
        <f t="shared" si="1"/>
        <v>-1</v>
      </c>
      <c r="O53" s="9"/>
      <c r="P53" s="3">
        <f>0</f>
        <v>0</v>
      </c>
      <c r="Q53" s="3"/>
      <c r="R53" s="26"/>
      <c r="S53" s="3"/>
      <c r="T53" s="3">
        <f>-412.09</f>
        <v>-412.09</v>
      </c>
      <c r="U53" s="3"/>
      <c r="V53" s="26"/>
      <c r="W53" s="3"/>
      <c r="X53" s="3">
        <f t="shared" si="2"/>
        <v>412.09</v>
      </c>
      <c r="Y53" s="3"/>
      <c r="Z53" s="26">
        <f t="shared" si="3"/>
        <v>-1</v>
      </c>
    </row>
    <row r="54" spans="1:26" s="69" customFormat="1" ht="15" hidden="1" customHeight="1" outlineLevel="1" x14ac:dyDescent="0.3">
      <c r="A54" s="47"/>
      <c r="B54" s="9" t="str">
        <f>CONCATENATE("          ","4342"," - ","SALES RETURN NON TAXABLE-EVERY")</f>
        <v xml:space="preserve">          4342 - SALES RETURN NON TAXABLE-EVERY</v>
      </c>
      <c r="C54" s="9"/>
      <c r="D54" s="3">
        <f>0</f>
        <v>0</v>
      </c>
      <c r="E54" s="3"/>
      <c r="F54" s="26"/>
      <c r="G54" s="3"/>
      <c r="H54" s="3">
        <f>0</f>
        <v>0</v>
      </c>
      <c r="I54" s="3"/>
      <c r="J54" s="26"/>
      <c r="K54" s="3"/>
      <c r="L54" s="3">
        <f t="shared" si="0"/>
        <v>0</v>
      </c>
      <c r="M54" s="3"/>
      <c r="N54" s="26">
        <f t="shared" si="1"/>
        <v>0</v>
      </c>
      <c r="O54" s="9"/>
      <c r="P54" s="3">
        <f>0</f>
        <v>0</v>
      </c>
      <c r="Q54" s="3"/>
      <c r="R54" s="26"/>
      <c r="S54" s="3"/>
      <c r="T54" s="3">
        <f>-118.7</f>
        <v>-118.7</v>
      </c>
      <c r="U54" s="3"/>
      <c r="V54" s="26"/>
      <c r="W54" s="3"/>
      <c r="X54" s="3">
        <f t="shared" si="2"/>
        <v>118.7</v>
      </c>
      <c r="Y54" s="3"/>
      <c r="Z54" s="26">
        <f t="shared" si="3"/>
        <v>-1</v>
      </c>
    </row>
    <row r="55" spans="1:26" s="69" customFormat="1" ht="15" hidden="1" customHeight="1" outlineLevel="1" x14ac:dyDescent="0.3">
      <c r="A55" s="47"/>
      <c r="B55" s="9" t="str">
        <f>CONCATENATE("          ","4500"," - ","SALES DISCOUNT")</f>
        <v xml:space="preserve">          4500 - SALES DISCOUNT</v>
      </c>
      <c r="C55" s="9"/>
      <c r="D55" s="3">
        <f>-6887.73</f>
        <v>-6887.73</v>
      </c>
      <c r="E55" s="3"/>
      <c r="F55" s="26"/>
      <c r="G55" s="3"/>
      <c r="H55" s="3">
        <f>0</f>
        <v>0</v>
      </c>
      <c r="I55" s="3"/>
      <c r="J55" s="26"/>
      <c r="K55" s="3"/>
      <c r="L55" s="3">
        <f t="shared" si="0"/>
        <v>-6887.73</v>
      </c>
      <c r="M55" s="3"/>
      <c r="N55" s="26">
        <f t="shared" si="1"/>
        <v>0</v>
      </c>
      <c r="O55" s="9"/>
      <c r="P55" s="3">
        <f>-124730.87</f>
        <v>-124730.87</v>
      </c>
      <c r="Q55" s="3"/>
      <c r="R55" s="26"/>
      <c r="S55" s="3"/>
      <c r="T55" s="3">
        <f>0</f>
        <v>0</v>
      </c>
      <c r="U55" s="3"/>
      <c r="V55" s="26"/>
      <c r="W55" s="3"/>
      <c r="X55" s="3">
        <f t="shared" si="2"/>
        <v>-124730.87</v>
      </c>
      <c r="Y55" s="3"/>
      <c r="Z55" s="26">
        <f t="shared" si="3"/>
        <v>0</v>
      </c>
    </row>
    <row r="56" spans="1:26" ht="15" customHeight="1" x14ac:dyDescent="0.3">
      <c r="A56" s="12"/>
      <c r="B56" s="13"/>
      <c r="C56" s="12"/>
      <c r="D56" s="4"/>
      <c r="E56" s="4"/>
      <c r="F56" s="10"/>
      <c r="G56" s="4"/>
      <c r="H56" s="4"/>
      <c r="I56" s="4"/>
      <c r="J56" s="10"/>
      <c r="K56" s="4"/>
      <c r="L56" s="4"/>
      <c r="M56" s="4"/>
      <c r="N56" s="10"/>
      <c r="P56" s="4"/>
      <c r="Q56" s="4"/>
      <c r="R56" s="10"/>
      <c r="S56" s="4"/>
      <c r="T56" s="4"/>
      <c r="U56" s="4"/>
      <c r="V56" s="10"/>
      <c r="W56" s="4"/>
      <c r="X56" s="4"/>
      <c r="Y56" s="4"/>
      <c r="Z56" s="10"/>
    </row>
    <row r="57" spans="1:26" s="62" customFormat="1" ht="15" customHeight="1" collapsed="1" x14ac:dyDescent="0.3">
      <c r="A57" s="13"/>
      <c r="B57" s="27" t="s">
        <v>287</v>
      </c>
      <c r="C57" s="13"/>
      <c r="D57" s="8">
        <f>SUM(OSRRefD16x_0)</f>
        <v>337237.04000000004</v>
      </c>
      <c r="E57" s="8"/>
      <c r="F57" s="14">
        <f t="shared" ref="F57:F84" si="4">IF(D$12=0,0,D57/D$12)</f>
        <v>1.1939578630855643</v>
      </c>
      <c r="G57" s="8"/>
      <c r="H57" s="8">
        <f>SUM(OSRRefH16x_0)</f>
        <v>15820.299999999972</v>
      </c>
      <c r="I57" s="8"/>
      <c r="J57" s="14">
        <f t="shared" ref="J57:J84" si="5">IF(H$12=0,0,H57/H$12)</f>
        <v>6.1885072758566619E-2</v>
      </c>
      <c r="K57" s="8"/>
      <c r="L57" s="8">
        <f t="shared" ref="L57:L84" si="6">+D57-H57</f>
        <v>321416.74000000005</v>
      </c>
      <c r="M57" s="8"/>
      <c r="N57" s="14">
        <f t="shared" ref="N57:N84" si="7">IF(H57=0,0,L57/H57)</f>
        <v>20.316728507044786</v>
      </c>
      <c r="O57" s="13"/>
      <c r="P57" s="8">
        <f>SUM(OSRRefP16x_0)</f>
        <v>2571917.0999999996</v>
      </c>
      <c r="Q57" s="8"/>
      <c r="R57" s="14">
        <f t="shared" ref="R57:R84" si="8">IF(P$12=0,0,P57/P$12)</f>
        <v>0.50407230544290227</v>
      </c>
      <c r="S57" s="8"/>
      <c r="T57" s="8">
        <f>SUM(OSRRefT16x_0)</f>
        <v>1237315.8400000005</v>
      </c>
      <c r="U57" s="8"/>
      <c r="V57" s="14">
        <f t="shared" ref="V57:V84" si="9">IF(T$12=0,0,T57/T$12)</f>
        <v>0.48093014905705284</v>
      </c>
      <c r="W57" s="8"/>
      <c r="X57" s="8">
        <f t="shared" ref="X57:X84" si="10">+P57-T57</f>
        <v>1334601.2599999991</v>
      </c>
      <c r="Y57" s="8"/>
      <c r="Z57" s="14">
        <f t="shared" ref="Z57:Z84" si="11">IF(T57=0,0,X57/T57)</f>
        <v>1.0786261816546359</v>
      </c>
    </row>
    <row r="58" spans="1:26" s="69" customFormat="1" ht="15" hidden="1" customHeight="1" outlineLevel="1" x14ac:dyDescent="0.3">
      <c r="A58" s="47"/>
      <c r="B58" s="9" t="str">
        <f>CONCATENATE("          ","5000"," - ","PURCHASES @ COST")</f>
        <v xml:space="preserve">          5000 - PURCHASES @ COST</v>
      </c>
      <c r="C58" s="9"/>
      <c r="D58" s="3">
        <v>426173.25</v>
      </c>
      <c r="E58" s="3"/>
      <c r="F58" s="26">
        <f t="shared" si="4"/>
        <v>1.5088286354139211</v>
      </c>
      <c r="G58" s="3"/>
      <c r="H58" s="3"/>
      <c r="I58" s="3"/>
      <c r="J58" s="26">
        <f t="shared" si="5"/>
        <v>0</v>
      </c>
      <c r="K58" s="3"/>
      <c r="L58" s="3">
        <f t="shared" si="6"/>
        <v>426173.25</v>
      </c>
      <c r="M58" s="3"/>
      <c r="N58" s="26">
        <f t="shared" si="7"/>
        <v>0</v>
      </c>
      <c r="O58" s="9"/>
      <c r="P58" s="3">
        <v>2782262.15</v>
      </c>
      <c r="Q58" s="3"/>
      <c r="R58" s="26">
        <f t="shared" si="8"/>
        <v>0.54529801769156017</v>
      </c>
      <c r="S58" s="3"/>
      <c r="T58" s="3"/>
      <c r="U58" s="3"/>
      <c r="V58" s="26">
        <f t="shared" si="9"/>
        <v>0</v>
      </c>
      <c r="W58" s="3"/>
      <c r="X58" s="3">
        <f t="shared" si="10"/>
        <v>2782262.15</v>
      </c>
      <c r="Y58" s="3"/>
      <c r="Z58" s="26">
        <f t="shared" si="11"/>
        <v>0</v>
      </c>
    </row>
    <row r="59" spans="1:26" s="69" customFormat="1" ht="15" hidden="1" customHeight="1" outlineLevel="1" x14ac:dyDescent="0.3">
      <c r="A59" s="47"/>
      <c r="B59" s="9" t="str">
        <f>CONCATENATE("          ","5025"," - ","PURCHASES @ COST-TEST FORMS")</f>
        <v xml:space="preserve">          5025 - PURCHASES @ COST-TEST FORMS</v>
      </c>
      <c r="C59" s="9"/>
      <c r="D59" s="3"/>
      <c r="E59" s="3"/>
      <c r="F59" s="26">
        <f t="shared" si="4"/>
        <v>0</v>
      </c>
      <c r="G59" s="3"/>
      <c r="H59" s="3"/>
      <c r="I59" s="3"/>
      <c r="J59" s="26">
        <f t="shared" si="5"/>
        <v>0</v>
      </c>
      <c r="K59" s="3"/>
      <c r="L59" s="3">
        <f t="shared" si="6"/>
        <v>0</v>
      </c>
      <c r="M59" s="3"/>
      <c r="N59" s="26">
        <f t="shared" si="7"/>
        <v>0</v>
      </c>
      <c r="O59" s="9"/>
      <c r="P59" s="3"/>
      <c r="Q59" s="3"/>
      <c r="R59" s="26">
        <f t="shared" si="8"/>
        <v>0</v>
      </c>
      <c r="S59" s="3"/>
      <c r="T59" s="3">
        <v>599.29</v>
      </c>
      <c r="U59" s="3"/>
      <c r="V59" s="26">
        <f t="shared" si="9"/>
        <v>2.32936991276537E-4</v>
      </c>
      <c r="W59" s="3"/>
      <c r="X59" s="3">
        <f t="shared" si="10"/>
        <v>-599.29</v>
      </c>
      <c r="Y59" s="3"/>
      <c r="Z59" s="26">
        <f t="shared" si="11"/>
        <v>-1</v>
      </c>
    </row>
    <row r="60" spans="1:26" s="69" customFormat="1" ht="15" hidden="1" customHeight="1" outlineLevel="1" x14ac:dyDescent="0.3">
      <c r="A60" s="47"/>
      <c r="B60" s="9" t="str">
        <f>CONCATENATE("          ","5026"," - ","PURCHASES @ COST-WRITING INSTR")</f>
        <v xml:space="preserve">          5026 - PURCHASES @ COST-WRITING INSTR</v>
      </c>
      <c r="C60" s="9"/>
      <c r="D60" s="3"/>
      <c r="E60" s="3"/>
      <c r="F60" s="26">
        <f t="shared" si="4"/>
        <v>0</v>
      </c>
      <c r="G60" s="3"/>
      <c r="H60" s="3">
        <v>-248.27</v>
      </c>
      <c r="I60" s="3"/>
      <c r="J60" s="26">
        <f t="shared" si="5"/>
        <v>-9.7117039586919098E-4</v>
      </c>
      <c r="K60" s="3"/>
      <c r="L60" s="3">
        <f t="shared" si="6"/>
        <v>248.27</v>
      </c>
      <c r="M60" s="3"/>
      <c r="N60" s="26">
        <f t="shared" si="7"/>
        <v>-1</v>
      </c>
      <c r="O60" s="9"/>
      <c r="P60" s="3"/>
      <c r="Q60" s="3"/>
      <c r="R60" s="26">
        <f t="shared" si="8"/>
        <v>0</v>
      </c>
      <c r="S60" s="3"/>
      <c r="T60" s="3">
        <v>-30.68</v>
      </c>
      <c r="U60" s="3"/>
      <c r="V60" s="26">
        <f t="shared" si="9"/>
        <v>-1.1924956018562224E-5</v>
      </c>
      <c r="W60" s="3"/>
      <c r="X60" s="3">
        <f t="shared" si="10"/>
        <v>30.68</v>
      </c>
      <c r="Y60" s="3"/>
      <c r="Z60" s="26">
        <f t="shared" si="11"/>
        <v>-1</v>
      </c>
    </row>
    <row r="61" spans="1:26" s="69" customFormat="1" ht="15" hidden="1" customHeight="1" outlineLevel="1" x14ac:dyDescent="0.3">
      <c r="A61" s="47"/>
      <c r="B61" s="9" t="str">
        <f>CONCATENATE("          ","5027"," - ","PURCHASES @ COST-SCHOOL SUPPLI")</f>
        <v xml:space="preserve">          5027 - PURCHASES @ COST-SCHOOL SUPPLI</v>
      </c>
      <c r="C61" s="9"/>
      <c r="D61" s="3"/>
      <c r="E61" s="3"/>
      <c r="F61" s="26">
        <f t="shared" si="4"/>
        <v>0</v>
      </c>
      <c r="G61" s="3"/>
      <c r="H61" s="3">
        <v>-25389.13</v>
      </c>
      <c r="I61" s="3"/>
      <c r="J61" s="26">
        <f t="shared" si="5"/>
        <v>-9.9315952120168985E-2</v>
      </c>
      <c r="K61" s="3"/>
      <c r="L61" s="3">
        <f t="shared" si="6"/>
        <v>25389.13</v>
      </c>
      <c r="M61" s="3"/>
      <c r="N61" s="26">
        <f t="shared" si="7"/>
        <v>-1</v>
      </c>
      <c r="O61" s="9"/>
      <c r="P61" s="3">
        <v>0</v>
      </c>
      <c r="Q61" s="3"/>
      <c r="R61" s="26">
        <f t="shared" si="8"/>
        <v>0</v>
      </c>
      <c r="S61" s="3"/>
      <c r="T61" s="3">
        <v>-2549.61</v>
      </c>
      <c r="U61" s="3"/>
      <c r="V61" s="26">
        <f t="shared" si="9"/>
        <v>-9.9100349134571158E-4</v>
      </c>
      <c r="W61" s="3"/>
      <c r="X61" s="3">
        <f t="shared" si="10"/>
        <v>2549.61</v>
      </c>
      <c r="Y61" s="3"/>
      <c r="Z61" s="26">
        <f t="shared" si="11"/>
        <v>-1</v>
      </c>
    </row>
    <row r="62" spans="1:26" s="69" customFormat="1" ht="15" hidden="1" customHeight="1" outlineLevel="1" x14ac:dyDescent="0.3">
      <c r="A62" s="47"/>
      <c r="B62" s="9" t="str">
        <f>CONCATENATE("          ","5028"," - ","PURCHASES @ COST-ART/TECH")</f>
        <v xml:space="preserve">          5028 - PURCHASES @ COST-ART/TECH</v>
      </c>
      <c r="C62" s="9"/>
      <c r="D62" s="3"/>
      <c r="E62" s="3"/>
      <c r="F62" s="26">
        <f t="shared" si="4"/>
        <v>0</v>
      </c>
      <c r="G62" s="3"/>
      <c r="H62" s="3">
        <v>-87214.83</v>
      </c>
      <c r="I62" s="3"/>
      <c r="J62" s="26">
        <f t="shared" si="5"/>
        <v>-0.34116268971991859</v>
      </c>
      <c r="K62" s="3"/>
      <c r="L62" s="3">
        <f t="shared" si="6"/>
        <v>87214.83</v>
      </c>
      <c r="M62" s="3"/>
      <c r="N62" s="26">
        <f t="shared" si="7"/>
        <v>-1</v>
      </c>
      <c r="O62" s="9"/>
      <c r="P62" s="3">
        <v>0</v>
      </c>
      <c r="Q62" s="3"/>
      <c r="R62" s="26">
        <f t="shared" si="8"/>
        <v>0</v>
      </c>
      <c r="S62" s="3"/>
      <c r="T62" s="3">
        <v>-80975.94</v>
      </c>
      <c r="U62" s="3"/>
      <c r="V62" s="26">
        <f t="shared" si="9"/>
        <v>-3.1474397752990012E-2</v>
      </c>
      <c r="W62" s="3"/>
      <c r="X62" s="3">
        <f t="shared" si="10"/>
        <v>80975.94</v>
      </c>
      <c r="Y62" s="3"/>
      <c r="Z62" s="26">
        <f t="shared" si="11"/>
        <v>-1</v>
      </c>
    </row>
    <row r="63" spans="1:26" s="69" customFormat="1" ht="15" hidden="1" customHeight="1" outlineLevel="1" x14ac:dyDescent="0.3">
      <c r="A63" s="47"/>
      <c r="B63" s="9" t="str">
        <f>CONCATENATE("          ","5031"," - ","PURCHASES @ COST-FOOD")</f>
        <v xml:space="preserve">          5031 - PURCHASES @ COST-FOOD</v>
      </c>
      <c r="C63" s="9"/>
      <c r="D63" s="3"/>
      <c r="E63" s="3"/>
      <c r="F63" s="26">
        <f t="shared" si="4"/>
        <v>0</v>
      </c>
      <c r="G63" s="3"/>
      <c r="H63" s="3">
        <v>631.46</v>
      </c>
      <c r="I63" s="3"/>
      <c r="J63" s="26">
        <f t="shared" si="5"/>
        <v>2.4701142231262712E-3</v>
      </c>
      <c r="K63" s="3"/>
      <c r="L63" s="3">
        <f t="shared" si="6"/>
        <v>-631.46</v>
      </c>
      <c r="M63" s="3"/>
      <c r="N63" s="26">
        <f t="shared" si="7"/>
        <v>-1</v>
      </c>
      <c r="O63" s="9"/>
      <c r="P63" s="3">
        <v>0</v>
      </c>
      <c r="Q63" s="3"/>
      <c r="R63" s="26">
        <f t="shared" si="8"/>
        <v>0</v>
      </c>
      <c r="S63" s="3"/>
      <c r="T63" s="3">
        <v>6255.98</v>
      </c>
      <c r="U63" s="3"/>
      <c r="V63" s="26">
        <f t="shared" si="9"/>
        <v>2.4316260219362745E-3</v>
      </c>
      <c r="W63" s="3"/>
      <c r="X63" s="3">
        <f t="shared" si="10"/>
        <v>-6255.98</v>
      </c>
      <c r="Y63" s="3"/>
      <c r="Z63" s="26">
        <f t="shared" si="11"/>
        <v>-1</v>
      </c>
    </row>
    <row r="64" spans="1:26" s="69" customFormat="1" ht="15" hidden="1" customHeight="1" outlineLevel="1" x14ac:dyDescent="0.3">
      <c r="A64" s="47"/>
      <c r="B64" s="9" t="str">
        <f>CONCATENATE("          ","5037"," - ","PURCHASES @ COST-WATER")</f>
        <v xml:space="preserve">          5037 - PURCHASES @ COST-WATER</v>
      </c>
      <c r="C64" s="9"/>
      <c r="D64" s="3"/>
      <c r="E64" s="3"/>
      <c r="F64" s="26">
        <f t="shared" si="4"/>
        <v>0</v>
      </c>
      <c r="G64" s="3"/>
      <c r="H64" s="3">
        <v>11</v>
      </c>
      <c r="I64" s="3"/>
      <c r="J64" s="26">
        <f t="shared" si="5"/>
        <v>4.3029259896729772E-5</v>
      </c>
      <c r="K64" s="3"/>
      <c r="L64" s="3">
        <f t="shared" si="6"/>
        <v>-11</v>
      </c>
      <c r="M64" s="3"/>
      <c r="N64" s="26">
        <f t="shared" si="7"/>
        <v>-1</v>
      </c>
      <c r="O64" s="9"/>
      <c r="P64" s="3"/>
      <c r="Q64" s="3"/>
      <c r="R64" s="26">
        <f t="shared" si="8"/>
        <v>0</v>
      </c>
      <c r="S64" s="3"/>
      <c r="T64" s="3">
        <v>11</v>
      </c>
      <c r="U64" s="3"/>
      <c r="V64" s="26">
        <f t="shared" si="9"/>
        <v>4.2755709323397807E-6</v>
      </c>
      <c r="W64" s="3"/>
      <c r="X64" s="3">
        <f t="shared" si="10"/>
        <v>-11</v>
      </c>
      <c r="Y64" s="3"/>
      <c r="Z64" s="26">
        <f t="shared" si="11"/>
        <v>-1</v>
      </c>
    </row>
    <row r="65" spans="1:26" s="69" customFormat="1" ht="15" hidden="1" customHeight="1" outlineLevel="1" x14ac:dyDescent="0.3">
      <c r="A65" s="47"/>
      <c r="B65" s="9" t="str">
        <f>CONCATENATE("          ","5040"," - ","PURCHASES @ COST-LOGO CLOTHING")</f>
        <v xml:space="preserve">          5040 - PURCHASES @ COST-LOGO CLOTHING</v>
      </c>
      <c r="C65" s="9"/>
      <c r="D65" s="3"/>
      <c r="E65" s="3"/>
      <c r="F65" s="26">
        <f t="shared" si="4"/>
        <v>0</v>
      </c>
      <c r="G65" s="3"/>
      <c r="H65" s="3">
        <v>65486.18</v>
      </c>
      <c r="I65" s="3"/>
      <c r="J65" s="26">
        <f t="shared" si="5"/>
        <v>0.25616562353309341</v>
      </c>
      <c r="K65" s="3"/>
      <c r="L65" s="3">
        <f t="shared" si="6"/>
        <v>-65486.18</v>
      </c>
      <c r="M65" s="3"/>
      <c r="N65" s="26">
        <f t="shared" si="7"/>
        <v>-1</v>
      </c>
      <c r="O65" s="9"/>
      <c r="P65" s="3">
        <v>0</v>
      </c>
      <c r="Q65" s="3"/>
      <c r="R65" s="26">
        <f t="shared" si="8"/>
        <v>0</v>
      </c>
      <c r="S65" s="3"/>
      <c r="T65" s="3">
        <v>392865.16</v>
      </c>
      <c r="U65" s="3"/>
      <c r="V65" s="26">
        <f t="shared" si="9"/>
        <v>0.15270207803863792</v>
      </c>
      <c r="W65" s="3"/>
      <c r="X65" s="3">
        <f t="shared" si="10"/>
        <v>-392865.16</v>
      </c>
      <c r="Y65" s="3"/>
      <c r="Z65" s="26">
        <f t="shared" si="11"/>
        <v>-1</v>
      </c>
    </row>
    <row r="66" spans="1:26" s="69" customFormat="1" ht="15" hidden="1" customHeight="1" outlineLevel="1" x14ac:dyDescent="0.3">
      <c r="A66" s="47"/>
      <c r="B66" s="9" t="str">
        <f>CONCATENATE("          ","5041"," - ","PURCHASES @ COST-LOGO GIFTS")</f>
        <v xml:space="preserve">          5041 - PURCHASES @ COST-LOGO GIFTS</v>
      </c>
      <c r="C66" s="9"/>
      <c r="D66" s="3"/>
      <c r="E66" s="3"/>
      <c r="F66" s="26">
        <f t="shared" si="4"/>
        <v>0</v>
      </c>
      <c r="G66" s="3"/>
      <c r="H66" s="3">
        <v>115476.79</v>
      </c>
      <c r="I66" s="3"/>
      <c r="J66" s="26">
        <f t="shared" si="5"/>
        <v>0.45171643717728049</v>
      </c>
      <c r="K66" s="3"/>
      <c r="L66" s="3">
        <f t="shared" si="6"/>
        <v>-115476.79</v>
      </c>
      <c r="M66" s="3"/>
      <c r="N66" s="26">
        <f t="shared" si="7"/>
        <v>-1</v>
      </c>
      <c r="O66" s="9"/>
      <c r="P66" s="3">
        <v>0</v>
      </c>
      <c r="Q66" s="3"/>
      <c r="R66" s="26">
        <f t="shared" si="8"/>
        <v>0</v>
      </c>
      <c r="S66" s="3"/>
      <c r="T66" s="3">
        <v>221875.64</v>
      </c>
      <c r="U66" s="3"/>
      <c r="V66" s="26">
        <f t="shared" si="9"/>
        <v>8.6240457907116874E-2</v>
      </c>
      <c r="W66" s="3"/>
      <c r="X66" s="3">
        <f t="shared" si="10"/>
        <v>-221875.64</v>
      </c>
      <c r="Y66" s="3"/>
      <c r="Z66" s="26">
        <f t="shared" si="11"/>
        <v>-1</v>
      </c>
    </row>
    <row r="67" spans="1:26" s="69" customFormat="1" ht="15" hidden="1" customHeight="1" outlineLevel="1" x14ac:dyDescent="0.3">
      <c r="A67" s="47"/>
      <c r="B67" s="9" t="str">
        <f>CONCATENATE("          ","5042"," - ","PURCHASES @ COST-EVERYDAY GIFT")</f>
        <v xml:space="preserve">          5042 - PURCHASES @ COST-EVERYDAY GIFT</v>
      </c>
      <c r="C67" s="9"/>
      <c r="D67" s="3"/>
      <c r="E67" s="3"/>
      <c r="F67" s="26">
        <f t="shared" si="4"/>
        <v>0</v>
      </c>
      <c r="G67" s="3"/>
      <c r="H67" s="3">
        <v>-33.200000000000003</v>
      </c>
      <c r="I67" s="3"/>
      <c r="J67" s="26">
        <f t="shared" si="5"/>
        <v>-1.2987012987012987E-4</v>
      </c>
      <c r="K67" s="3"/>
      <c r="L67" s="3">
        <f t="shared" si="6"/>
        <v>33.200000000000003</v>
      </c>
      <c r="M67" s="3"/>
      <c r="N67" s="26">
        <f t="shared" si="7"/>
        <v>-1</v>
      </c>
      <c r="O67" s="9"/>
      <c r="P67" s="3">
        <v>0</v>
      </c>
      <c r="Q67" s="3"/>
      <c r="R67" s="26">
        <f t="shared" si="8"/>
        <v>0</v>
      </c>
      <c r="S67" s="3"/>
      <c r="T67" s="3">
        <v>18714.87</v>
      </c>
      <c r="U67" s="3"/>
      <c r="V67" s="26">
        <f t="shared" si="9"/>
        <v>7.2742503795016171E-3</v>
      </c>
      <c r="W67" s="3"/>
      <c r="X67" s="3">
        <f t="shared" si="10"/>
        <v>-18714.87</v>
      </c>
      <c r="Y67" s="3"/>
      <c r="Z67" s="26">
        <f t="shared" si="11"/>
        <v>-1</v>
      </c>
    </row>
    <row r="68" spans="1:26" s="69" customFormat="1" ht="15" hidden="1" customHeight="1" outlineLevel="1" x14ac:dyDescent="0.3">
      <c r="A68" s="47"/>
      <c r="B68" s="9" t="str">
        <f>CONCATENATE("          ","5043"," - ","PURCHASES @ COST-CARDS")</f>
        <v xml:space="preserve">          5043 - PURCHASES @ COST-CARDS</v>
      </c>
      <c r="C68" s="9"/>
      <c r="D68" s="3"/>
      <c r="E68" s="3"/>
      <c r="F68" s="26">
        <f t="shared" si="4"/>
        <v>0</v>
      </c>
      <c r="G68" s="3"/>
      <c r="H68" s="3">
        <v>-4615.6499999999996</v>
      </c>
      <c r="I68" s="3"/>
      <c r="J68" s="26">
        <f t="shared" si="5"/>
        <v>-1.8055273040212795E-2</v>
      </c>
      <c r="K68" s="3"/>
      <c r="L68" s="3">
        <f t="shared" si="6"/>
        <v>4615.6499999999996</v>
      </c>
      <c r="M68" s="3"/>
      <c r="N68" s="26">
        <f t="shared" si="7"/>
        <v>-1</v>
      </c>
      <c r="O68" s="9"/>
      <c r="P68" s="3">
        <v>0</v>
      </c>
      <c r="Q68" s="3"/>
      <c r="R68" s="26">
        <f t="shared" si="8"/>
        <v>0</v>
      </c>
      <c r="S68" s="3"/>
      <c r="T68" s="3">
        <v>50967.68</v>
      </c>
      <c r="U68" s="3"/>
      <c r="V68" s="26">
        <f t="shared" si="9"/>
        <v>1.9810539190617781E-2</v>
      </c>
      <c r="W68" s="3"/>
      <c r="X68" s="3">
        <f t="shared" si="10"/>
        <v>-50967.68</v>
      </c>
      <c r="Y68" s="3"/>
      <c r="Z68" s="26">
        <f t="shared" si="11"/>
        <v>-1</v>
      </c>
    </row>
    <row r="69" spans="1:26" s="69" customFormat="1" ht="15" hidden="1" customHeight="1" outlineLevel="1" x14ac:dyDescent="0.3">
      <c r="A69" s="47"/>
      <c r="B69" s="9" t="str">
        <f>CONCATENATE("          ","5044"," - ","PURCHASES @ COST-ACCESSORIES")</f>
        <v xml:space="preserve">          5044 - PURCHASES @ COST-ACCESSORIES</v>
      </c>
      <c r="C69" s="9"/>
      <c r="D69" s="3"/>
      <c r="E69" s="3"/>
      <c r="F69" s="26">
        <f t="shared" si="4"/>
        <v>0</v>
      </c>
      <c r="G69" s="3"/>
      <c r="H69" s="3">
        <v>4371.2</v>
      </c>
      <c r="I69" s="3"/>
      <c r="J69" s="26">
        <f t="shared" si="5"/>
        <v>1.7099045532780469E-2</v>
      </c>
      <c r="K69" s="3"/>
      <c r="L69" s="3">
        <f t="shared" si="6"/>
        <v>-4371.2</v>
      </c>
      <c r="M69" s="3"/>
      <c r="N69" s="26">
        <f t="shared" si="7"/>
        <v>-1</v>
      </c>
      <c r="O69" s="9"/>
      <c r="P69" s="3">
        <v>0</v>
      </c>
      <c r="Q69" s="3"/>
      <c r="R69" s="26">
        <f t="shared" si="8"/>
        <v>0</v>
      </c>
      <c r="S69" s="3"/>
      <c r="T69" s="3">
        <v>6926.91</v>
      </c>
      <c r="U69" s="3"/>
      <c r="V69" s="26">
        <f t="shared" si="9"/>
        <v>2.6924086406303407E-3</v>
      </c>
      <c r="W69" s="3"/>
      <c r="X69" s="3">
        <f t="shared" si="10"/>
        <v>-6926.91</v>
      </c>
      <c r="Y69" s="3"/>
      <c r="Z69" s="26">
        <f t="shared" si="11"/>
        <v>-1</v>
      </c>
    </row>
    <row r="70" spans="1:26" s="69" customFormat="1" ht="15" hidden="1" customHeight="1" outlineLevel="1" x14ac:dyDescent="0.3">
      <c r="A70" s="47"/>
      <c r="B70" s="9" t="str">
        <f>CONCATENATE("          ","5045"," - ","PURCHASES @ COST-SPECIAL ORDER")</f>
        <v xml:space="preserve">          5045 - PURCHASES @ COST-SPECIAL ORDER</v>
      </c>
      <c r="C70" s="9"/>
      <c r="D70" s="3"/>
      <c r="E70" s="3"/>
      <c r="F70" s="26">
        <f t="shared" si="4"/>
        <v>0</v>
      </c>
      <c r="G70" s="3"/>
      <c r="H70" s="3">
        <v>33785.81</v>
      </c>
      <c r="I70" s="3"/>
      <c r="J70" s="26">
        <f t="shared" si="5"/>
        <v>0.13216167266468468</v>
      </c>
      <c r="K70" s="3"/>
      <c r="L70" s="3">
        <f t="shared" si="6"/>
        <v>-33785.81</v>
      </c>
      <c r="M70" s="3"/>
      <c r="N70" s="26">
        <f t="shared" si="7"/>
        <v>-1</v>
      </c>
      <c r="O70" s="9"/>
      <c r="P70" s="3">
        <v>0</v>
      </c>
      <c r="Q70" s="3"/>
      <c r="R70" s="26">
        <f t="shared" si="8"/>
        <v>0</v>
      </c>
      <c r="S70" s="3"/>
      <c r="T70" s="3">
        <v>172925.05</v>
      </c>
      <c r="U70" s="3"/>
      <c r="V70" s="26">
        <f t="shared" si="9"/>
        <v>6.7213937932127557E-2</v>
      </c>
      <c r="W70" s="3"/>
      <c r="X70" s="3">
        <f t="shared" si="10"/>
        <v>-172925.05</v>
      </c>
      <c r="Y70" s="3"/>
      <c r="Z70" s="26">
        <f t="shared" si="11"/>
        <v>-1</v>
      </c>
    </row>
    <row r="71" spans="1:26" s="69" customFormat="1" ht="15" hidden="1" customHeight="1" outlineLevel="1" x14ac:dyDescent="0.3">
      <c r="A71" s="47"/>
      <c r="B71" s="9" t="str">
        <f>CONCATENATE("          ","5086"," - ","PURCHASES @ COST-COMPUTER SUPP")</f>
        <v xml:space="preserve">          5086 - PURCHASES @ COST-COMPUTER SUPP</v>
      </c>
      <c r="C71" s="9"/>
      <c r="D71" s="3"/>
      <c r="E71" s="3"/>
      <c r="F71" s="26">
        <f t="shared" si="4"/>
        <v>0</v>
      </c>
      <c r="G71" s="3"/>
      <c r="H71" s="3">
        <v>13.21</v>
      </c>
      <c r="I71" s="3"/>
      <c r="J71" s="26">
        <f t="shared" si="5"/>
        <v>5.1674229385072758E-5</v>
      </c>
      <c r="K71" s="3"/>
      <c r="L71" s="3">
        <f t="shared" si="6"/>
        <v>-13.21</v>
      </c>
      <c r="M71" s="3"/>
      <c r="N71" s="26">
        <f t="shared" si="7"/>
        <v>-1</v>
      </c>
      <c r="O71" s="9"/>
      <c r="P71" s="3"/>
      <c r="Q71" s="3"/>
      <c r="R71" s="26">
        <f t="shared" si="8"/>
        <v>0</v>
      </c>
      <c r="S71" s="3"/>
      <c r="T71" s="3">
        <v>26.42</v>
      </c>
      <c r="U71" s="3"/>
      <c r="V71" s="26">
        <f t="shared" si="9"/>
        <v>1.0269144002947E-5</v>
      </c>
      <c r="W71" s="3"/>
      <c r="X71" s="3">
        <f t="shared" si="10"/>
        <v>-26.42</v>
      </c>
      <c r="Y71" s="3"/>
      <c r="Z71" s="26">
        <f t="shared" si="11"/>
        <v>-1</v>
      </c>
    </row>
    <row r="72" spans="1:26" s="69" customFormat="1" ht="15" hidden="1" customHeight="1" outlineLevel="1" x14ac:dyDescent="0.3">
      <c r="A72" s="47"/>
      <c r="B72" s="9" t="str">
        <f>CONCATENATE("          ","5200"," - ","PURCHASES OFFSET")</f>
        <v xml:space="preserve">          5200 - PURCHASES OFFSET</v>
      </c>
      <c r="C72" s="9"/>
      <c r="D72" s="3">
        <v>-232978.06</v>
      </c>
      <c r="E72" s="3"/>
      <c r="F72" s="26">
        <f t="shared" si="4"/>
        <v>-0.82483818107115503</v>
      </c>
      <c r="G72" s="3"/>
      <c r="H72" s="3">
        <v>-236426.85</v>
      </c>
      <c r="I72" s="3"/>
      <c r="J72" s="26">
        <f t="shared" si="5"/>
        <v>-0.92484294320137683</v>
      </c>
      <c r="K72" s="3"/>
      <c r="L72" s="3">
        <f t="shared" si="6"/>
        <v>3448.7900000000081</v>
      </c>
      <c r="M72" s="3"/>
      <c r="N72" s="26">
        <f t="shared" si="7"/>
        <v>-1.4587133398765868E-2</v>
      </c>
      <c r="O72" s="9"/>
      <c r="P72" s="3">
        <v>-2704738.73</v>
      </c>
      <c r="Q72" s="3"/>
      <c r="R72" s="26">
        <f t="shared" si="8"/>
        <v>-0.53010413409196111</v>
      </c>
      <c r="S72" s="3"/>
      <c r="T72" s="3">
        <v>-950028.99</v>
      </c>
      <c r="U72" s="3"/>
      <c r="V72" s="26">
        <f t="shared" si="9"/>
        <v>-0.36926512132037453</v>
      </c>
      <c r="W72" s="3"/>
      <c r="X72" s="3">
        <f t="shared" si="10"/>
        <v>-1754709.74</v>
      </c>
      <c r="Y72" s="3"/>
      <c r="Z72" s="26">
        <f t="shared" si="11"/>
        <v>1.8470065213483644</v>
      </c>
    </row>
    <row r="73" spans="1:26" s="69" customFormat="1" ht="15" hidden="1" customHeight="1" outlineLevel="1" x14ac:dyDescent="0.3">
      <c r="A73" s="47"/>
      <c r="B73" s="9" t="str">
        <f>CONCATENATE("          ","5300"," - ","COG$ OFFSET")</f>
        <v xml:space="preserve">          5300 - COG$ OFFSET</v>
      </c>
      <c r="C73" s="9"/>
      <c r="D73" s="3">
        <v>135846.26</v>
      </c>
      <c r="E73" s="3"/>
      <c r="F73" s="26">
        <f t="shared" si="4"/>
        <v>0.48095164842440191</v>
      </c>
      <c r="G73" s="3"/>
      <c r="H73" s="3">
        <v>146675</v>
      </c>
      <c r="I73" s="3"/>
      <c r="J73" s="26">
        <f t="shared" si="5"/>
        <v>0.5737560632138945</v>
      </c>
      <c r="K73" s="3"/>
      <c r="L73" s="3">
        <f t="shared" si="6"/>
        <v>-10828.739999999991</v>
      </c>
      <c r="M73" s="3"/>
      <c r="N73" s="26">
        <f t="shared" si="7"/>
        <v>-7.3828123402079365E-2</v>
      </c>
      <c r="O73" s="9"/>
      <c r="P73" s="3">
        <v>2373526.3199999998</v>
      </c>
      <c r="Q73" s="3"/>
      <c r="R73" s="26">
        <f t="shared" si="8"/>
        <v>0.46518952113651246</v>
      </c>
      <c r="S73" s="3"/>
      <c r="T73" s="3">
        <v>1367254</v>
      </c>
      <c r="U73" s="3"/>
      <c r="V73" s="26">
        <f t="shared" si="9"/>
        <v>0.53143558722957218</v>
      </c>
      <c r="W73" s="3"/>
      <c r="X73" s="3">
        <f t="shared" si="10"/>
        <v>1006272.3199999998</v>
      </c>
      <c r="Y73" s="3"/>
      <c r="Z73" s="26">
        <f t="shared" si="11"/>
        <v>0.73598052739286179</v>
      </c>
    </row>
    <row r="74" spans="1:26" s="69" customFormat="1" ht="15" hidden="1" customHeight="1" outlineLevel="1" x14ac:dyDescent="0.3">
      <c r="A74" s="47"/>
      <c r="B74" s="9" t="str">
        <f>CONCATENATE("          ","5500"," - ","FREIGHT-IN")</f>
        <v xml:space="preserve">          5500 - FREIGHT-IN</v>
      </c>
      <c r="C74" s="9"/>
      <c r="D74" s="3">
        <v>8195.59</v>
      </c>
      <c r="E74" s="3"/>
      <c r="F74" s="26">
        <f t="shared" si="4"/>
        <v>2.901576031839628E-2</v>
      </c>
      <c r="G74" s="3"/>
      <c r="H74" s="3">
        <v>65</v>
      </c>
      <c r="I74" s="3"/>
      <c r="J74" s="26">
        <f t="shared" si="5"/>
        <v>2.5426380848067592E-4</v>
      </c>
      <c r="K74" s="3"/>
      <c r="L74" s="3">
        <f t="shared" si="6"/>
        <v>8130.59</v>
      </c>
      <c r="M74" s="3"/>
      <c r="N74" s="26">
        <f t="shared" si="7"/>
        <v>125.086</v>
      </c>
      <c r="O74" s="9"/>
      <c r="P74" s="3">
        <v>120867.36</v>
      </c>
      <c r="Q74" s="3"/>
      <c r="R74" s="26">
        <f t="shared" si="8"/>
        <v>2.3688900706790757E-2</v>
      </c>
      <c r="S74" s="3"/>
      <c r="T74" s="3">
        <v>65</v>
      </c>
      <c r="U74" s="3"/>
      <c r="V74" s="26">
        <f t="shared" si="9"/>
        <v>2.5264737327462341E-5</v>
      </c>
      <c r="W74" s="3"/>
      <c r="X74" s="3">
        <f t="shared" si="10"/>
        <v>120802.36</v>
      </c>
      <c r="Y74" s="3"/>
      <c r="Z74" s="26">
        <f t="shared" si="11"/>
        <v>1858.4978461538462</v>
      </c>
    </row>
    <row r="75" spans="1:26" s="69" customFormat="1" ht="15" hidden="1" customHeight="1" outlineLevel="1" x14ac:dyDescent="0.3">
      <c r="A75" s="47"/>
      <c r="B75" s="9" t="str">
        <f>CONCATENATE("          ","5525"," - ","FREIGHT-IN-TEST FORMS")</f>
        <v xml:space="preserve">          5525 - FREIGHT-IN-TEST FORMS</v>
      </c>
      <c r="C75" s="9"/>
      <c r="D75" s="3"/>
      <c r="E75" s="3"/>
      <c r="F75" s="26">
        <f t="shared" si="4"/>
        <v>0</v>
      </c>
      <c r="G75" s="3"/>
      <c r="H75" s="3"/>
      <c r="I75" s="3"/>
      <c r="J75" s="26">
        <f t="shared" si="5"/>
        <v>0</v>
      </c>
      <c r="K75" s="3"/>
      <c r="L75" s="3">
        <f t="shared" si="6"/>
        <v>0</v>
      </c>
      <c r="M75" s="3"/>
      <c r="N75" s="26">
        <f t="shared" si="7"/>
        <v>0</v>
      </c>
      <c r="O75" s="9"/>
      <c r="P75" s="3"/>
      <c r="Q75" s="3"/>
      <c r="R75" s="26">
        <f t="shared" si="8"/>
        <v>0</v>
      </c>
      <c r="S75" s="3"/>
      <c r="T75" s="3">
        <v>48.14</v>
      </c>
      <c r="U75" s="3"/>
      <c r="V75" s="26">
        <f t="shared" si="9"/>
        <v>1.8711453152985186E-5</v>
      </c>
      <c r="W75" s="3"/>
      <c r="X75" s="3">
        <f t="shared" si="10"/>
        <v>-48.14</v>
      </c>
      <c r="Y75" s="3"/>
      <c r="Z75" s="26">
        <f t="shared" si="11"/>
        <v>-1</v>
      </c>
    </row>
    <row r="76" spans="1:26" s="69" customFormat="1" ht="15" hidden="1" customHeight="1" outlineLevel="1" x14ac:dyDescent="0.3">
      <c r="A76" s="47"/>
      <c r="B76" s="9" t="str">
        <f>CONCATENATE("          ","5526"," - ","FREIGHT-IN-WRITING INSTRUMENTS")</f>
        <v xml:space="preserve">          5526 - FREIGHT-IN-WRITING INSTRUMENTS</v>
      </c>
      <c r="C76" s="9"/>
      <c r="D76" s="3"/>
      <c r="E76" s="3"/>
      <c r="F76" s="26">
        <f t="shared" si="4"/>
        <v>0</v>
      </c>
      <c r="G76" s="3"/>
      <c r="H76" s="3"/>
      <c r="I76" s="3"/>
      <c r="J76" s="26">
        <f t="shared" si="5"/>
        <v>0</v>
      </c>
      <c r="K76" s="3"/>
      <c r="L76" s="3">
        <f t="shared" si="6"/>
        <v>0</v>
      </c>
      <c r="M76" s="3"/>
      <c r="N76" s="26">
        <f t="shared" si="7"/>
        <v>0</v>
      </c>
      <c r="O76" s="9"/>
      <c r="P76" s="3"/>
      <c r="Q76" s="3"/>
      <c r="R76" s="26">
        <f t="shared" si="8"/>
        <v>0</v>
      </c>
      <c r="S76" s="3"/>
      <c r="T76" s="3">
        <v>0</v>
      </c>
      <c r="U76" s="3"/>
      <c r="V76" s="26">
        <f t="shared" si="9"/>
        <v>0</v>
      </c>
      <c r="W76" s="3"/>
      <c r="X76" s="3">
        <f t="shared" si="10"/>
        <v>0</v>
      </c>
      <c r="Y76" s="3"/>
      <c r="Z76" s="26">
        <f t="shared" si="11"/>
        <v>0</v>
      </c>
    </row>
    <row r="77" spans="1:26" s="69" customFormat="1" ht="15" hidden="1" customHeight="1" outlineLevel="1" x14ac:dyDescent="0.3">
      <c r="A77" s="47"/>
      <c r="B77" s="9" t="str">
        <f>CONCATENATE("          ","5527"," - ","FREIGHT-IN-SCHOOL SUPPLIES")</f>
        <v xml:space="preserve">          5527 - FREIGHT-IN-SCHOOL SUPPLIES</v>
      </c>
      <c r="C77" s="9"/>
      <c r="D77" s="3"/>
      <c r="E77" s="3"/>
      <c r="F77" s="26">
        <f t="shared" si="4"/>
        <v>0</v>
      </c>
      <c r="G77" s="3"/>
      <c r="H77" s="3"/>
      <c r="I77" s="3"/>
      <c r="J77" s="26">
        <f t="shared" si="5"/>
        <v>0</v>
      </c>
      <c r="K77" s="3"/>
      <c r="L77" s="3">
        <f t="shared" si="6"/>
        <v>0</v>
      </c>
      <c r="M77" s="3"/>
      <c r="N77" s="26">
        <f t="shared" si="7"/>
        <v>0</v>
      </c>
      <c r="O77" s="9"/>
      <c r="P77" s="3">
        <v>0</v>
      </c>
      <c r="Q77" s="3"/>
      <c r="R77" s="26">
        <f t="shared" si="8"/>
        <v>0</v>
      </c>
      <c r="S77" s="3"/>
      <c r="T77" s="3">
        <v>218.62</v>
      </c>
      <c r="U77" s="3"/>
      <c r="V77" s="26">
        <f t="shared" si="9"/>
        <v>8.4975028838920257E-5</v>
      </c>
      <c r="W77" s="3"/>
      <c r="X77" s="3">
        <f t="shared" si="10"/>
        <v>-218.62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","5528"," - ","FREIGHT-IN-ART/TECH")</f>
        <v xml:space="preserve">          5528 - FREIGHT-IN-ART/TECH</v>
      </c>
      <c r="C78" s="9"/>
      <c r="D78" s="3"/>
      <c r="E78" s="3"/>
      <c r="F78" s="26">
        <f t="shared" si="4"/>
        <v>0</v>
      </c>
      <c r="G78" s="3"/>
      <c r="H78" s="3">
        <v>102.68</v>
      </c>
      <c r="I78" s="3"/>
      <c r="J78" s="26">
        <f t="shared" si="5"/>
        <v>4.0165858238147393E-4</v>
      </c>
      <c r="K78" s="3"/>
      <c r="L78" s="3">
        <f t="shared" si="6"/>
        <v>-102.68</v>
      </c>
      <c r="M78" s="3"/>
      <c r="N78" s="26">
        <f t="shared" si="7"/>
        <v>-1</v>
      </c>
      <c r="O78" s="9"/>
      <c r="P78" s="3"/>
      <c r="Q78" s="3"/>
      <c r="R78" s="26">
        <f t="shared" si="8"/>
        <v>0</v>
      </c>
      <c r="S78" s="3"/>
      <c r="T78" s="3">
        <v>279.58999999999997</v>
      </c>
      <c r="U78" s="3"/>
      <c r="V78" s="26">
        <f t="shared" si="9"/>
        <v>1.0867335245207993E-4</v>
      </c>
      <c r="W78" s="3"/>
      <c r="X78" s="3">
        <f t="shared" si="10"/>
        <v>-279.58999999999997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","5540"," - ","FREIGHT-IN-LOGO CLOTHING")</f>
        <v xml:space="preserve">          5540 - FREIGHT-IN-LOGO CLOTHING</v>
      </c>
      <c r="C79" s="9"/>
      <c r="D79" s="3"/>
      <c r="E79" s="3"/>
      <c r="F79" s="26">
        <f t="shared" si="4"/>
        <v>0</v>
      </c>
      <c r="G79" s="3"/>
      <c r="H79" s="3">
        <v>1384.09</v>
      </c>
      <c r="I79" s="3"/>
      <c r="J79" s="26">
        <f t="shared" si="5"/>
        <v>5.4142153027695187E-3</v>
      </c>
      <c r="K79" s="3"/>
      <c r="L79" s="3">
        <f t="shared" si="6"/>
        <v>-1384.09</v>
      </c>
      <c r="M79" s="3"/>
      <c r="N79" s="26">
        <f t="shared" si="7"/>
        <v>-1</v>
      </c>
      <c r="O79" s="9"/>
      <c r="P79" s="3">
        <v>0</v>
      </c>
      <c r="Q79" s="3"/>
      <c r="R79" s="26">
        <f t="shared" si="8"/>
        <v>0</v>
      </c>
      <c r="S79" s="3"/>
      <c r="T79" s="3">
        <v>11883.79</v>
      </c>
      <c r="U79" s="3"/>
      <c r="V79" s="26">
        <f t="shared" si="9"/>
        <v>4.6190897354572878E-3</v>
      </c>
      <c r="W79" s="3"/>
      <c r="X79" s="3">
        <f t="shared" si="10"/>
        <v>-11883.79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","5541"," - ","FREIGHT-IN-LOGO GIFTS")</f>
        <v xml:space="preserve">          5541 - FREIGHT-IN-LOGO GIFTS</v>
      </c>
      <c r="C80" s="9"/>
      <c r="D80" s="3"/>
      <c r="E80" s="3"/>
      <c r="F80" s="26">
        <f t="shared" si="4"/>
        <v>0</v>
      </c>
      <c r="G80" s="3"/>
      <c r="H80" s="3">
        <v>1606.81</v>
      </c>
      <c r="I80" s="3"/>
      <c r="J80" s="26">
        <f t="shared" si="5"/>
        <v>6.2854404631513053E-3</v>
      </c>
      <c r="K80" s="3"/>
      <c r="L80" s="3">
        <f t="shared" si="6"/>
        <v>-1606.81</v>
      </c>
      <c r="M80" s="3"/>
      <c r="N80" s="26">
        <f t="shared" si="7"/>
        <v>-1</v>
      </c>
      <c r="O80" s="9"/>
      <c r="P80" s="3">
        <v>0</v>
      </c>
      <c r="Q80" s="3"/>
      <c r="R80" s="26">
        <f t="shared" si="8"/>
        <v>0</v>
      </c>
      <c r="S80" s="3"/>
      <c r="T80" s="3">
        <v>7584.01</v>
      </c>
      <c r="U80" s="3"/>
      <c r="V80" s="26">
        <f t="shared" si="9"/>
        <v>2.9478157005976566E-3</v>
      </c>
      <c r="W80" s="3"/>
      <c r="X80" s="3">
        <f t="shared" si="10"/>
        <v>-7584.01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","5542"," - ","FREIGHT-IN-EVERYDAY GIFTS")</f>
        <v xml:space="preserve">          5542 - FREIGHT-IN-EVERYDAY GIFTS</v>
      </c>
      <c r="C81" s="9"/>
      <c r="D81" s="3"/>
      <c r="E81" s="3"/>
      <c r="F81" s="26">
        <f t="shared" si="4"/>
        <v>0</v>
      </c>
      <c r="G81" s="3"/>
      <c r="H81" s="3"/>
      <c r="I81" s="3"/>
      <c r="J81" s="26">
        <f t="shared" si="5"/>
        <v>0</v>
      </c>
      <c r="K81" s="3"/>
      <c r="L81" s="3">
        <f t="shared" si="6"/>
        <v>0</v>
      </c>
      <c r="M81" s="3"/>
      <c r="N81" s="26">
        <f t="shared" si="7"/>
        <v>0</v>
      </c>
      <c r="O81" s="9"/>
      <c r="P81" s="3">
        <v>0</v>
      </c>
      <c r="Q81" s="3"/>
      <c r="R81" s="26">
        <f t="shared" si="8"/>
        <v>0</v>
      </c>
      <c r="S81" s="3"/>
      <c r="T81" s="3">
        <v>681.72</v>
      </c>
      <c r="U81" s="3"/>
      <c r="V81" s="26">
        <f t="shared" si="9"/>
        <v>2.6497656509042502E-4</v>
      </c>
      <c r="W81" s="3"/>
      <c r="X81" s="3">
        <f t="shared" si="10"/>
        <v>-681.72</v>
      </c>
      <c r="Y81" s="3"/>
      <c r="Z81" s="26">
        <f t="shared" si="11"/>
        <v>-1</v>
      </c>
    </row>
    <row r="82" spans="1:26" s="69" customFormat="1" ht="15" hidden="1" customHeight="1" outlineLevel="1" x14ac:dyDescent="0.3">
      <c r="A82" s="47"/>
      <c r="B82" s="9" t="str">
        <f>CONCATENATE("          ","5543"," - ","FREIGHT-IN-CARDS")</f>
        <v xml:space="preserve">          5543 - FREIGHT-IN-CARDS</v>
      </c>
      <c r="C82" s="9"/>
      <c r="D82" s="3"/>
      <c r="E82" s="3"/>
      <c r="F82" s="26">
        <f t="shared" si="4"/>
        <v>0</v>
      </c>
      <c r="G82" s="3"/>
      <c r="H82" s="3"/>
      <c r="I82" s="3"/>
      <c r="J82" s="26">
        <f t="shared" si="5"/>
        <v>0</v>
      </c>
      <c r="K82" s="3"/>
      <c r="L82" s="3">
        <f t="shared" si="6"/>
        <v>0</v>
      </c>
      <c r="M82" s="3"/>
      <c r="N82" s="26">
        <f t="shared" si="7"/>
        <v>0</v>
      </c>
      <c r="O82" s="9"/>
      <c r="P82" s="3"/>
      <c r="Q82" s="3"/>
      <c r="R82" s="26">
        <f t="shared" si="8"/>
        <v>0</v>
      </c>
      <c r="S82" s="3"/>
      <c r="T82" s="3">
        <v>9110.5300000000007</v>
      </c>
      <c r="U82" s="3"/>
      <c r="V82" s="26">
        <f t="shared" si="9"/>
        <v>3.5411561132917767E-3</v>
      </c>
      <c r="W82" s="3"/>
      <c r="X82" s="3">
        <f t="shared" si="10"/>
        <v>-9110.5300000000007</v>
      </c>
      <c r="Y82" s="3"/>
      <c r="Z82" s="26">
        <f t="shared" si="11"/>
        <v>-1</v>
      </c>
    </row>
    <row r="83" spans="1:26" s="69" customFormat="1" ht="15" hidden="1" customHeight="1" outlineLevel="1" x14ac:dyDescent="0.3">
      <c r="A83" s="47"/>
      <c r="B83" s="9" t="str">
        <f>CONCATENATE("          ","5544"," - ","FREIGHT-IN-ACCESSORIES")</f>
        <v xml:space="preserve">          5544 - FREIGHT-IN-ACCESSORIES</v>
      </c>
      <c r="C83" s="9"/>
      <c r="D83" s="3"/>
      <c r="E83" s="3"/>
      <c r="F83" s="26">
        <f t="shared" si="4"/>
        <v>0</v>
      </c>
      <c r="G83" s="3"/>
      <c r="H83" s="3">
        <v>48.59</v>
      </c>
      <c r="I83" s="3"/>
      <c r="J83" s="26">
        <f t="shared" si="5"/>
        <v>1.9007197621655452E-4</v>
      </c>
      <c r="K83" s="3"/>
      <c r="L83" s="3">
        <f t="shared" si="6"/>
        <v>-48.59</v>
      </c>
      <c r="M83" s="3"/>
      <c r="N83" s="26">
        <f t="shared" si="7"/>
        <v>-1</v>
      </c>
      <c r="O83" s="9"/>
      <c r="P83" s="3">
        <v>0</v>
      </c>
      <c r="Q83" s="3"/>
      <c r="R83" s="26">
        <f t="shared" si="8"/>
        <v>0</v>
      </c>
      <c r="S83" s="3"/>
      <c r="T83" s="3">
        <v>48.59</v>
      </c>
      <c r="U83" s="3"/>
      <c r="V83" s="26">
        <f t="shared" si="9"/>
        <v>1.8886362872944541E-5</v>
      </c>
      <c r="W83" s="3"/>
      <c r="X83" s="3">
        <f t="shared" si="10"/>
        <v>-48.59</v>
      </c>
      <c r="Y83" s="3"/>
      <c r="Z83" s="26">
        <f t="shared" si="11"/>
        <v>-1</v>
      </c>
    </row>
    <row r="84" spans="1:26" s="69" customFormat="1" ht="15" hidden="1" customHeight="1" outlineLevel="1" x14ac:dyDescent="0.3">
      <c r="A84" s="47"/>
      <c r="B84" s="9" t="str">
        <f>CONCATENATE("          ","5545"," - ","FREIGHT-IN-SPECIAL ORDERS")</f>
        <v xml:space="preserve">          5545 - FREIGHT-IN-SPECIAL ORDERS</v>
      </c>
      <c r="C84" s="9"/>
      <c r="D84" s="3"/>
      <c r="E84" s="3"/>
      <c r="F84" s="26">
        <f t="shared" si="4"/>
        <v>0</v>
      </c>
      <c r="G84" s="3"/>
      <c r="H84" s="3">
        <v>90.41</v>
      </c>
      <c r="I84" s="3"/>
      <c r="J84" s="26">
        <f t="shared" si="5"/>
        <v>3.5366139884212167E-4</v>
      </c>
      <c r="K84" s="3"/>
      <c r="L84" s="3">
        <f t="shared" si="6"/>
        <v>-90.41</v>
      </c>
      <c r="M84" s="3"/>
      <c r="N84" s="26">
        <f t="shared" si="7"/>
        <v>-1</v>
      </c>
      <c r="O84" s="9"/>
      <c r="P84" s="3">
        <v>0</v>
      </c>
      <c r="Q84" s="3"/>
      <c r="R84" s="26">
        <f t="shared" si="8"/>
        <v>0</v>
      </c>
      <c r="S84" s="3"/>
      <c r="T84" s="3">
        <v>2559.0700000000002</v>
      </c>
      <c r="U84" s="3"/>
      <c r="V84" s="26">
        <f t="shared" si="9"/>
        <v>9.9468048234752386E-4</v>
      </c>
      <c r="W84" s="3"/>
      <c r="X84" s="3">
        <f t="shared" si="10"/>
        <v>-2559.0700000000002</v>
      </c>
      <c r="Y84" s="3"/>
      <c r="Z84" s="26">
        <f t="shared" si="11"/>
        <v>-1</v>
      </c>
    </row>
    <row r="85" spans="1:26" ht="15" customHeight="1" x14ac:dyDescent="0.3">
      <c r="A85" s="12"/>
      <c r="B85" s="13"/>
      <c r="C85" s="13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O85" s="13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2" customFormat="1" ht="15" customHeight="1" x14ac:dyDescent="0.3">
      <c r="A86" s="13"/>
      <c r="B86" s="28" t="s">
        <v>288</v>
      </c>
      <c r="C86" s="28"/>
      <c r="D86" s="22">
        <f>D12-D57</f>
        <v>-54783.990000000049</v>
      </c>
      <c r="E86" s="15"/>
      <c r="F86" s="24">
        <f>IF(D$12=0,0,D86/D$12)</f>
        <v>-0.19395786308556431</v>
      </c>
      <c r="G86" s="15"/>
      <c r="H86" s="22">
        <f>H12-H57</f>
        <v>239819.70000000007</v>
      </c>
      <c r="I86" s="15"/>
      <c r="J86" s="24">
        <f>IF(H$12=0,0,H86/H$12)</f>
        <v>0.93811492724143342</v>
      </c>
      <c r="K86" s="17"/>
      <c r="L86" s="22">
        <f>+D86-H86</f>
        <v>-294603.69000000012</v>
      </c>
      <c r="M86" s="17"/>
      <c r="N86" s="24">
        <f>IF(H86=0,0,L86/H86)</f>
        <v>-1.2284382392272195</v>
      </c>
      <c r="O86" s="27"/>
      <c r="P86" s="22">
        <f>P12-P57</f>
        <v>2530361.0299999993</v>
      </c>
      <c r="Q86" s="15"/>
      <c r="R86" s="24">
        <f>IF(P$12=0,0,P86/P$12)</f>
        <v>0.49592769455709773</v>
      </c>
      <c r="S86" s="15"/>
      <c r="T86" s="22">
        <f>T12-T57</f>
        <v>1335439.9800000002</v>
      </c>
      <c r="U86" s="15"/>
      <c r="V86" s="24">
        <f>IF(T$12=0,0,T86/T$12)</f>
        <v>0.51906985094294722</v>
      </c>
      <c r="W86" s="17"/>
      <c r="X86" s="22">
        <f>+P86-T86</f>
        <v>1194921.0499999991</v>
      </c>
      <c r="Y86" s="17"/>
      <c r="Z86" s="24">
        <f>IF(T86=0,0,X86/T86)</f>
        <v>0.89477705317763434</v>
      </c>
    </row>
    <row r="87" spans="1:26" ht="15" customHeight="1" x14ac:dyDescent="0.3">
      <c r="A87" s="12"/>
      <c r="B87" s="13"/>
      <c r="C87" s="12"/>
      <c r="D87" s="2"/>
      <c r="E87" s="2"/>
      <c r="F87" s="5"/>
      <c r="G87" s="2"/>
      <c r="H87" s="2"/>
      <c r="I87" s="2"/>
      <c r="J87" s="5"/>
      <c r="K87" s="2"/>
      <c r="L87" s="2"/>
      <c r="M87" s="2"/>
      <c r="N87" s="5"/>
      <c r="O87" s="37"/>
      <c r="P87" s="2"/>
      <c r="Q87" s="2"/>
      <c r="R87" s="5"/>
      <c r="S87" s="2"/>
      <c r="T87" s="2"/>
      <c r="U87" s="2"/>
      <c r="V87" s="5"/>
      <c r="W87" s="2"/>
      <c r="X87" s="2"/>
      <c r="Y87" s="2"/>
      <c r="Z87" s="5"/>
    </row>
    <row r="88" spans="1:26" s="62" customFormat="1" ht="15" customHeight="1" x14ac:dyDescent="0.3">
      <c r="A88" s="13"/>
      <c r="B88" s="27" t="s">
        <v>289</v>
      </c>
      <c r="C88" s="13"/>
      <c r="D88" s="23" cm="1">
        <f t="array" ref="D88">SUM(OSRRefD22x_0)</f>
        <v>49878.44</v>
      </c>
      <c r="E88" s="23"/>
      <c r="F88" s="34">
        <f t="shared" ref="F88:F119" si="12">IF(D$12=0,0,D88/D$12)</f>
        <v>0.17659019791076785</v>
      </c>
      <c r="G88" s="23"/>
      <c r="H88" s="23" cm="1">
        <f t="array" ref="H88">SUM(OSRRefH22x_0)</f>
        <v>66578.39999999998</v>
      </c>
      <c r="I88" s="23"/>
      <c r="J88" s="34">
        <f t="shared" ref="J88:J119" si="13">IF(H$12=0,0,H88/H$12)</f>
        <v>0.26043811610076661</v>
      </c>
      <c r="K88" s="8"/>
      <c r="L88" s="23">
        <f t="shared" ref="L88:L119" si="14">+D88-H88</f>
        <v>-16699.959999999977</v>
      </c>
      <c r="M88" s="8"/>
      <c r="N88" s="34">
        <f t="shared" ref="N88:N119" si="15">IF(H88=0,0,L88/H88)</f>
        <v>-0.25083150090720086</v>
      </c>
      <c r="O88" s="13"/>
      <c r="P88" s="23" cm="1">
        <f t="array" ref="P88">SUM(OSRRefP22x_0)</f>
        <v>1198649.4600000002</v>
      </c>
      <c r="Q88" s="23"/>
      <c r="R88" s="34">
        <f t="shared" ref="R88:R119" si="16">IF(P$12=0,0,P88/P$12)</f>
        <v>0.23492436701015365</v>
      </c>
      <c r="S88" s="23"/>
      <c r="T88" s="23" cm="1">
        <f t="array" ref="T88">SUM(OSRRefT22x_0)</f>
        <v>821052.28999999992</v>
      </c>
      <c r="U88" s="23"/>
      <c r="V88" s="34">
        <f t="shared" ref="V88:V119" si="17">IF(T$12=0,0,T88/T$12)</f>
        <v>0.31913339136863744</v>
      </c>
      <c r="W88" s="8"/>
      <c r="X88" s="23">
        <f t="shared" ref="X88:X119" si="18">+P88-T88</f>
        <v>377597.17000000027</v>
      </c>
      <c r="Y88" s="8"/>
      <c r="Z88" s="34">
        <f t="shared" ref="Z88:Z119" si="19">IF(T88=0,0,X88/T88)</f>
        <v>0.4598941804303357</v>
      </c>
    </row>
    <row r="89" spans="1:26" s="68" customFormat="1" ht="15" customHeight="1" outlineLevel="1" collapsed="1" x14ac:dyDescent="0.3">
      <c r="A89" s="20"/>
      <c r="B89" s="11" t="str">
        <f>CONCATENATE("     ","*Benefits                                         ")</f>
        <v xml:space="preserve">     *Benefits                                         </v>
      </c>
      <c r="C89" s="11"/>
      <c r="D89" s="2">
        <f>SUM(OSRRefD22_0x_0)</f>
        <v>5288.1</v>
      </c>
      <c r="E89" s="2"/>
      <c r="F89" s="5">
        <f t="shared" si="12"/>
        <v>1.8722049558324828E-2</v>
      </c>
      <c r="G89" s="2"/>
      <c r="H89" s="2">
        <f>SUM(OSRRefH22_0x_0)</f>
        <v>14579.05</v>
      </c>
      <c r="I89" s="2"/>
      <c r="J89" s="5">
        <f t="shared" si="13"/>
        <v>5.7029611954310742E-2</v>
      </c>
      <c r="K89" s="2"/>
      <c r="L89" s="2">
        <f t="shared" si="14"/>
        <v>-9290.9499999999989</v>
      </c>
      <c r="M89" s="2"/>
      <c r="N89" s="5">
        <f t="shared" si="15"/>
        <v>-0.63728089278793887</v>
      </c>
      <c r="O89" s="11"/>
      <c r="P89" s="2">
        <f>SUM(OSRRefP22_0x_0)</f>
        <v>164919.59</v>
      </c>
      <c r="Q89" s="2"/>
      <c r="R89" s="5">
        <f t="shared" si="16"/>
        <v>3.2322736197056362E-2</v>
      </c>
      <c r="S89" s="2"/>
      <c r="T89" s="2">
        <f>SUM(OSRRefT22_0x_0)</f>
        <v>178221.96000000002</v>
      </c>
      <c r="U89" s="2"/>
      <c r="V89" s="5">
        <f t="shared" si="17"/>
        <v>6.9272784698238471E-2</v>
      </c>
      <c r="W89" s="2"/>
      <c r="X89" s="2">
        <f t="shared" si="18"/>
        <v>-13302.370000000024</v>
      </c>
      <c r="Y89" s="2"/>
      <c r="Z89" s="5">
        <f t="shared" si="19"/>
        <v>-7.4639342985567111E-2</v>
      </c>
    </row>
    <row r="90" spans="1:26" s="69" customFormat="1" ht="15" hidden="1" customHeight="1" outlineLevel="2" x14ac:dyDescent="0.3">
      <c r="A90" s="21"/>
      <c r="B90" s="9" t="str">
        <f>CONCATENATE("          ","6111"," - ","F.I.C.A.")</f>
        <v xml:space="preserve">          6111 - F.I.C.A.</v>
      </c>
      <c r="C90" s="9"/>
      <c r="D90" s="6">
        <v>4543.09</v>
      </c>
      <c r="E90" s="3"/>
      <c r="F90" s="7">
        <f t="shared" si="12"/>
        <v>1.6084407656422901E-2</v>
      </c>
      <c r="G90" s="3"/>
      <c r="H90" s="6">
        <v>3348.97</v>
      </c>
      <c r="I90" s="3"/>
      <c r="J90" s="7">
        <f t="shared" si="13"/>
        <v>1.3100336410577371E-2</v>
      </c>
      <c r="K90" s="3"/>
      <c r="L90" s="6">
        <f t="shared" si="14"/>
        <v>1194.1200000000003</v>
      </c>
      <c r="M90" s="3"/>
      <c r="N90" s="7">
        <f t="shared" si="15"/>
        <v>0.35656336127227189</v>
      </c>
      <c r="O90" s="9"/>
      <c r="P90" s="6">
        <v>34881.75</v>
      </c>
      <c r="Q90" s="3"/>
      <c r="R90" s="7">
        <f t="shared" si="16"/>
        <v>6.8365050103609323E-3</v>
      </c>
      <c r="S90" s="3"/>
      <c r="T90" s="6">
        <v>35934.33</v>
      </c>
      <c r="U90" s="3"/>
      <c r="V90" s="7">
        <f t="shared" si="17"/>
        <v>1.3967252438282306E-2</v>
      </c>
      <c r="W90" s="3"/>
      <c r="X90" s="6">
        <f t="shared" si="18"/>
        <v>-1052.5800000000017</v>
      </c>
      <c r="Y90" s="3"/>
      <c r="Z90" s="7">
        <f t="shared" si="19"/>
        <v>-2.9291766397202944E-2</v>
      </c>
    </row>
    <row r="91" spans="1:26" s="69" customFormat="1" ht="15" hidden="1" customHeight="1" outlineLevel="2" x14ac:dyDescent="0.3">
      <c r="A91" s="21"/>
      <c r="B91" s="9" t="str">
        <f>CONCATENATE("          ","6112"," - ","COMPENSATION INSURANCE")</f>
        <v xml:space="preserve">          6112 - COMPENSATION INSURANCE</v>
      </c>
      <c r="C91" s="9"/>
      <c r="D91" s="6">
        <v>-7848.77</v>
      </c>
      <c r="E91" s="3"/>
      <c r="F91" s="7">
        <f t="shared" si="12"/>
        <v>-2.7787874834419388E-2</v>
      </c>
      <c r="G91" s="3"/>
      <c r="H91" s="6">
        <v>926.03</v>
      </c>
      <c r="I91" s="3"/>
      <c r="J91" s="7">
        <f t="shared" si="13"/>
        <v>3.6223986856516971E-3</v>
      </c>
      <c r="K91" s="3"/>
      <c r="L91" s="6">
        <f t="shared" si="14"/>
        <v>-8774.8000000000011</v>
      </c>
      <c r="M91" s="3"/>
      <c r="N91" s="7">
        <f t="shared" si="15"/>
        <v>-9.4757189291923609</v>
      </c>
      <c r="O91" s="9"/>
      <c r="P91" s="6">
        <v>3347.32</v>
      </c>
      <c r="Q91" s="3"/>
      <c r="R91" s="7">
        <f t="shared" si="16"/>
        <v>6.5604420510098713E-4</v>
      </c>
      <c r="S91" s="3"/>
      <c r="T91" s="6">
        <v>11971.26</v>
      </c>
      <c r="U91" s="3"/>
      <c r="V91" s="7">
        <f t="shared" si="17"/>
        <v>4.6530882981347206E-3</v>
      </c>
      <c r="W91" s="3"/>
      <c r="X91" s="6">
        <f t="shared" si="18"/>
        <v>-8623.94</v>
      </c>
      <c r="Y91" s="3"/>
      <c r="Z91" s="7">
        <f t="shared" si="19"/>
        <v>-0.72038699351613789</v>
      </c>
    </row>
    <row r="92" spans="1:26" s="69" customFormat="1" ht="15" hidden="1" customHeight="1" outlineLevel="2" x14ac:dyDescent="0.3">
      <c r="A92" s="21"/>
      <c r="B92" s="9" t="str">
        <f>CONCATENATE("          ","6113"," - ","GROUP INSURANCE")</f>
        <v xml:space="preserve">          6113 - GROUP INSURANCE</v>
      </c>
      <c r="C92" s="9"/>
      <c r="D92" s="6">
        <v>3834.79</v>
      </c>
      <c r="E92" s="3"/>
      <c r="F92" s="7">
        <f t="shared" si="12"/>
        <v>1.3576734257250896E-2</v>
      </c>
      <c r="G92" s="3"/>
      <c r="H92" s="6">
        <v>4822.38</v>
      </c>
      <c r="I92" s="3"/>
      <c r="J92" s="7">
        <f t="shared" si="13"/>
        <v>1.8863949303708338E-2</v>
      </c>
      <c r="K92" s="3"/>
      <c r="L92" s="6">
        <f t="shared" si="14"/>
        <v>-987.59000000000015</v>
      </c>
      <c r="M92" s="3"/>
      <c r="N92" s="7">
        <f t="shared" si="15"/>
        <v>-0.20479306898253563</v>
      </c>
      <c r="O92" s="9"/>
      <c r="P92" s="6">
        <v>53661.19</v>
      </c>
      <c r="Q92" s="3"/>
      <c r="R92" s="7">
        <f t="shared" si="16"/>
        <v>1.0517104052890981E-2</v>
      </c>
      <c r="S92" s="3"/>
      <c r="T92" s="6">
        <v>63056.94</v>
      </c>
      <c r="U92" s="3"/>
      <c r="V92" s="7">
        <f t="shared" si="17"/>
        <v>2.4509492704208512E-2</v>
      </c>
      <c r="W92" s="3"/>
      <c r="X92" s="6">
        <f t="shared" si="18"/>
        <v>-9395.75</v>
      </c>
      <c r="Y92" s="3"/>
      <c r="Z92" s="7">
        <f t="shared" si="19"/>
        <v>-0.1490042174580625</v>
      </c>
    </row>
    <row r="93" spans="1:26" s="69" customFormat="1" ht="15" hidden="1" customHeight="1" outlineLevel="2" x14ac:dyDescent="0.3">
      <c r="A93" s="21"/>
      <c r="B93" s="9" t="str">
        <f>CONCATENATE("          ","6114"," - ","STATE UNEMPLOYMENT INSURANCE")</f>
        <v xml:space="preserve">          6114 - STATE UNEMPLOYMENT INSURANCE</v>
      </c>
      <c r="C93" s="9"/>
      <c r="D93" s="6"/>
      <c r="E93" s="3"/>
      <c r="F93" s="7">
        <f t="shared" si="12"/>
        <v>0</v>
      </c>
      <c r="G93" s="3"/>
      <c r="H93" s="6">
        <v>130.13999999999999</v>
      </c>
      <c r="I93" s="3"/>
      <c r="J93" s="7">
        <f t="shared" si="13"/>
        <v>5.0907526208731019E-4</v>
      </c>
      <c r="K93" s="3"/>
      <c r="L93" s="6">
        <f t="shared" si="14"/>
        <v>-130.13999999999999</v>
      </c>
      <c r="M93" s="3"/>
      <c r="N93" s="7">
        <f t="shared" si="15"/>
        <v>-1</v>
      </c>
      <c r="O93" s="9"/>
      <c r="P93" s="6">
        <v>1968.04</v>
      </c>
      <c r="Q93" s="3"/>
      <c r="R93" s="7">
        <f t="shared" si="16"/>
        <v>3.8571789891822311E-4</v>
      </c>
      <c r="S93" s="3"/>
      <c r="T93" s="6">
        <v>1482.33</v>
      </c>
      <c r="U93" s="3"/>
      <c r="V93" s="7">
        <f t="shared" si="17"/>
        <v>5.7616427819411151E-4</v>
      </c>
      <c r="W93" s="3"/>
      <c r="X93" s="6">
        <f t="shared" si="18"/>
        <v>485.71000000000004</v>
      </c>
      <c r="Y93" s="3"/>
      <c r="Z93" s="7">
        <f t="shared" si="19"/>
        <v>0.32766657896689677</v>
      </c>
    </row>
    <row r="94" spans="1:26" s="69" customFormat="1" ht="15" hidden="1" customHeight="1" outlineLevel="2" x14ac:dyDescent="0.3">
      <c r="A94" s="21"/>
      <c r="B94" s="9" t="str">
        <f>CONCATENATE("          ","6115"," - ","P.E.R.S.")</f>
        <v xml:space="preserve">          6115 - P.E.R.S.</v>
      </c>
      <c r="C94" s="9"/>
      <c r="D94" s="6">
        <v>1218.6600000000001</v>
      </c>
      <c r="E94" s="3"/>
      <c r="F94" s="7">
        <f t="shared" si="12"/>
        <v>4.3145577645559152E-3</v>
      </c>
      <c r="G94" s="3"/>
      <c r="H94" s="6">
        <v>2526.14</v>
      </c>
      <c r="I94" s="3"/>
      <c r="J94" s="7">
        <f t="shared" si="13"/>
        <v>9.881630417774994E-3</v>
      </c>
      <c r="K94" s="3"/>
      <c r="L94" s="6">
        <f t="shared" si="14"/>
        <v>-1307.4799999999998</v>
      </c>
      <c r="M94" s="3"/>
      <c r="N94" s="7">
        <f t="shared" si="15"/>
        <v>-0.51758018162097108</v>
      </c>
      <c r="O94" s="9"/>
      <c r="P94" s="6">
        <v>18442.28</v>
      </c>
      <c r="Q94" s="3"/>
      <c r="R94" s="7">
        <f t="shared" si="16"/>
        <v>3.6145187561541265E-3</v>
      </c>
      <c r="S94" s="3"/>
      <c r="T94" s="6">
        <v>24449.32</v>
      </c>
      <c r="U94" s="3"/>
      <c r="V94" s="7">
        <f t="shared" si="17"/>
        <v>9.5031638097703309E-3</v>
      </c>
      <c r="W94" s="3"/>
      <c r="X94" s="6">
        <f t="shared" si="18"/>
        <v>-6007.0400000000009</v>
      </c>
      <c r="Y94" s="3"/>
      <c r="Z94" s="7">
        <f t="shared" si="19"/>
        <v>-0.24569354076105188</v>
      </c>
    </row>
    <row r="95" spans="1:26" s="69" customFormat="1" ht="15" hidden="1" customHeight="1" outlineLevel="2" x14ac:dyDescent="0.3">
      <c r="A95" s="21"/>
      <c r="B95" s="9" t="str">
        <f>CONCATENATE("          ","6118"," - ","VACATION")</f>
        <v xml:space="preserve">          6118 - VACATION</v>
      </c>
      <c r="C95" s="9"/>
      <c r="D95" s="6">
        <v>1580.1</v>
      </c>
      <c r="E95" s="3"/>
      <c r="F95" s="7">
        <f t="shared" si="12"/>
        <v>5.5942040632947672E-3</v>
      </c>
      <c r="G95" s="3"/>
      <c r="H95" s="6">
        <v>1312.1</v>
      </c>
      <c r="I95" s="3"/>
      <c r="J95" s="7">
        <f t="shared" si="13"/>
        <v>5.1326083554999206E-3</v>
      </c>
      <c r="K95" s="3"/>
      <c r="L95" s="6">
        <f t="shared" si="14"/>
        <v>268</v>
      </c>
      <c r="M95" s="3"/>
      <c r="N95" s="7">
        <f t="shared" si="15"/>
        <v>0.20425272463989028</v>
      </c>
      <c r="O95" s="9"/>
      <c r="P95" s="6">
        <v>22964.26</v>
      </c>
      <c r="Q95" s="3"/>
      <c r="R95" s="7">
        <f t="shared" si="16"/>
        <v>4.5007856127984155E-3</v>
      </c>
      <c r="S95" s="3"/>
      <c r="T95" s="6">
        <v>20657.64</v>
      </c>
      <c r="U95" s="3"/>
      <c r="V95" s="7">
        <f t="shared" si="17"/>
        <v>8.0293822831581409E-3</v>
      </c>
      <c r="W95" s="3"/>
      <c r="X95" s="6">
        <f t="shared" si="18"/>
        <v>2306.619999999999</v>
      </c>
      <c r="Y95" s="3"/>
      <c r="Z95" s="7">
        <f t="shared" si="19"/>
        <v>0.11165941511227803</v>
      </c>
    </row>
    <row r="96" spans="1:26" s="69" customFormat="1" ht="15" hidden="1" customHeight="1" outlineLevel="2" x14ac:dyDescent="0.3">
      <c r="A96" s="21"/>
      <c r="B96" s="9" t="str">
        <f>CONCATENATE("          ","6119"," - ","SICK LEAVE")</f>
        <v xml:space="preserve">          6119 - SICK LEAVE</v>
      </c>
      <c r="C96" s="9"/>
      <c r="D96" s="6">
        <v>1145.42</v>
      </c>
      <c r="E96" s="3"/>
      <c r="F96" s="7">
        <f t="shared" si="12"/>
        <v>4.0552580331492264E-3</v>
      </c>
      <c r="G96" s="3"/>
      <c r="H96" s="6">
        <v>1105.6600000000001</v>
      </c>
      <c r="I96" s="3"/>
      <c r="J96" s="7">
        <f t="shared" si="13"/>
        <v>4.3250664997652949E-3</v>
      </c>
      <c r="K96" s="3"/>
      <c r="L96" s="6">
        <f t="shared" si="14"/>
        <v>39.759999999999991</v>
      </c>
      <c r="M96" s="3"/>
      <c r="N96" s="7">
        <f t="shared" si="15"/>
        <v>3.5960421829495492E-2</v>
      </c>
      <c r="O96" s="9"/>
      <c r="P96" s="6">
        <v>19846.849999999999</v>
      </c>
      <c r="Q96" s="3"/>
      <c r="R96" s="7">
        <f t="shared" si="16"/>
        <v>3.8898016717877357E-3</v>
      </c>
      <c r="S96" s="3"/>
      <c r="T96" s="6">
        <v>15106.35</v>
      </c>
      <c r="U96" s="3"/>
      <c r="V96" s="7">
        <f t="shared" si="17"/>
        <v>5.8716609957955492E-3</v>
      </c>
      <c r="W96" s="3"/>
      <c r="X96" s="6">
        <f t="shared" si="18"/>
        <v>4740.4999999999982</v>
      </c>
      <c r="Y96" s="3"/>
      <c r="Z96" s="7">
        <f t="shared" si="19"/>
        <v>0.31380843155361804</v>
      </c>
    </row>
    <row r="97" spans="1:26" s="69" customFormat="1" ht="15" hidden="1" customHeight="1" outlineLevel="2" x14ac:dyDescent="0.3">
      <c r="A97" s="21"/>
      <c r="B97" s="9" t="str">
        <f>CONCATENATE("          ","6156"," - ","EMPLOYEE MEALS")</f>
        <v xml:space="preserve">          6156 - EMPLOYEE MEALS</v>
      </c>
      <c r="C97" s="9"/>
      <c r="D97" s="6">
        <v>814.81</v>
      </c>
      <c r="E97" s="3"/>
      <c r="F97" s="7">
        <f t="shared" si="12"/>
        <v>2.8847626180705075E-3</v>
      </c>
      <c r="G97" s="3"/>
      <c r="H97" s="6">
        <v>407.63</v>
      </c>
      <c r="I97" s="3"/>
      <c r="J97" s="7">
        <f t="shared" si="13"/>
        <v>1.5945470192458141E-3</v>
      </c>
      <c r="K97" s="3"/>
      <c r="L97" s="6">
        <f t="shared" si="14"/>
        <v>407.17999999999995</v>
      </c>
      <c r="M97" s="3"/>
      <c r="N97" s="7">
        <f t="shared" si="15"/>
        <v>0.99889605769938417</v>
      </c>
      <c r="O97" s="9"/>
      <c r="P97" s="6">
        <v>9807.9</v>
      </c>
      <c r="Q97" s="3"/>
      <c r="R97" s="7">
        <f t="shared" si="16"/>
        <v>1.9222589890449586E-3</v>
      </c>
      <c r="S97" s="3"/>
      <c r="T97" s="6">
        <v>5563.79</v>
      </c>
      <c r="U97" s="3"/>
      <c r="V97" s="7">
        <f t="shared" si="17"/>
        <v>2.1625798906947952E-3</v>
      </c>
      <c r="W97" s="3"/>
      <c r="X97" s="6">
        <f t="shared" si="18"/>
        <v>4244.1099999999997</v>
      </c>
      <c r="Y97" s="3"/>
      <c r="Z97" s="7">
        <f t="shared" si="19"/>
        <v>0.76280916425673861</v>
      </c>
    </row>
    <row r="98" spans="1:26" s="68" customFormat="1" ht="15" customHeight="1" outlineLevel="1" collapsed="1" x14ac:dyDescent="0.3">
      <c r="A98" s="20"/>
      <c r="B98" s="11" t="str">
        <f>CONCATENATE("     ","*Payroll                                          ")</f>
        <v xml:space="preserve">     *Payroll                                          </v>
      </c>
      <c r="C98" s="11"/>
      <c r="D98" s="2">
        <f>SUM(OSRRefD22_1x_0)</f>
        <v>62465.89</v>
      </c>
      <c r="E98" s="2"/>
      <c r="F98" s="5">
        <f t="shared" si="12"/>
        <v>0.2211549494685931</v>
      </c>
      <c r="G98" s="2"/>
      <c r="H98" s="2">
        <f>SUM(OSRRefH22_1x_0)</f>
        <v>50353.939999999995</v>
      </c>
      <c r="I98" s="2"/>
      <c r="J98" s="5">
        <f t="shared" si="13"/>
        <v>0.19697207009857609</v>
      </c>
      <c r="K98" s="2"/>
      <c r="L98" s="2">
        <f t="shared" si="14"/>
        <v>12111.950000000004</v>
      </c>
      <c r="M98" s="2"/>
      <c r="N98" s="5">
        <f t="shared" si="15"/>
        <v>0.24053629169832599</v>
      </c>
      <c r="O98" s="11"/>
      <c r="P98" s="2">
        <f>SUM(OSRRefP22_1x_0)</f>
        <v>811834.74</v>
      </c>
      <c r="Q98" s="2"/>
      <c r="R98" s="5">
        <f t="shared" si="16"/>
        <v>0.15911220817748722</v>
      </c>
      <c r="S98" s="2"/>
      <c r="T98" s="2">
        <f>SUM(OSRRefT22_1x_0)</f>
        <v>480972.35</v>
      </c>
      <c r="U98" s="2"/>
      <c r="V98" s="5">
        <f t="shared" si="17"/>
        <v>0.18694830899265047</v>
      </c>
      <c r="W98" s="2"/>
      <c r="X98" s="2">
        <f t="shared" si="18"/>
        <v>330862.39</v>
      </c>
      <c r="Y98" s="2"/>
      <c r="Z98" s="5">
        <f t="shared" si="19"/>
        <v>0.68790314037802802</v>
      </c>
    </row>
    <row r="99" spans="1:26" s="69" customFormat="1" ht="15" hidden="1" customHeight="1" outlineLevel="2" x14ac:dyDescent="0.3">
      <c r="A99" s="21"/>
      <c r="B99" s="9" t="str">
        <f>CONCATENATE("          ","6002"," - ","STAFF SALARIES")</f>
        <v xml:space="preserve">          6002 - STAFF SALARIES</v>
      </c>
      <c r="C99" s="9"/>
      <c r="D99" s="6">
        <v>9137.41</v>
      </c>
      <c r="E99" s="3"/>
      <c r="F99" s="7">
        <f t="shared" si="12"/>
        <v>3.2350190589197039E-2</v>
      </c>
      <c r="G99" s="3"/>
      <c r="H99" s="6">
        <v>15739.11</v>
      </c>
      <c r="I99" s="3"/>
      <c r="J99" s="7">
        <f t="shared" si="13"/>
        <v>6.1567477703019867E-2</v>
      </c>
      <c r="K99" s="3"/>
      <c r="L99" s="6">
        <f t="shared" si="14"/>
        <v>-6601.7000000000007</v>
      </c>
      <c r="M99" s="3"/>
      <c r="N99" s="7">
        <f t="shared" si="15"/>
        <v>-0.41944557220833961</v>
      </c>
      <c r="O99" s="9"/>
      <c r="P99" s="6">
        <v>177425.97</v>
      </c>
      <c r="Q99" s="3"/>
      <c r="R99" s="7">
        <f t="shared" si="16"/>
        <v>3.4773872666169228E-2</v>
      </c>
      <c r="S99" s="3"/>
      <c r="T99" s="6">
        <v>223778.43</v>
      </c>
      <c r="U99" s="3"/>
      <c r="V99" s="7">
        <f t="shared" si="17"/>
        <v>8.6980050053875657E-2</v>
      </c>
      <c r="W99" s="3"/>
      <c r="X99" s="6">
        <f t="shared" si="18"/>
        <v>-46352.459999999992</v>
      </c>
      <c r="Y99" s="3"/>
      <c r="Z99" s="7">
        <f t="shared" si="19"/>
        <v>-0.20713551346302678</v>
      </c>
    </row>
    <row r="100" spans="1:26" s="69" customFormat="1" ht="15" hidden="1" customHeight="1" outlineLevel="2" x14ac:dyDescent="0.3">
      <c r="A100" s="21"/>
      <c r="B100" s="9" t="str">
        <f>CONCATENATE("          ","6004"," - ","STAFF HOURLY")</f>
        <v xml:space="preserve">          6004 - STAFF HOURLY</v>
      </c>
      <c r="C100" s="9"/>
      <c r="D100" s="6">
        <v>12067.44</v>
      </c>
      <c r="E100" s="3"/>
      <c r="F100" s="7">
        <f t="shared" si="12"/>
        <v>4.2723702222369347E-2</v>
      </c>
      <c r="G100" s="3"/>
      <c r="H100" s="6">
        <v>7690.47</v>
      </c>
      <c r="I100" s="3"/>
      <c r="J100" s="7">
        <f t="shared" si="13"/>
        <v>3.0083202941636675E-2</v>
      </c>
      <c r="K100" s="3"/>
      <c r="L100" s="6">
        <f t="shared" si="14"/>
        <v>4376.97</v>
      </c>
      <c r="M100" s="3"/>
      <c r="N100" s="7">
        <f t="shared" si="15"/>
        <v>0.56914206804005474</v>
      </c>
      <c r="O100" s="9"/>
      <c r="P100" s="6">
        <v>128185.74</v>
      </c>
      <c r="Q100" s="3"/>
      <c r="R100" s="7">
        <f t="shared" si="16"/>
        <v>2.5123236470842886E-2</v>
      </c>
      <c r="S100" s="3"/>
      <c r="T100" s="6">
        <v>69702.740000000005</v>
      </c>
      <c r="U100" s="3"/>
      <c r="V100" s="7">
        <f t="shared" si="17"/>
        <v>2.7092637186221576E-2</v>
      </c>
      <c r="W100" s="3"/>
      <c r="X100" s="6">
        <f t="shared" si="18"/>
        <v>58483</v>
      </c>
      <c r="Y100" s="3"/>
      <c r="Z100" s="7">
        <f t="shared" si="19"/>
        <v>0.83903444828711171</v>
      </c>
    </row>
    <row r="101" spans="1:26" s="69" customFormat="1" ht="15" hidden="1" customHeight="1" outlineLevel="2" x14ac:dyDescent="0.3">
      <c r="A101" s="21"/>
      <c r="B101" s="9" t="str">
        <f>CONCATENATE("          ","6005"," - ","TEMPORARY WAGES-HOURLY")</f>
        <v xml:space="preserve">          6005 - TEMPORARY WAGES-HOURLY</v>
      </c>
      <c r="C101" s="9"/>
      <c r="D101" s="6">
        <v>203.4</v>
      </c>
      <c r="E101" s="3"/>
      <c r="F101" s="7">
        <f t="shared" si="12"/>
        <v>7.2011968006718287E-4</v>
      </c>
      <c r="G101" s="3"/>
      <c r="H101" s="6">
        <v>3017.29</v>
      </c>
      <c r="I101" s="3"/>
      <c r="J101" s="7">
        <f t="shared" si="13"/>
        <v>1.1802886872163978E-2</v>
      </c>
      <c r="K101" s="3"/>
      <c r="L101" s="6">
        <f t="shared" si="14"/>
        <v>-2813.89</v>
      </c>
      <c r="M101" s="3"/>
      <c r="N101" s="7">
        <f t="shared" si="15"/>
        <v>-0.93258851485936056</v>
      </c>
      <c r="O101" s="9"/>
      <c r="P101" s="6">
        <v>30524.99</v>
      </c>
      <c r="Q101" s="3"/>
      <c r="R101" s="7">
        <f t="shared" si="16"/>
        <v>5.9826197675350969E-3</v>
      </c>
      <c r="S101" s="3"/>
      <c r="T101" s="6">
        <v>64957.03</v>
      </c>
      <c r="U101" s="3"/>
      <c r="V101" s="7">
        <f t="shared" si="17"/>
        <v>2.5248035392647555E-2</v>
      </c>
      <c r="W101" s="3"/>
      <c r="X101" s="6">
        <f t="shared" si="18"/>
        <v>-34432.039999999994</v>
      </c>
      <c r="Y101" s="3"/>
      <c r="Z101" s="7">
        <f t="shared" si="19"/>
        <v>-0.53007411207070265</v>
      </c>
    </row>
    <row r="102" spans="1:26" s="69" customFormat="1" ht="15" hidden="1" customHeight="1" outlineLevel="2" x14ac:dyDescent="0.3">
      <c r="A102" s="21"/>
      <c r="B102" s="9" t="str">
        <f>CONCATENATE("          ","6006"," - ","TEMPORARY PART TIME")</f>
        <v xml:space="preserve">          6006 - TEMPORARY PART TIME</v>
      </c>
      <c r="C102" s="9"/>
      <c r="D102" s="6"/>
      <c r="E102" s="3"/>
      <c r="F102" s="7">
        <f t="shared" si="12"/>
        <v>0</v>
      </c>
      <c r="G102" s="3"/>
      <c r="H102" s="6">
        <v>306.3</v>
      </c>
      <c r="I102" s="3"/>
      <c r="J102" s="7">
        <f t="shared" si="13"/>
        <v>1.1981693005789391E-3</v>
      </c>
      <c r="K102" s="3"/>
      <c r="L102" s="6">
        <f t="shared" si="14"/>
        <v>-306.3</v>
      </c>
      <c r="M102" s="3"/>
      <c r="N102" s="7">
        <f t="shared" si="15"/>
        <v>-1</v>
      </c>
      <c r="O102" s="9"/>
      <c r="P102" s="6"/>
      <c r="Q102" s="3"/>
      <c r="R102" s="7">
        <f t="shared" si="16"/>
        <v>0</v>
      </c>
      <c r="S102" s="3"/>
      <c r="T102" s="6">
        <v>6598.9</v>
      </c>
      <c r="U102" s="3"/>
      <c r="V102" s="7">
        <f t="shared" si="17"/>
        <v>2.5649150023106344E-3</v>
      </c>
      <c r="W102" s="3"/>
      <c r="X102" s="6">
        <f t="shared" si="18"/>
        <v>-6598.9</v>
      </c>
      <c r="Y102" s="3"/>
      <c r="Z102" s="7">
        <f t="shared" si="19"/>
        <v>-1</v>
      </c>
    </row>
    <row r="103" spans="1:26" s="69" customFormat="1" ht="15" hidden="1" customHeight="1" outlineLevel="2" x14ac:dyDescent="0.3">
      <c r="A103" s="21"/>
      <c r="B103" s="9" t="str">
        <f>CONCATENATE("          ","6007"," - ","STUDENT HOURLY")</f>
        <v xml:space="preserve">          6007 - STUDENT HOURLY</v>
      </c>
      <c r="C103" s="9"/>
      <c r="D103" s="6">
        <v>34094.19</v>
      </c>
      <c r="E103" s="3"/>
      <c r="F103" s="7">
        <f t="shared" si="12"/>
        <v>0.12070745916887782</v>
      </c>
      <c r="G103" s="3"/>
      <c r="H103" s="6">
        <v>16907.169999999998</v>
      </c>
      <c r="I103" s="3"/>
      <c r="J103" s="7">
        <f t="shared" si="13"/>
        <v>6.6136637458926603E-2</v>
      </c>
      <c r="K103" s="3"/>
      <c r="L103" s="6">
        <f t="shared" si="14"/>
        <v>17187.020000000004</v>
      </c>
      <c r="M103" s="3"/>
      <c r="N103" s="7">
        <f t="shared" si="15"/>
        <v>1.0165521491769471</v>
      </c>
      <c r="O103" s="9"/>
      <c r="P103" s="6">
        <v>380481.48</v>
      </c>
      <c r="Q103" s="3"/>
      <c r="R103" s="7">
        <f t="shared" si="16"/>
        <v>7.4570901527863206E-2</v>
      </c>
      <c r="S103" s="3"/>
      <c r="T103" s="6">
        <v>97667.5</v>
      </c>
      <c r="U103" s="3"/>
      <c r="V103" s="7">
        <f t="shared" si="17"/>
        <v>3.7962211275845044E-2</v>
      </c>
      <c r="W103" s="3"/>
      <c r="X103" s="6">
        <f t="shared" si="18"/>
        <v>282813.98</v>
      </c>
      <c r="Y103" s="3"/>
      <c r="Z103" s="7">
        <f t="shared" si="19"/>
        <v>2.8956815726828267</v>
      </c>
    </row>
    <row r="104" spans="1:26" s="69" customFormat="1" ht="15" hidden="1" customHeight="1" outlineLevel="2" x14ac:dyDescent="0.3">
      <c r="A104" s="21"/>
      <c r="B104" s="9" t="str">
        <f>CONCATENATE("          ","6008"," - ","STUDENT HOURLY-FICA EXEMPT")</f>
        <v xml:space="preserve">          6008 - STUDENT HOURLY-FICA EXEMPT</v>
      </c>
      <c r="C104" s="9"/>
      <c r="D104" s="6">
        <v>6963.45</v>
      </c>
      <c r="E104" s="3"/>
      <c r="F104" s="7">
        <f t="shared" si="12"/>
        <v>2.4653477808081734E-2</v>
      </c>
      <c r="G104" s="3"/>
      <c r="H104" s="6">
        <v>6693.6</v>
      </c>
      <c r="I104" s="3"/>
      <c r="J104" s="7">
        <f t="shared" si="13"/>
        <v>2.6183695822250039E-2</v>
      </c>
      <c r="K104" s="3"/>
      <c r="L104" s="6">
        <f t="shared" si="14"/>
        <v>269.84999999999945</v>
      </c>
      <c r="M104" s="3"/>
      <c r="N104" s="7">
        <f t="shared" si="15"/>
        <v>4.031462889924696E-2</v>
      </c>
      <c r="O104" s="9"/>
      <c r="P104" s="6">
        <v>95216.56</v>
      </c>
      <c r="Q104" s="3"/>
      <c r="R104" s="7">
        <f t="shared" si="16"/>
        <v>1.8661577745076791E-2</v>
      </c>
      <c r="S104" s="3"/>
      <c r="T104" s="6">
        <v>18267.75</v>
      </c>
      <c r="U104" s="3"/>
      <c r="V104" s="7">
        <f t="shared" si="17"/>
        <v>7.1004600817500029E-3</v>
      </c>
      <c r="W104" s="3"/>
      <c r="X104" s="6">
        <f t="shared" si="18"/>
        <v>76948.81</v>
      </c>
      <c r="Y104" s="3"/>
      <c r="Z104" s="7">
        <f t="shared" si="19"/>
        <v>4.2122762792352644</v>
      </c>
    </row>
    <row r="105" spans="1:26" s="68" customFormat="1" ht="15" customHeight="1" outlineLevel="1" collapsed="1" x14ac:dyDescent="0.3">
      <c r="A105" s="20"/>
      <c r="B105" s="11" t="str">
        <f>CONCATENATE("     ","Advertising/Promo                                 ")</f>
        <v xml:space="preserve">     Advertising/Promo                                 </v>
      </c>
      <c r="C105" s="11"/>
      <c r="D105" s="2">
        <f>SUM(OSRRefD22_2x_0)</f>
        <v>6345.32</v>
      </c>
      <c r="E105" s="2"/>
      <c r="F105" s="5">
        <f t="shared" si="12"/>
        <v>2.2465043305427219E-2</v>
      </c>
      <c r="G105" s="2"/>
      <c r="H105" s="2">
        <f>SUM(OSRRefH22_2x_0)</f>
        <v>1324.8</v>
      </c>
      <c r="I105" s="2"/>
      <c r="J105" s="5">
        <f t="shared" si="13"/>
        <v>5.1822875919261451E-3</v>
      </c>
      <c r="K105" s="2"/>
      <c r="L105" s="2">
        <f t="shared" si="14"/>
        <v>5020.5199999999995</v>
      </c>
      <c r="M105" s="2"/>
      <c r="N105" s="5">
        <f t="shared" si="15"/>
        <v>3.789643719806763</v>
      </c>
      <c r="O105" s="11"/>
      <c r="P105" s="2">
        <f>SUM(OSRRefP22_2x_0)</f>
        <v>16810.89</v>
      </c>
      <c r="Q105" s="2"/>
      <c r="R105" s="5">
        <f t="shared" si="16"/>
        <v>3.294781188261096E-3</v>
      </c>
      <c r="S105" s="2"/>
      <c r="T105" s="2">
        <f>SUM(OSRRefT22_2x_0)</f>
        <v>15837.61</v>
      </c>
      <c r="U105" s="2"/>
      <c r="V105" s="5">
        <f t="shared" si="17"/>
        <v>6.1558931776121671E-3</v>
      </c>
      <c r="W105" s="2"/>
      <c r="X105" s="2">
        <f t="shared" si="18"/>
        <v>973.27999999999884</v>
      </c>
      <c r="Y105" s="2"/>
      <c r="Z105" s="5">
        <f t="shared" si="19"/>
        <v>6.1453716817120689E-2</v>
      </c>
    </row>
    <row r="106" spans="1:26" s="69" customFormat="1" ht="15" hidden="1" customHeight="1" outlineLevel="2" x14ac:dyDescent="0.3">
      <c r="A106" s="21"/>
      <c r="B106" s="9" t="str">
        <f>CONCATENATE("          ","6362"," - ","ADVERTISING EXPENSE")</f>
        <v xml:space="preserve">          6362 - ADVERTISING EXPENSE</v>
      </c>
      <c r="C106" s="9"/>
      <c r="D106" s="6">
        <v>6345.32</v>
      </c>
      <c r="E106" s="3"/>
      <c r="F106" s="7">
        <f t="shared" si="12"/>
        <v>2.2465043305427219E-2</v>
      </c>
      <c r="G106" s="3"/>
      <c r="H106" s="6">
        <v>1324.8</v>
      </c>
      <c r="I106" s="3"/>
      <c r="J106" s="7">
        <f t="shared" si="13"/>
        <v>5.1822875919261451E-3</v>
      </c>
      <c r="K106" s="3"/>
      <c r="L106" s="6">
        <f t="shared" si="14"/>
        <v>5020.5199999999995</v>
      </c>
      <c r="M106" s="3"/>
      <c r="N106" s="7">
        <f t="shared" si="15"/>
        <v>3.789643719806763</v>
      </c>
      <c r="O106" s="9"/>
      <c r="P106" s="6">
        <v>16810.89</v>
      </c>
      <c r="Q106" s="3"/>
      <c r="R106" s="7">
        <f t="shared" si="16"/>
        <v>3.294781188261096E-3</v>
      </c>
      <c r="S106" s="3"/>
      <c r="T106" s="6">
        <v>15837.61</v>
      </c>
      <c r="U106" s="3"/>
      <c r="V106" s="7">
        <f t="shared" si="17"/>
        <v>6.1558931776121671E-3</v>
      </c>
      <c r="W106" s="3"/>
      <c r="X106" s="6">
        <f t="shared" si="18"/>
        <v>973.27999999999884</v>
      </c>
      <c r="Y106" s="3"/>
      <c r="Z106" s="7">
        <f t="shared" si="19"/>
        <v>6.1453716817120689E-2</v>
      </c>
    </row>
    <row r="107" spans="1:26" s="68" customFormat="1" ht="15" customHeight="1" outlineLevel="1" collapsed="1" x14ac:dyDescent="0.3">
      <c r="A107" s="20"/>
      <c r="B107" s="11" t="str">
        <f>CONCATENATE("     ","Bad Debts/Over/Short                              ")</f>
        <v xml:space="preserve">     Bad Debts/Over/Short                              </v>
      </c>
      <c r="C107" s="11"/>
      <c r="D107" s="2">
        <f>SUM(OSRRefD22_3x_0)</f>
        <v>59.49</v>
      </c>
      <c r="E107" s="2"/>
      <c r="F107" s="5">
        <f t="shared" si="12"/>
        <v>2.1061907456832208E-4</v>
      </c>
      <c r="G107" s="2"/>
      <c r="H107" s="2">
        <f>SUM(OSRRefH22_3x_0)</f>
        <v>-7.0000000000000007E-2</v>
      </c>
      <c r="I107" s="2"/>
      <c r="J107" s="5">
        <f t="shared" si="13"/>
        <v>-2.7382256297918949E-7</v>
      </c>
      <c r="K107" s="2"/>
      <c r="L107" s="2">
        <f t="shared" si="14"/>
        <v>59.56</v>
      </c>
      <c r="M107" s="2"/>
      <c r="N107" s="5">
        <f t="shared" si="15"/>
        <v>-850.85714285714278</v>
      </c>
      <c r="O107" s="11"/>
      <c r="P107" s="2">
        <f>SUM(OSRRefP22_3x_0)</f>
        <v>6.56</v>
      </c>
      <c r="Q107" s="2"/>
      <c r="R107" s="5">
        <f t="shared" si="16"/>
        <v>1.2857001976095728E-6</v>
      </c>
      <c r="S107" s="2"/>
      <c r="T107" s="2">
        <f>SUM(OSRRefT22_3x_0)</f>
        <v>-24.57</v>
      </c>
      <c r="U107" s="2"/>
      <c r="V107" s="5">
        <f t="shared" si="17"/>
        <v>-9.5500707097807651E-6</v>
      </c>
      <c r="W107" s="2"/>
      <c r="X107" s="2">
        <f t="shared" si="18"/>
        <v>31.13</v>
      </c>
      <c r="Y107" s="2"/>
      <c r="Z107" s="5">
        <f t="shared" si="19"/>
        <v>-1.2669922669922669</v>
      </c>
    </row>
    <row r="108" spans="1:26" s="69" customFormat="1" ht="15" hidden="1" customHeight="1" outlineLevel="2" x14ac:dyDescent="0.3">
      <c r="A108" s="21"/>
      <c r="B108" s="9" t="str">
        <f>CONCATENATE("          ","6272"," - ","CASH (OVER/SHORT)")</f>
        <v xml:space="preserve">          6272 - CASH (OVER/SHORT)</v>
      </c>
      <c r="C108" s="9"/>
      <c r="D108" s="6">
        <v>59.49</v>
      </c>
      <c r="E108" s="3"/>
      <c r="F108" s="7">
        <f t="shared" si="12"/>
        <v>2.1061907456832208E-4</v>
      </c>
      <c r="G108" s="3"/>
      <c r="H108" s="6">
        <v>-7.0000000000000007E-2</v>
      </c>
      <c r="I108" s="3"/>
      <c r="J108" s="7">
        <f t="shared" si="13"/>
        <v>-2.7382256297918949E-7</v>
      </c>
      <c r="K108" s="3"/>
      <c r="L108" s="6">
        <f t="shared" si="14"/>
        <v>59.56</v>
      </c>
      <c r="M108" s="3"/>
      <c r="N108" s="7">
        <f t="shared" si="15"/>
        <v>-850.85714285714278</v>
      </c>
      <c r="O108" s="9"/>
      <c r="P108" s="6">
        <v>6.56</v>
      </c>
      <c r="Q108" s="3"/>
      <c r="R108" s="7">
        <f t="shared" si="16"/>
        <v>1.2857001976095728E-6</v>
      </c>
      <c r="S108" s="3"/>
      <c r="T108" s="6">
        <v>-24.57</v>
      </c>
      <c r="U108" s="3"/>
      <c r="V108" s="7">
        <f t="shared" si="17"/>
        <v>-9.5500707097807651E-6</v>
      </c>
      <c r="W108" s="3"/>
      <c r="X108" s="6">
        <f t="shared" si="18"/>
        <v>31.13</v>
      </c>
      <c r="Y108" s="3"/>
      <c r="Z108" s="7">
        <f t="shared" si="19"/>
        <v>-1.2669922669922669</v>
      </c>
    </row>
    <row r="109" spans="1:26" s="68" customFormat="1" ht="15" customHeight="1" outlineLevel="1" collapsed="1" x14ac:dyDescent="0.3">
      <c r="A109" s="20"/>
      <c r="B109" s="11" t="str">
        <f>CONCATENATE("     ","Bank/card Fees                                    ")</f>
        <v xml:space="preserve">     Bank/card Fees                                    </v>
      </c>
      <c r="C109" s="11"/>
      <c r="D109" s="2">
        <f>SUM(OSRRefD22_4x_0)</f>
        <v>613.19000000000005</v>
      </c>
      <c r="E109" s="2"/>
      <c r="F109" s="5">
        <f t="shared" si="12"/>
        <v>2.1709448703067643E-3</v>
      </c>
      <c r="G109" s="2"/>
      <c r="H109" s="2">
        <f>SUM(OSRRefH22_4x_0)</f>
        <v>494.04</v>
      </c>
      <c r="I109" s="2"/>
      <c r="J109" s="5">
        <f t="shared" si="13"/>
        <v>1.9325614144891253E-3</v>
      </c>
      <c r="K109" s="2"/>
      <c r="L109" s="2">
        <f t="shared" si="14"/>
        <v>119.15000000000003</v>
      </c>
      <c r="M109" s="2"/>
      <c r="N109" s="5">
        <f t="shared" si="15"/>
        <v>0.24117480365962277</v>
      </c>
      <c r="O109" s="11"/>
      <c r="P109" s="2">
        <f>SUM(OSRRefP22_4x_0)</f>
        <v>6814.66</v>
      </c>
      <c r="Q109" s="2"/>
      <c r="R109" s="5">
        <f t="shared" si="16"/>
        <v>1.3356112360734835E-3</v>
      </c>
      <c r="S109" s="2"/>
      <c r="T109" s="2">
        <f>SUM(OSRRefT22_4x_0)</f>
        <v>4972.8900000000003</v>
      </c>
      <c r="U109" s="2"/>
      <c r="V109" s="5">
        <f t="shared" si="17"/>
        <v>1.932903993974834E-3</v>
      </c>
      <c r="W109" s="2"/>
      <c r="X109" s="2">
        <f t="shared" si="18"/>
        <v>1841.7699999999995</v>
      </c>
      <c r="Y109" s="2"/>
      <c r="Z109" s="5">
        <f t="shared" si="19"/>
        <v>0.37036210332422381</v>
      </c>
    </row>
    <row r="110" spans="1:26" s="69" customFormat="1" ht="15" hidden="1" customHeight="1" outlineLevel="2" x14ac:dyDescent="0.3">
      <c r="A110" s="21"/>
      <c r="B110" s="9" t="str">
        <f>CONCATENATE("          ","6381"," - ","BANK/CREDIT CARD FEES")</f>
        <v xml:space="preserve">          6381 - BANK/CREDIT CARD FEES</v>
      </c>
      <c r="C110" s="9"/>
      <c r="D110" s="6">
        <v>613.19000000000005</v>
      </c>
      <c r="E110" s="3"/>
      <c r="F110" s="7">
        <f t="shared" si="12"/>
        <v>2.1709448703067643E-3</v>
      </c>
      <c r="G110" s="3"/>
      <c r="H110" s="6">
        <v>494.04</v>
      </c>
      <c r="I110" s="3"/>
      <c r="J110" s="7">
        <f t="shared" si="13"/>
        <v>1.9325614144891253E-3</v>
      </c>
      <c r="K110" s="3"/>
      <c r="L110" s="6">
        <f t="shared" si="14"/>
        <v>119.15000000000003</v>
      </c>
      <c r="M110" s="3"/>
      <c r="N110" s="7">
        <f t="shared" si="15"/>
        <v>0.24117480365962277</v>
      </c>
      <c r="O110" s="9"/>
      <c r="P110" s="6">
        <v>6814.66</v>
      </c>
      <c r="Q110" s="3"/>
      <c r="R110" s="7">
        <f t="shared" si="16"/>
        <v>1.3356112360734835E-3</v>
      </c>
      <c r="S110" s="3"/>
      <c r="T110" s="6">
        <v>4972.8900000000003</v>
      </c>
      <c r="U110" s="3"/>
      <c r="V110" s="7">
        <f t="shared" si="17"/>
        <v>1.932903993974834E-3</v>
      </c>
      <c r="W110" s="3"/>
      <c r="X110" s="6">
        <f t="shared" si="18"/>
        <v>1841.7699999999995</v>
      </c>
      <c r="Y110" s="3"/>
      <c r="Z110" s="7">
        <f t="shared" si="19"/>
        <v>0.37036210332422381</v>
      </c>
    </row>
    <row r="111" spans="1:26" s="68" customFormat="1" ht="15" customHeight="1" outlineLevel="1" collapsed="1" x14ac:dyDescent="0.3">
      <c r="A111" s="20"/>
      <c r="B111" s="11" t="str">
        <f>CONCATENATE("     ","Discounts and Markdowns                           ")</f>
        <v xml:space="preserve">     Discounts and Markdowns                           </v>
      </c>
      <c r="C111" s="11"/>
      <c r="D111" s="2">
        <f>SUM(OSRRefD22_5x_0)</f>
        <v>0</v>
      </c>
      <c r="E111" s="2"/>
      <c r="F111" s="5">
        <f t="shared" si="12"/>
        <v>0</v>
      </c>
      <c r="G111" s="2"/>
      <c r="H111" s="2">
        <f>SUM(OSRRefH22_5x_0)</f>
        <v>0</v>
      </c>
      <c r="I111" s="2"/>
      <c r="J111" s="5">
        <f t="shared" si="13"/>
        <v>0</v>
      </c>
      <c r="K111" s="2"/>
      <c r="L111" s="2">
        <f t="shared" si="14"/>
        <v>0</v>
      </c>
      <c r="M111" s="2"/>
      <c r="N111" s="5">
        <f t="shared" si="15"/>
        <v>0</v>
      </c>
      <c r="O111" s="11"/>
      <c r="P111" s="2">
        <f>SUM(OSRRefP22_5x_0)</f>
        <v>0</v>
      </c>
      <c r="Q111" s="2"/>
      <c r="R111" s="5">
        <f t="shared" si="16"/>
        <v>0</v>
      </c>
      <c r="S111" s="2"/>
      <c r="T111" s="2">
        <f>SUM(OSRRefT22_5x_0)</f>
        <v>0</v>
      </c>
      <c r="U111" s="2"/>
      <c r="V111" s="5">
        <f t="shared" si="17"/>
        <v>0</v>
      </c>
      <c r="W111" s="2"/>
      <c r="X111" s="2">
        <f t="shared" si="18"/>
        <v>0</v>
      </c>
      <c r="Y111" s="2"/>
      <c r="Z111" s="5">
        <f t="shared" si="19"/>
        <v>0</v>
      </c>
    </row>
    <row r="112" spans="1:26" s="69" customFormat="1" ht="15" hidden="1" customHeight="1" outlineLevel="2" x14ac:dyDescent="0.3">
      <c r="A112" s="21"/>
      <c r="B112" s="9" t="str">
        <f>CONCATENATE("          ","6382"," - ","DISCOUNTS/MARK DOWNS")</f>
        <v xml:space="preserve">          6382 - DISCOUNTS/MARK DOWNS</v>
      </c>
      <c r="C112" s="9"/>
      <c r="D112" s="6"/>
      <c r="E112" s="3"/>
      <c r="F112" s="7">
        <f t="shared" si="12"/>
        <v>0</v>
      </c>
      <c r="G112" s="3"/>
      <c r="H112" s="6">
        <v>0</v>
      </c>
      <c r="I112" s="3"/>
      <c r="J112" s="7">
        <f t="shared" si="13"/>
        <v>0</v>
      </c>
      <c r="K112" s="3"/>
      <c r="L112" s="6">
        <f t="shared" si="14"/>
        <v>0</v>
      </c>
      <c r="M112" s="3"/>
      <c r="N112" s="7">
        <f t="shared" si="15"/>
        <v>0</v>
      </c>
      <c r="O112" s="9"/>
      <c r="P112" s="6"/>
      <c r="Q112" s="3"/>
      <c r="R112" s="7">
        <f t="shared" si="16"/>
        <v>0</v>
      </c>
      <c r="S112" s="3"/>
      <c r="T112" s="6">
        <v>0</v>
      </c>
      <c r="U112" s="3"/>
      <c r="V112" s="7">
        <f t="shared" si="17"/>
        <v>0</v>
      </c>
      <c r="W112" s="3"/>
      <c r="X112" s="6">
        <f t="shared" si="18"/>
        <v>0</v>
      </c>
      <c r="Y112" s="3"/>
      <c r="Z112" s="7">
        <f t="shared" si="19"/>
        <v>0</v>
      </c>
    </row>
    <row r="113" spans="1:26" s="69" customFormat="1" ht="15" hidden="1" customHeight="1" outlineLevel="2" x14ac:dyDescent="0.3">
      <c r="A113" s="21"/>
      <c r="B113" s="9" t="str">
        <f>CONCATENATE("          ","9175"," - ","EARNED DISCOUNTS")</f>
        <v xml:space="preserve">          9175 - EARNED DISCOUNTS</v>
      </c>
      <c r="C113" s="9"/>
      <c r="D113" s="6"/>
      <c r="E113" s="3"/>
      <c r="F113" s="7">
        <f t="shared" si="12"/>
        <v>0</v>
      </c>
      <c r="G113" s="3"/>
      <c r="H113" s="6">
        <v>0</v>
      </c>
      <c r="I113" s="3"/>
      <c r="J113" s="7">
        <f t="shared" si="13"/>
        <v>0</v>
      </c>
      <c r="K113" s="3"/>
      <c r="L113" s="6">
        <f t="shared" si="14"/>
        <v>0</v>
      </c>
      <c r="M113" s="3"/>
      <c r="N113" s="7">
        <f t="shared" si="15"/>
        <v>0</v>
      </c>
      <c r="O113" s="9"/>
      <c r="P113" s="6">
        <v>0</v>
      </c>
      <c r="Q113" s="3"/>
      <c r="R113" s="7">
        <f t="shared" si="16"/>
        <v>0</v>
      </c>
      <c r="S113" s="3"/>
      <c r="T113" s="6">
        <v>0</v>
      </c>
      <c r="U113" s="3"/>
      <c r="V113" s="7">
        <f t="shared" si="17"/>
        <v>0</v>
      </c>
      <c r="W113" s="3"/>
      <c r="X113" s="6">
        <f t="shared" si="18"/>
        <v>0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0"/>
      <c r="B114" s="11" t="str">
        <f>CONCATENATE("     ","Employees' Appreciation                           ")</f>
        <v xml:space="preserve">     Employees' Appreciation                           </v>
      </c>
      <c r="C114" s="11"/>
      <c r="D114" s="2">
        <f>SUM(OSRRefD22_6x_0)</f>
        <v>1068.18</v>
      </c>
      <c r="E114" s="2"/>
      <c r="F114" s="5">
        <f t="shared" si="12"/>
        <v>3.781796656116831E-3</v>
      </c>
      <c r="G114" s="2"/>
      <c r="H114" s="2">
        <f>SUM(OSRRefH22_6x_0)</f>
        <v>0</v>
      </c>
      <c r="I114" s="2"/>
      <c r="J114" s="5">
        <f t="shared" si="13"/>
        <v>0</v>
      </c>
      <c r="K114" s="2"/>
      <c r="L114" s="2">
        <f t="shared" si="14"/>
        <v>1068.18</v>
      </c>
      <c r="M114" s="2"/>
      <c r="N114" s="5">
        <f t="shared" si="15"/>
        <v>0</v>
      </c>
      <c r="O114" s="11"/>
      <c r="P114" s="2">
        <f>SUM(OSRRefP22_6x_0)</f>
        <v>1359.31</v>
      </c>
      <c r="Q114" s="2"/>
      <c r="R114" s="5">
        <f t="shared" si="16"/>
        <v>2.6641236823363846E-4</v>
      </c>
      <c r="S114" s="2"/>
      <c r="T114" s="2">
        <f>SUM(OSRRefT22_6x_0)</f>
        <v>0</v>
      </c>
      <c r="U114" s="2"/>
      <c r="V114" s="5">
        <f t="shared" si="17"/>
        <v>0</v>
      </c>
      <c r="W114" s="2"/>
      <c r="X114" s="2">
        <f t="shared" si="18"/>
        <v>1359.31</v>
      </c>
      <c r="Y114" s="2"/>
      <c r="Z114" s="5">
        <f t="shared" si="19"/>
        <v>0</v>
      </c>
    </row>
    <row r="115" spans="1:26" s="69" customFormat="1" ht="15" hidden="1" customHeight="1" outlineLevel="2" x14ac:dyDescent="0.3">
      <c r="A115" s="21"/>
      <c r="B115" s="9" t="str">
        <f>CONCATENATE("          ","6277"," - ","EMPLOYEE APPRECIATION")</f>
        <v xml:space="preserve">          6277 - EMPLOYEE APPRECIATION</v>
      </c>
      <c r="C115" s="9"/>
      <c r="D115" s="6">
        <v>1068.18</v>
      </c>
      <c r="E115" s="3"/>
      <c r="F115" s="7">
        <f t="shared" si="12"/>
        <v>3.781796656116831E-3</v>
      </c>
      <c r="G115" s="3"/>
      <c r="H115" s="6"/>
      <c r="I115" s="3"/>
      <c r="J115" s="7">
        <f t="shared" si="13"/>
        <v>0</v>
      </c>
      <c r="K115" s="3"/>
      <c r="L115" s="6">
        <f t="shared" si="14"/>
        <v>1068.18</v>
      </c>
      <c r="M115" s="3"/>
      <c r="N115" s="7">
        <f t="shared" si="15"/>
        <v>0</v>
      </c>
      <c r="O115" s="9"/>
      <c r="P115" s="6">
        <v>1359.31</v>
      </c>
      <c r="Q115" s="3"/>
      <c r="R115" s="7">
        <f t="shared" si="16"/>
        <v>2.6641236823363846E-4</v>
      </c>
      <c r="S115" s="3"/>
      <c r="T115" s="6"/>
      <c r="U115" s="3"/>
      <c r="V115" s="7">
        <f t="shared" si="17"/>
        <v>0</v>
      </c>
      <c r="W115" s="3"/>
      <c r="X115" s="6">
        <f t="shared" si="18"/>
        <v>1359.31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0"/>
      <c r="B116" s="11" t="str">
        <f>CONCATENATE("     ","Equipment Rental                                  ")</f>
        <v xml:space="preserve">     Equipment Rental                                  </v>
      </c>
      <c r="C116" s="11"/>
      <c r="D116" s="2">
        <f>SUM(OSRRefD22_7x_0)</f>
        <v>96.22</v>
      </c>
      <c r="E116" s="2"/>
      <c r="F116" s="5">
        <f t="shared" si="12"/>
        <v>3.4065838552637333E-4</v>
      </c>
      <c r="G116" s="2"/>
      <c r="H116" s="2">
        <f>SUM(OSRRefH22_7x_0)</f>
        <v>0</v>
      </c>
      <c r="I116" s="2"/>
      <c r="J116" s="5">
        <f t="shared" si="13"/>
        <v>0</v>
      </c>
      <c r="K116" s="2"/>
      <c r="L116" s="2">
        <f t="shared" si="14"/>
        <v>96.22</v>
      </c>
      <c r="M116" s="2"/>
      <c r="N116" s="5">
        <f t="shared" si="15"/>
        <v>0</v>
      </c>
      <c r="O116" s="11"/>
      <c r="P116" s="2">
        <f>SUM(OSRRefP22_7x_0)</f>
        <v>215.13</v>
      </c>
      <c r="Q116" s="2"/>
      <c r="R116" s="5">
        <f t="shared" si="16"/>
        <v>4.2163518828010274E-5</v>
      </c>
      <c r="S116" s="2"/>
      <c r="T116" s="2">
        <f>SUM(OSRRefT22_7x_0)</f>
        <v>0</v>
      </c>
      <c r="U116" s="2"/>
      <c r="V116" s="5">
        <f t="shared" si="17"/>
        <v>0</v>
      </c>
      <c r="W116" s="2"/>
      <c r="X116" s="2">
        <f t="shared" si="18"/>
        <v>215.13</v>
      </c>
      <c r="Y116" s="2"/>
      <c r="Z116" s="5">
        <f t="shared" si="19"/>
        <v>0</v>
      </c>
    </row>
    <row r="117" spans="1:26" s="69" customFormat="1" ht="15" hidden="1" customHeight="1" outlineLevel="2" x14ac:dyDescent="0.3">
      <c r="A117" s="21"/>
      <c r="B117" s="9" t="str">
        <f>CONCATENATE("          ","6351"," - ","EQUIPMENT RENTAL")</f>
        <v xml:space="preserve">          6351 - EQUIPMENT RENTAL</v>
      </c>
      <c r="C117" s="9"/>
      <c r="D117" s="6">
        <v>96.22</v>
      </c>
      <c r="E117" s="3"/>
      <c r="F117" s="7">
        <f t="shared" si="12"/>
        <v>3.4065838552637333E-4</v>
      </c>
      <c r="G117" s="3"/>
      <c r="H117" s="6"/>
      <c r="I117" s="3"/>
      <c r="J117" s="7">
        <f t="shared" si="13"/>
        <v>0</v>
      </c>
      <c r="K117" s="3"/>
      <c r="L117" s="6">
        <f t="shared" si="14"/>
        <v>96.22</v>
      </c>
      <c r="M117" s="3"/>
      <c r="N117" s="7">
        <f t="shared" si="15"/>
        <v>0</v>
      </c>
      <c r="O117" s="9"/>
      <c r="P117" s="6">
        <v>215.13</v>
      </c>
      <c r="Q117" s="3"/>
      <c r="R117" s="7">
        <f t="shared" si="16"/>
        <v>4.2163518828010274E-5</v>
      </c>
      <c r="S117" s="3"/>
      <c r="T117" s="6"/>
      <c r="U117" s="3"/>
      <c r="V117" s="7">
        <f t="shared" si="17"/>
        <v>0</v>
      </c>
      <c r="W117" s="3"/>
      <c r="X117" s="6">
        <f t="shared" si="18"/>
        <v>215.13</v>
      </c>
      <c r="Y117" s="3"/>
      <c r="Z117" s="7">
        <f t="shared" si="19"/>
        <v>0</v>
      </c>
    </row>
    <row r="118" spans="1:26" s="68" customFormat="1" ht="15" customHeight="1" outlineLevel="1" collapsed="1" x14ac:dyDescent="0.3">
      <c r="A118" s="20"/>
      <c r="B118" s="11" t="str">
        <f>CONCATENATE("     ","Freight out/Postage                               ")</f>
        <v xml:space="preserve">     Freight out/Postage                               </v>
      </c>
      <c r="C118" s="11"/>
      <c r="D118" s="2">
        <f>SUM(OSRRefD22_8x_0)</f>
        <v>0</v>
      </c>
      <c r="E118" s="2"/>
      <c r="F118" s="5">
        <f t="shared" si="12"/>
        <v>0</v>
      </c>
      <c r="G118" s="2"/>
      <c r="H118" s="2">
        <f>SUM(OSRRefH22_8x_0)</f>
        <v>9.25</v>
      </c>
      <c r="I118" s="2"/>
      <c r="J118" s="5">
        <f t="shared" si="13"/>
        <v>3.6183695822250034E-5</v>
      </c>
      <c r="K118" s="2"/>
      <c r="L118" s="2">
        <f t="shared" si="14"/>
        <v>-9.25</v>
      </c>
      <c r="M118" s="2"/>
      <c r="N118" s="5">
        <f t="shared" si="15"/>
        <v>-1</v>
      </c>
      <c r="O118" s="11"/>
      <c r="P118" s="2">
        <f>SUM(OSRRefP22_8x_0)</f>
        <v>929.29</v>
      </c>
      <c r="Q118" s="2"/>
      <c r="R118" s="5">
        <f t="shared" si="16"/>
        <v>1.8213236838972557E-4</v>
      </c>
      <c r="S118" s="2"/>
      <c r="T118" s="2">
        <f>SUM(OSRRefT22_8x_0)</f>
        <v>-137.59999999999997</v>
      </c>
      <c r="U118" s="2"/>
      <c r="V118" s="5">
        <f t="shared" si="17"/>
        <v>-5.3483505480904878E-5</v>
      </c>
      <c r="W118" s="2"/>
      <c r="X118" s="2">
        <f t="shared" si="18"/>
        <v>1066.8899999999999</v>
      </c>
      <c r="Y118" s="2"/>
      <c r="Z118" s="5">
        <f t="shared" si="19"/>
        <v>-7.7535610465116287</v>
      </c>
    </row>
    <row r="119" spans="1:26" s="69" customFormat="1" ht="15" hidden="1" customHeight="1" outlineLevel="2" x14ac:dyDescent="0.3">
      <c r="A119" s="21"/>
      <c r="B119" s="9" t="str">
        <f>CONCATENATE("          ","6305"," - ","FREIGHT OUT")</f>
        <v xml:space="preserve">          6305 - FREIGHT OUT</v>
      </c>
      <c r="C119" s="9"/>
      <c r="D119" s="6"/>
      <c r="E119" s="3"/>
      <c r="F119" s="7">
        <f t="shared" si="12"/>
        <v>0</v>
      </c>
      <c r="G119" s="3"/>
      <c r="H119" s="6">
        <v>9.25</v>
      </c>
      <c r="I119" s="3"/>
      <c r="J119" s="7">
        <f t="shared" si="13"/>
        <v>3.6183695822250034E-5</v>
      </c>
      <c r="K119" s="3"/>
      <c r="L119" s="6">
        <f t="shared" si="14"/>
        <v>-9.25</v>
      </c>
      <c r="M119" s="3"/>
      <c r="N119" s="7">
        <f t="shared" si="15"/>
        <v>-1</v>
      </c>
      <c r="O119" s="9"/>
      <c r="P119" s="6">
        <v>893.87</v>
      </c>
      <c r="Q119" s="3"/>
      <c r="R119" s="7">
        <f t="shared" si="16"/>
        <v>1.7519037128616903E-4</v>
      </c>
      <c r="S119" s="3"/>
      <c r="T119" s="6">
        <v>151.74</v>
      </c>
      <c r="U119" s="3"/>
      <c r="V119" s="7">
        <f t="shared" si="17"/>
        <v>5.8979557570294398E-5</v>
      </c>
      <c r="W119" s="3"/>
      <c r="X119" s="6">
        <f t="shared" si="18"/>
        <v>742.13</v>
      </c>
      <c r="Y119" s="3"/>
      <c r="Z119" s="7">
        <f t="shared" si="19"/>
        <v>4.8908000527217608</v>
      </c>
    </row>
    <row r="120" spans="1:26" s="69" customFormat="1" ht="15" hidden="1" customHeight="1" outlineLevel="2" x14ac:dyDescent="0.3">
      <c r="A120" s="21"/>
      <c r="B120" s="9" t="str">
        <f>CONCATENATE("          ","6307"," - ","POSTAGE")</f>
        <v xml:space="preserve">          6307 - POSTAGE</v>
      </c>
      <c r="C120" s="9"/>
      <c r="D120" s="6"/>
      <c r="E120" s="3"/>
      <c r="F120" s="7">
        <f t="shared" ref="F120:F151" si="20">IF(D$12=0,0,D120/D$12)</f>
        <v>0</v>
      </c>
      <c r="G120" s="3"/>
      <c r="H120" s="6"/>
      <c r="I120" s="3"/>
      <c r="J120" s="7">
        <f t="shared" ref="J120:J151" si="21">IF(H$12=0,0,H120/H$12)</f>
        <v>0</v>
      </c>
      <c r="K120" s="3"/>
      <c r="L120" s="6">
        <f t="shared" ref="L120:L151" si="22">+D120-H120</f>
        <v>0</v>
      </c>
      <c r="M120" s="3"/>
      <c r="N120" s="7">
        <f t="shared" ref="N120:N151" si="23">IF(H120=0,0,L120/H120)</f>
        <v>0</v>
      </c>
      <c r="O120" s="9"/>
      <c r="P120" s="6">
        <v>35.42</v>
      </c>
      <c r="Q120" s="3"/>
      <c r="R120" s="7">
        <f t="shared" ref="R120:R151" si="24">IF(P$12=0,0,P120/P$12)</f>
        <v>6.9419971035565658E-6</v>
      </c>
      <c r="S120" s="3"/>
      <c r="T120" s="6">
        <v>-289.33999999999997</v>
      </c>
      <c r="U120" s="3"/>
      <c r="V120" s="7">
        <f t="shared" ref="V120:V151" si="25">IF(T$12=0,0,T120/T$12)</f>
        <v>-1.1246306305119927E-4</v>
      </c>
      <c r="W120" s="3"/>
      <c r="X120" s="6">
        <f t="shared" ref="X120:X151" si="26">+P120-T120</f>
        <v>324.76</v>
      </c>
      <c r="Y120" s="3"/>
      <c r="Z120" s="7">
        <f t="shared" ref="Z120:Z151" si="27">IF(T120=0,0,X120/T120)</f>
        <v>-1.1224165341812402</v>
      </c>
    </row>
    <row r="121" spans="1:26" s="68" customFormat="1" ht="15" customHeight="1" outlineLevel="1" collapsed="1" x14ac:dyDescent="0.3">
      <c r="A121" s="20"/>
      <c r="B121" s="11" t="str">
        <f>CONCATENATE("     ","General                                           ")</f>
        <v xml:space="preserve">     General                                           </v>
      </c>
      <c r="C121" s="11"/>
      <c r="D121" s="2">
        <f>SUM(OSRRefD22_9x_0)</f>
        <v>0</v>
      </c>
      <c r="E121" s="2"/>
      <c r="F121" s="5">
        <f t="shared" si="20"/>
        <v>0</v>
      </c>
      <c r="G121" s="2"/>
      <c r="H121" s="2">
        <f>SUM(OSRRefH22_9x_0)</f>
        <v>0</v>
      </c>
      <c r="I121" s="2"/>
      <c r="J121" s="5">
        <f t="shared" si="21"/>
        <v>0</v>
      </c>
      <c r="K121" s="2"/>
      <c r="L121" s="2">
        <f t="shared" si="22"/>
        <v>0</v>
      </c>
      <c r="M121" s="2"/>
      <c r="N121" s="5">
        <f t="shared" si="23"/>
        <v>0</v>
      </c>
      <c r="O121" s="11"/>
      <c r="P121" s="2">
        <f>SUM(OSRRefP22_9x_0)</f>
        <v>2402.36</v>
      </c>
      <c r="Q121" s="2"/>
      <c r="R121" s="5">
        <f t="shared" si="24"/>
        <v>4.7084065956239839E-4</v>
      </c>
      <c r="S121" s="2"/>
      <c r="T121" s="2">
        <f>SUM(OSRRefT22_9x_0)</f>
        <v>1380.29</v>
      </c>
      <c r="U121" s="2"/>
      <c r="V121" s="5">
        <f t="shared" si="25"/>
        <v>5.3650252747266137E-4</v>
      </c>
      <c r="W121" s="2"/>
      <c r="X121" s="2">
        <f t="shared" si="26"/>
        <v>1022.0700000000002</v>
      </c>
      <c r="Y121" s="2"/>
      <c r="Z121" s="5">
        <f t="shared" si="27"/>
        <v>0.74047482775358819</v>
      </c>
    </row>
    <row r="122" spans="1:26" s="69" customFormat="1" ht="15" hidden="1" customHeight="1" outlineLevel="2" x14ac:dyDescent="0.3">
      <c r="A122" s="21"/>
      <c r="B122" s="9" t="str">
        <f>CONCATENATE("          ","6279"," - ","GENERAL EXPENSE")</f>
        <v xml:space="preserve">          6279 - GENERAL EXPENSE</v>
      </c>
      <c r="C122" s="9"/>
      <c r="D122" s="6"/>
      <c r="E122" s="3"/>
      <c r="F122" s="7">
        <f t="shared" si="20"/>
        <v>0</v>
      </c>
      <c r="G122" s="3"/>
      <c r="H122" s="6"/>
      <c r="I122" s="3"/>
      <c r="J122" s="7">
        <f t="shared" si="21"/>
        <v>0</v>
      </c>
      <c r="K122" s="3"/>
      <c r="L122" s="6">
        <f t="shared" si="22"/>
        <v>0</v>
      </c>
      <c r="M122" s="3"/>
      <c r="N122" s="7">
        <f t="shared" si="23"/>
        <v>0</v>
      </c>
      <c r="O122" s="9"/>
      <c r="P122" s="6">
        <v>2402.36</v>
      </c>
      <c r="Q122" s="3"/>
      <c r="R122" s="7">
        <f t="shared" si="24"/>
        <v>4.7084065956239839E-4</v>
      </c>
      <c r="S122" s="3"/>
      <c r="T122" s="6">
        <v>1380.29</v>
      </c>
      <c r="U122" s="3"/>
      <c r="V122" s="7">
        <f t="shared" si="25"/>
        <v>5.3650252747266137E-4</v>
      </c>
      <c r="W122" s="3"/>
      <c r="X122" s="6">
        <f t="shared" si="26"/>
        <v>1022.0700000000002</v>
      </c>
      <c r="Y122" s="3"/>
      <c r="Z122" s="7">
        <f t="shared" si="27"/>
        <v>0.74047482775358819</v>
      </c>
    </row>
    <row r="123" spans="1:26" s="68" customFormat="1" ht="15" customHeight="1" outlineLevel="1" collapsed="1" x14ac:dyDescent="0.3">
      <c r="A123" s="20"/>
      <c r="B123" s="11" t="str">
        <f>CONCATENATE("     ","Insurance                                         ")</f>
        <v xml:space="preserve">     Insurance                                         </v>
      </c>
      <c r="C123" s="11"/>
      <c r="D123" s="2">
        <f>SUM(OSRRefD22_10x_0)</f>
        <v>-68.040000000000006</v>
      </c>
      <c r="E123" s="2"/>
      <c r="F123" s="5">
        <f t="shared" si="20"/>
        <v>-2.4088959209327005E-4</v>
      </c>
      <c r="G123" s="2"/>
      <c r="H123" s="2">
        <f>SUM(OSRRefH22_10x_0)</f>
        <v>346.03</v>
      </c>
      <c r="I123" s="2"/>
      <c r="J123" s="5">
        <f t="shared" si="21"/>
        <v>1.3535831638241274E-3</v>
      </c>
      <c r="K123" s="2"/>
      <c r="L123" s="2">
        <f t="shared" si="22"/>
        <v>-414.07</v>
      </c>
      <c r="M123" s="2"/>
      <c r="N123" s="5">
        <f t="shared" si="23"/>
        <v>-1.1966303499696558</v>
      </c>
      <c r="O123" s="11"/>
      <c r="P123" s="2">
        <f>SUM(OSRRefP22_10x_0)</f>
        <v>2341.84</v>
      </c>
      <c r="Q123" s="2"/>
      <c r="R123" s="5">
        <f t="shared" si="24"/>
        <v>4.5897929127591494E-4</v>
      </c>
      <c r="S123" s="2"/>
      <c r="T123" s="2">
        <f>SUM(OSRRefT22_10x_0)</f>
        <v>2119.0100000000002</v>
      </c>
      <c r="U123" s="2"/>
      <c r="V123" s="5">
        <f t="shared" si="25"/>
        <v>8.2363432375793817E-4</v>
      </c>
      <c r="W123" s="2"/>
      <c r="X123" s="2">
        <f t="shared" si="26"/>
        <v>222.82999999999993</v>
      </c>
      <c r="Y123" s="2"/>
      <c r="Z123" s="5">
        <f t="shared" si="27"/>
        <v>0.10515759717981506</v>
      </c>
    </row>
    <row r="124" spans="1:26" s="69" customFormat="1" ht="15" hidden="1" customHeight="1" outlineLevel="2" x14ac:dyDescent="0.3">
      <c r="A124" s="21"/>
      <c r="B124" s="9" t="str">
        <f>CONCATENATE("          ","6314"," - ","LIABILITY INSURANCE")</f>
        <v xml:space="preserve">          6314 - LIABILITY INSURANCE</v>
      </c>
      <c r="C124" s="9"/>
      <c r="D124" s="6">
        <v>-68.040000000000006</v>
      </c>
      <c r="E124" s="3"/>
      <c r="F124" s="7">
        <f t="shared" si="20"/>
        <v>-2.4088959209327005E-4</v>
      </c>
      <c r="G124" s="3"/>
      <c r="H124" s="6">
        <v>346.03</v>
      </c>
      <c r="I124" s="3"/>
      <c r="J124" s="7">
        <f t="shared" si="21"/>
        <v>1.3535831638241274E-3</v>
      </c>
      <c r="K124" s="3"/>
      <c r="L124" s="6">
        <f t="shared" si="22"/>
        <v>-414.07</v>
      </c>
      <c r="M124" s="3"/>
      <c r="N124" s="7">
        <f t="shared" si="23"/>
        <v>-1.1966303499696558</v>
      </c>
      <c r="O124" s="9"/>
      <c r="P124" s="6">
        <v>2341.84</v>
      </c>
      <c r="Q124" s="3"/>
      <c r="R124" s="7">
        <f t="shared" si="24"/>
        <v>4.5897929127591494E-4</v>
      </c>
      <c r="S124" s="3"/>
      <c r="T124" s="6">
        <v>2119.0100000000002</v>
      </c>
      <c r="U124" s="3"/>
      <c r="V124" s="7">
        <f t="shared" si="25"/>
        <v>8.2363432375793817E-4</v>
      </c>
      <c r="W124" s="3"/>
      <c r="X124" s="6">
        <f t="shared" si="26"/>
        <v>222.82999999999993</v>
      </c>
      <c r="Y124" s="3"/>
      <c r="Z124" s="7">
        <f t="shared" si="27"/>
        <v>0.10515759717981506</v>
      </c>
    </row>
    <row r="125" spans="1:26" s="68" customFormat="1" ht="15" customHeight="1" outlineLevel="1" collapsed="1" x14ac:dyDescent="0.3">
      <c r="A125" s="20"/>
      <c r="B125" s="11" t="str">
        <f>CONCATENATE("     ","Inventory Adjustment                              ")</f>
        <v xml:space="preserve">     Inventory Adjustment                              </v>
      </c>
      <c r="C125" s="11"/>
      <c r="D125" s="2">
        <f>SUM(OSRRefD22_11x_0)</f>
        <v>-37950</v>
      </c>
      <c r="E125" s="2"/>
      <c r="F125" s="5">
        <f t="shared" si="20"/>
        <v>-0.13435861287389178</v>
      </c>
      <c r="G125" s="2"/>
      <c r="H125" s="2">
        <f>SUM(OSRRefH22_11x_0)</f>
        <v>-12100</v>
      </c>
      <c r="I125" s="2"/>
      <c r="J125" s="5">
        <f t="shared" si="21"/>
        <v>-4.7332185886402749E-2</v>
      </c>
      <c r="K125" s="2"/>
      <c r="L125" s="2">
        <f t="shared" si="22"/>
        <v>-25850</v>
      </c>
      <c r="M125" s="2"/>
      <c r="N125" s="5">
        <f t="shared" si="23"/>
        <v>2.1363636363636362</v>
      </c>
      <c r="O125" s="11"/>
      <c r="P125" s="2">
        <f>SUM(OSRRefP22_11x_0)</f>
        <v>0</v>
      </c>
      <c r="Q125" s="2"/>
      <c r="R125" s="5">
        <f t="shared" si="24"/>
        <v>0</v>
      </c>
      <c r="S125" s="2"/>
      <c r="T125" s="2">
        <f>SUM(OSRRefT22_11x_0)</f>
        <v>0</v>
      </c>
      <c r="U125" s="2"/>
      <c r="V125" s="5">
        <f t="shared" si="25"/>
        <v>0</v>
      </c>
      <c r="W125" s="2"/>
      <c r="X125" s="2">
        <f t="shared" si="26"/>
        <v>0</v>
      </c>
      <c r="Y125" s="2"/>
      <c r="Z125" s="5">
        <f t="shared" si="27"/>
        <v>0</v>
      </c>
    </row>
    <row r="126" spans="1:26" s="69" customFormat="1" ht="15" hidden="1" customHeight="1" outlineLevel="2" x14ac:dyDescent="0.3">
      <c r="A126" s="21"/>
      <c r="B126" s="9" t="str">
        <f>CONCATENATE("          ","6408"," - ","INVENTORY ADJUSTMENT")</f>
        <v xml:space="preserve">          6408 - INVENTORY ADJUSTMENT</v>
      </c>
      <c r="C126" s="9"/>
      <c r="D126" s="6">
        <v>-37950</v>
      </c>
      <c r="E126" s="3"/>
      <c r="F126" s="7">
        <f t="shared" si="20"/>
        <v>-0.13435861287389178</v>
      </c>
      <c r="G126" s="3"/>
      <c r="H126" s="6">
        <v>-12100</v>
      </c>
      <c r="I126" s="3"/>
      <c r="J126" s="7">
        <f t="shared" si="21"/>
        <v>-4.7332185886402749E-2</v>
      </c>
      <c r="K126" s="3"/>
      <c r="L126" s="6">
        <f t="shared" si="22"/>
        <v>-25850</v>
      </c>
      <c r="M126" s="3"/>
      <c r="N126" s="7">
        <f t="shared" si="23"/>
        <v>2.1363636363636362</v>
      </c>
      <c r="O126" s="9"/>
      <c r="P126" s="6">
        <v>0</v>
      </c>
      <c r="Q126" s="3"/>
      <c r="R126" s="7">
        <f t="shared" si="24"/>
        <v>0</v>
      </c>
      <c r="S126" s="3"/>
      <c r="T126" s="6">
        <v>0</v>
      </c>
      <c r="U126" s="3"/>
      <c r="V126" s="7">
        <f t="shared" si="25"/>
        <v>0</v>
      </c>
      <c r="W126" s="3"/>
      <c r="X126" s="6">
        <f t="shared" si="26"/>
        <v>0</v>
      </c>
      <c r="Y126" s="3"/>
      <c r="Z126" s="7">
        <f t="shared" si="27"/>
        <v>0</v>
      </c>
    </row>
    <row r="127" spans="1:26" s="69" customFormat="1" ht="15" hidden="1" customHeight="1" outlineLevel="2" x14ac:dyDescent="0.3">
      <c r="A127" s="21"/>
      <c r="B127" s="9" t="str">
        <f>CONCATENATE("          ","7741"," - ","INV. SHRINKAGE-LOGO GIFTS")</f>
        <v xml:space="preserve">          7741 - INV. SHRINKAGE-LOGO GIFTS</v>
      </c>
      <c r="C127" s="9"/>
      <c r="D127" s="6"/>
      <c r="E127" s="3"/>
      <c r="F127" s="7">
        <f t="shared" si="20"/>
        <v>0</v>
      </c>
      <c r="G127" s="3"/>
      <c r="H127" s="6"/>
      <c r="I127" s="3"/>
      <c r="J127" s="7">
        <f t="shared" si="21"/>
        <v>0</v>
      </c>
      <c r="K127" s="3"/>
      <c r="L127" s="6">
        <f t="shared" si="22"/>
        <v>0</v>
      </c>
      <c r="M127" s="3"/>
      <c r="N127" s="7">
        <f t="shared" si="23"/>
        <v>0</v>
      </c>
      <c r="O127" s="9"/>
      <c r="P127" s="6"/>
      <c r="Q127" s="3"/>
      <c r="R127" s="7">
        <f t="shared" si="24"/>
        <v>0</v>
      </c>
      <c r="S127" s="3"/>
      <c r="T127" s="6">
        <v>0</v>
      </c>
      <c r="U127" s="3"/>
      <c r="V127" s="7">
        <f t="shared" si="25"/>
        <v>0</v>
      </c>
      <c r="W127" s="3"/>
      <c r="X127" s="6">
        <f t="shared" si="26"/>
        <v>0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0"/>
      <c r="B128" s="11" t="str">
        <f>CONCATENATE("     ","Professional Services                             ")</f>
        <v xml:space="preserve">     Professional Services                             </v>
      </c>
      <c r="C128" s="11"/>
      <c r="D128" s="2">
        <f>SUM(OSRRefD22_12x_0)</f>
        <v>1401.33</v>
      </c>
      <c r="E128" s="2"/>
      <c r="F128" s="5">
        <f t="shared" si="20"/>
        <v>4.9612847161678731E-3</v>
      </c>
      <c r="G128" s="2"/>
      <c r="H128" s="2">
        <f>SUM(OSRRefH22_12x_0)</f>
        <v>1966.87</v>
      </c>
      <c r="I128" s="2"/>
      <c r="J128" s="5">
        <f t="shared" si="21"/>
        <v>7.6939054920982615E-3</v>
      </c>
      <c r="K128" s="2"/>
      <c r="L128" s="2">
        <f t="shared" si="22"/>
        <v>-565.54</v>
      </c>
      <c r="M128" s="2"/>
      <c r="N128" s="5">
        <f t="shared" si="23"/>
        <v>-0.28753298387793802</v>
      </c>
      <c r="O128" s="11"/>
      <c r="P128" s="2">
        <f>SUM(OSRRefP22_12x_0)</f>
        <v>3510.43</v>
      </c>
      <c r="Q128" s="2"/>
      <c r="R128" s="5">
        <f t="shared" si="24"/>
        <v>6.8801227815466044E-4</v>
      </c>
      <c r="S128" s="2"/>
      <c r="T128" s="2">
        <f>SUM(OSRRefT22_12x_0)</f>
        <v>1966.87</v>
      </c>
      <c r="U128" s="2"/>
      <c r="V128" s="5">
        <f t="shared" si="25"/>
        <v>7.6449929088101304E-4</v>
      </c>
      <c r="W128" s="2"/>
      <c r="X128" s="2">
        <f t="shared" si="26"/>
        <v>1543.56</v>
      </c>
      <c r="Y128" s="2"/>
      <c r="Z128" s="5">
        <f t="shared" si="27"/>
        <v>0.78477987869050825</v>
      </c>
    </row>
    <row r="129" spans="1:26" s="69" customFormat="1" ht="15" hidden="1" customHeight="1" outlineLevel="2" x14ac:dyDescent="0.3">
      <c r="A129" s="21"/>
      <c r="B129" s="9" t="str">
        <f>CONCATENATE("          ","6336"," - ","PROFESSIONAL SERVICES")</f>
        <v xml:space="preserve">          6336 - PROFESSIONAL SERVICES</v>
      </c>
      <c r="C129" s="9"/>
      <c r="D129" s="6">
        <v>1401.33</v>
      </c>
      <c r="E129" s="3"/>
      <c r="F129" s="7">
        <f t="shared" si="20"/>
        <v>4.9612847161678731E-3</v>
      </c>
      <c r="G129" s="3"/>
      <c r="H129" s="6">
        <v>1966.87</v>
      </c>
      <c r="I129" s="3"/>
      <c r="J129" s="7">
        <f t="shared" si="21"/>
        <v>7.6939054920982615E-3</v>
      </c>
      <c r="K129" s="3"/>
      <c r="L129" s="6">
        <f t="shared" si="22"/>
        <v>-565.54</v>
      </c>
      <c r="M129" s="3"/>
      <c r="N129" s="7">
        <f t="shared" si="23"/>
        <v>-0.28753298387793802</v>
      </c>
      <c r="O129" s="9"/>
      <c r="P129" s="6">
        <v>3510.43</v>
      </c>
      <c r="Q129" s="3"/>
      <c r="R129" s="7">
        <f t="shared" si="24"/>
        <v>6.8801227815466044E-4</v>
      </c>
      <c r="S129" s="3"/>
      <c r="T129" s="6">
        <v>1966.87</v>
      </c>
      <c r="U129" s="3"/>
      <c r="V129" s="7">
        <f t="shared" si="25"/>
        <v>7.6449929088101304E-4</v>
      </c>
      <c r="W129" s="3"/>
      <c r="X129" s="6">
        <f t="shared" si="26"/>
        <v>1543.56</v>
      </c>
      <c r="Y129" s="3"/>
      <c r="Z129" s="7">
        <f t="shared" si="27"/>
        <v>0.78477987869050825</v>
      </c>
    </row>
    <row r="130" spans="1:26" s="68" customFormat="1" ht="15" customHeight="1" outlineLevel="1" collapsed="1" x14ac:dyDescent="0.3">
      <c r="A130" s="20"/>
      <c r="B130" s="11" t="str">
        <f>CONCATENATE("     ","Rent                                              ")</f>
        <v xml:space="preserve">     Rent                                              </v>
      </c>
      <c r="C130" s="11"/>
      <c r="D130" s="2">
        <f>SUM(OSRRefD22_13x_0)</f>
        <v>6900</v>
      </c>
      <c r="E130" s="2"/>
      <c r="F130" s="5">
        <f t="shared" si="20"/>
        <v>2.4428838704343963E-2</v>
      </c>
      <c r="G130" s="2"/>
      <c r="H130" s="2">
        <f>SUM(OSRRefH22_13x_0)</f>
        <v>6900</v>
      </c>
      <c r="I130" s="2"/>
      <c r="J130" s="5">
        <f t="shared" si="21"/>
        <v>2.6991081207948676E-2</v>
      </c>
      <c r="K130" s="2"/>
      <c r="L130" s="2">
        <f t="shared" si="22"/>
        <v>0</v>
      </c>
      <c r="M130" s="2"/>
      <c r="N130" s="5">
        <f t="shared" si="23"/>
        <v>0</v>
      </c>
      <c r="O130" s="11"/>
      <c r="P130" s="2">
        <f>SUM(OSRRefP22_13x_0)</f>
        <v>82800</v>
      </c>
      <c r="Q130" s="2"/>
      <c r="R130" s="5">
        <f t="shared" si="24"/>
        <v>1.6228045177145219E-2</v>
      </c>
      <c r="S130" s="2"/>
      <c r="T130" s="2">
        <f>SUM(OSRRefT22_13x_0)</f>
        <v>82800</v>
      </c>
      <c r="U130" s="2"/>
      <c r="V130" s="5">
        <f t="shared" si="25"/>
        <v>3.2183388472521259E-2</v>
      </c>
      <c r="W130" s="2"/>
      <c r="X130" s="2">
        <f t="shared" si="26"/>
        <v>0</v>
      </c>
      <c r="Y130" s="2"/>
      <c r="Z130" s="5">
        <f t="shared" si="27"/>
        <v>0</v>
      </c>
    </row>
    <row r="131" spans="1:26" s="69" customFormat="1" ht="15" hidden="1" customHeight="1" outlineLevel="2" x14ac:dyDescent="0.3">
      <c r="A131" s="21"/>
      <c r="B131" s="9" t="str">
        <f>CONCATENATE("          ","6273"," - ","RENT")</f>
        <v xml:space="preserve">          6273 - RENT</v>
      </c>
      <c r="C131" s="9"/>
      <c r="D131" s="6">
        <v>6900</v>
      </c>
      <c r="E131" s="3"/>
      <c r="F131" s="7">
        <f t="shared" si="20"/>
        <v>2.4428838704343963E-2</v>
      </c>
      <c r="G131" s="3"/>
      <c r="H131" s="6">
        <v>6900</v>
      </c>
      <c r="I131" s="3"/>
      <c r="J131" s="7">
        <f t="shared" si="21"/>
        <v>2.6991081207948676E-2</v>
      </c>
      <c r="K131" s="3"/>
      <c r="L131" s="6">
        <f t="shared" si="22"/>
        <v>0</v>
      </c>
      <c r="M131" s="3"/>
      <c r="N131" s="7">
        <f t="shared" si="23"/>
        <v>0</v>
      </c>
      <c r="O131" s="9"/>
      <c r="P131" s="6">
        <v>82800</v>
      </c>
      <c r="Q131" s="3"/>
      <c r="R131" s="7">
        <f t="shared" si="24"/>
        <v>1.6228045177145219E-2</v>
      </c>
      <c r="S131" s="3"/>
      <c r="T131" s="6">
        <v>82800</v>
      </c>
      <c r="U131" s="3"/>
      <c r="V131" s="7">
        <f t="shared" si="25"/>
        <v>3.2183388472521259E-2</v>
      </c>
      <c r="W131" s="3"/>
      <c r="X131" s="6">
        <f t="shared" si="26"/>
        <v>0</v>
      </c>
      <c r="Y131" s="3"/>
      <c r="Z131" s="7">
        <f t="shared" si="27"/>
        <v>0</v>
      </c>
    </row>
    <row r="132" spans="1:26" s="68" customFormat="1" ht="15" customHeight="1" outlineLevel="1" collapsed="1" x14ac:dyDescent="0.3">
      <c r="A132" s="20"/>
      <c r="B132" s="11" t="str">
        <f>CONCATENATE("     ","Repair and Maintenance                            ")</f>
        <v xml:space="preserve">     Repair and Maintenance                            </v>
      </c>
      <c r="C132" s="11"/>
      <c r="D132" s="2">
        <f>SUM(OSRRefD22_14x_0)</f>
        <v>0</v>
      </c>
      <c r="E132" s="2"/>
      <c r="F132" s="5">
        <f t="shared" si="20"/>
        <v>0</v>
      </c>
      <c r="G132" s="2"/>
      <c r="H132" s="2">
        <f>SUM(OSRRefH22_14x_0)</f>
        <v>824.67</v>
      </c>
      <c r="I132" s="2"/>
      <c r="J132" s="5">
        <f t="shared" si="21"/>
        <v>3.225903614457831E-3</v>
      </c>
      <c r="K132" s="2"/>
      <c r="L132" s="2">
        <f t="shared" si="22"/>
        <v>-824.67</v>
      </c>
      <c r="M132" s="2"/>
      <c r="N132" s="5">
        <f t="shared" si="23"/>
        <v>-1</v>
      </c>
      <c r="O132" s="11"/>
      <c r="P132" s="2">
        <f>SUM(OSRRefP22_14x_0)</f>
        <v>5378.62</v>
      </c>
      <c r="Q132" s="2"/>
      <c r="R132" s="5">
        <f t="shared" si="24"/>
        <v>1.0541604873272562E-3</v>
      </c>
      <c r="S132" s="2"/>
      <c r="T132" s="2">
        <f>SUM(OSRRefT22_14x_0)</f>
        <v>1134.3800000000001</v>
      </c>
      <c r="U132" s="2"/>
      <c r="V132" s="5">
        <f t="shared" si="25"/>
        <v>4.4092019583887281E-4</v>
      </c>
      <c r="W132" s="2"/>
      <c r="X132" s="2">
        <f t="shared" si="26"/>
        <v>4244.24</v>
      </c>
      <c r="Y132" s="2"/>
      <c r="Z132" s="5">
        <f t="shared" si="27"/>
        <v>3.7414622965849182</v>
      </c>
    </row>
    <row r="133" spans="1:26" s="69" customFormat="1" ht="15" hidden="1" customHeight="1" outlineLevel="2" x14ac:dyDescent="0.3">
      <c r="A133" s="21"/>
      <c r="B133" s="9" t="str">
        <f>CONCATENATE("          ","6372"," - ","COMPUTER HARDWARE MAINTENANCE")</f>
        <v xml:space="preserve">          6372 - COMPUTER HARDWARE MAINTENANCE</v>
      </c>
      <c r="C133" s="9"/>
      <c r="D133" s="6"/>
      <c r="E133" s="3"/>
      <c r="F133" s="7">
        <f t="shared" si="20"/>
        <v>0</v>
      </c>
      <c r="G133" s="3"/>
      <c r="H133" s="6"/>
      <c r="I133" s="3"/>
      <c r="J133" s="7">
        <f t="shared" si="21"/>
        <v>0</v>
      </c>
      <c r="K133" s="3"/>
      <c r="L133" s="6">
        <f t="shared" si="22"/>
        <v>0</v>
      </c>
      <c r="M133" s="3"/>
      <c r="N133" s="7">
        <f t="shared" si="23"/>
        <v>0</v>
      </c>
      <c r="O133" s="9"/>
      <c r="P133" s="6"/>
      <c r="Q133" s="3"/>
      <c r="R133" s="7">
        <f t="shared" si="24"/>
        <v>0</v>
      </c>
      <c r="S133" s="3"/>
      <c r="T133" s="6">
        <v>-0.52</v>
      </c>
      <c r="U133" s="3"/>
      <c r="V133" s="7">
        <f t="shared" si="25"/>
        <v>-2.0211789861969874E-7</v>
      </c>
      <c r="W133" s="3"/>
      <c r="X133" s="6">
        <f t="shared" si="26"/>
        <v>0.52</v>
      </c>
      <c r="Y133" s="3"/>
      <c r="Z133" s="7">
        <f t="shared" si="27"/>
        <v>-1</v>
      </c>
    </row>
    <row r="134" spans="1:26" s="69" customFormat="1" ht="15" hidden="1" customHeight="1" outlineLevel="2" x14ac:dyDescent="0.3">
      <c r="A134" s="21"/>
      <c r="B134" s="9" t="str">
        <f>CONCATENATE("          ","6373"," - ","MAINTENANCE CONTRACTS")</f>
        <v xml:space="preserve">          6373 - MAINTENANCE CONTRACTS</v>
      </c>
      <c r="C134" s="9"/>
      <c r="D134" s="6"/>
      <c r="E134" s="3"/>
      <c r="F134" s="7">
        <f t="shared" si="20"/>
        <v>0</v>
      </c>
      <c r="G134" s="3"/>
      <c r="H134" s="6">
        <v>230.9</v>
      </c>
      <c r="I134" s="3"/>
      <c r="J134" s="7">
        <f t="shared" si="21"/>
        <v>9.0322328274135494E-4</v>
      </c>
      <c r="K134" s="3"/>
      <c r="L134" s="6">
        <f t="shared" si="22"/>
        <v>-230.9</v>
      </c>
      <c r="M134" s="3"/>
      <c r="N134" s="7">
        <f t="shared" si="23"/>
        <v>-1</v>
      </c>
      <c r="O134" s="9"/>
      <c r="P134" s="6">
        <v>714.5</v>
      </c>
      <c r="Q134" s="3"/>
      <c r="R134" s="7">
        <f t="shared" si="24"/>
        <v>1.4003548646220117E-4</v>
      </c>
      <c r="S134" s="3"/>
      <c r="T134" s="6">
        <v>375.57</v>
      </c>
      <c r="U134" s="3"/>
      <c r="V134" s="7">
        <f t="shared" si="25"/>
        <v>1.4597965227807741E-4</v>
      </c>
      <c r="W134" s="3"/>
      <c r="X134" s="6">
        <f t="shared" si="26"/>
        <v>338.93</v>
      </c>
      <c r="Y134" s="3"/>
      <c r="Z134" s="7">
        <f t="shared" si="27"/>
        <v>0.90244162206779033</v>
      </c>
    </row>
    <row r="135" spans="1:26" s="69" customFormat="1" ht="15" hidden="1" customHeight="1" outlineLevel="2" x14ac:dyDescent="0.3">
      <c r="A135" s="21"/>
      <c r="B135" s="9" t="str">
        <f>CONCATENATE("          ","6375"," - ","OUTSIDE REPAIRS &amp; MAINTENANCE")</f>
        <v xml:space="preserve">          6375 - OUTSIDE REPAIRS &amp; MAINTENANCE</v>
      </c>
      <c r="C135" s="9"/>
      <c r="D135" s="6"/>
      <c r="E135" s="3"/>
      <c r="F135" s="7">
        <f t="shared" si="20"/>
        <v>0</v>
      </c>
      <c r="G135" s="3"/>
      <c r="H135" s="6">
        <v>593.77</v>
      </c>
      <c r="I135" s="3"/>
      <c r="J135" s="7">
        <f t="shared" si="21"/>
        <v>2.322680331716476E-3</v>
      </c>
      <c r="K135" s="3"/>
      <c r="L135" s="6">
        <f t="shared" si="22"/>
        <v>-593.77</v>
      </c>
      <c r="M135" s="3"/>
      <c r="N135" s="7">
        <f t="shared" si="23"/>
        <v>-1</v>
      </c>
      <c r="O135" s="9"/>
      <c r="P135" s="6">
        <v>4664.12</v>
      </c>
      <c r="Q135" s="3"/>
      <c r="R135" s="7">
        <f t="shared" si="24"/>
        <v>9.1412500086505489E-4</v>
      </c>
      <c r="S135" s="3"/>
      <c r="T135" s="6">
        <v>759.33</v>
      </c>
      <c r="U135" s="3"/>
      <c r="V135" s="7">
        <f t="shared" si="25"/>
        <v>2.9514266145941505E-4</v>
      </c>
      <c r="W135" s="3"/>
      <c r="X135" s="6">
        <f t="shared" si="26"/>
        <v>3904.79</v>
      </c>
      <c r="Y135" s="3"/>
      <c r="Z135" s="7">
        <f t="shared" si="27"/>
        <v>5.1424150237709556</v>
      </c>
    </row>
    <row r="136" spans="1:26" s="68" customFormat="1" ht="15" customHeight="1" outlineLevel="1" collapsed="1" x14ac:dyDescent="0.3">
      <c r="A136" s="20"/>
      <c r="B136" s="11" t="str">
        <f>CONCATENATE("     ","Royalty &amp; Commissions                             ")</f>
        <v xml:space="preserve">     Royalty &amp; Commissions                             </v>
      </c>
      <c r="C136" s="11"/>
      <c r="D136" s="2">
        <f>SUM(OSRRefD22_15x_0)</f>
        <v>108</v>
      </c>
      <c r="E136" s="2"/>
      <c r="F136" s="5">
        <f t="shared" si="20"/>
        <v>3.8236443189407942E-4</v>
      </c>
      <c r="G136" s="2"/>
      <c r="H136" s="2">
        <f>SUM(OSRRefH22_15x_0)</f>
        <v>0</v>
      </c>
      <c r="I136" s="2"/>
      <c r="J136" s="5">
        <f t="shared" si="21"/>
        <v>0</v>
      </c>
      <c r="K136" s="2"/>
      <c r="L136" s="2">
        <f t="shared" si="22"/>
        <v>108</v>
      </c>
      <c r="M136" s="2"/>
      <c r="N136" s="5">
        <f t="shared" si="23"/>
        <v>0</v>
      </c>
      <c r="O136" s="11"/>
      <c r="P136" s="2">
        <f>SUM(OSRRefP22_15x_0)</f>
        <v>72264.009999999995</v>
      </c>
      <c r="Q136" s="2"/>
      <c r="R136" s="5">
        <f t="shared" si="24"/>
        <v>1.4163087185527459E-2</v>
      </c>
      <c r="S136" s="2"/>
      <c r="T136" s="2">
        <f>SUM(OSRRefT22_15x_0)</f>
        <v>35159.06</v>
      </c>
      <c r="U136" s="2"/>
      <c r="V136" s="5">
        <f t="shared" si="25"/>
        <v>1.3665914085853662E-2</v>
      </c>
      <c r="W136" s="2"/>
      <c r="X136" s="2">
        <f t="shared" si="26"/>
        <v>37104.949999999997</v>
      </c>
      <c r="Y136" s="2"/>
      <c r="Z136" s="5">
        <f t="shared" si="27"/>
        <v>1.0553453363087637</v>
      </c>
    </row>
    <row r="137" spans="1:26" s="69" customFormat="1" ht="15" hidden="1" customHeight="1" outlineLevel="2" x14ac:dyDescent="0.3">
      <c r="A137" s="21"/>
      <c r="B137" s="9" t="str">
        <f>CONCATENATE("          ","6253"," - ","ROYALTY DUE ATHLETICS-LRG")</f>
        <v xml:space="preserve">          6253 - ROYALTY DUE ATHLETICS-LRG</v>
      </c>
      <c r="C137" s="9"/>
      <c r="D137" s="6"/>
      <c r="E137" s="3"/>
      <c r="F137" s="7">
        <f t="shared" si="20"/>
        <v>0</v>
      </c>
      <c r="G137" s="3"/>
      <c r="H137" s="6"/>
      <c r="I137" s="3"/>
      <c r="J137" s="7">
        <f t="shared" si="21"/>
        <v>0</v>
      </c>
      <c r="K137" s="3"/>
      <c r="L137" s="6">
        <f t="shared" si="22"/>
        <v>0</v>
      </c>
      <c r="M137" s="3"/>
      <c r="N137" s="7">
        <f t="shared" si="23"/>
        <v>0</v>
      </c>
      <c r="O137" s="9"/>
      <c r="P137" s="6">
        <v>51456.52</v>
      </c>
      <c r="Q137" s="3"/>
      <c r="R137" s="7">
        <f t="shared" si="24"/>
        <v>1.0085008831143435E-2</v>
      </c>
      <c r="S137" s="3"/>
      <c r="T137" s="6">
        <v>35159.06</v>
      </c>
      <c r="U137" s="3"/>
      <c r="V137" s="7">
        <f t="shared" si="25"/>
        <v>1.3665914085853662E-2</v>
      </c>
      <c r="W137" s="3"/>
      <c r="X137" s="6">
        <f t="shared" si="26"/>
        <v>16297.46</v>
      </c>
      <c r="Y137" s="3"/>
      <c r="Z137" s="7">
        <f t="shared" si="27"/>
        <v>0.46353514570639831</v>
      </c>
    </row>
    <row r="138" spans="1:26" s="69" customFormat="1" ht="15" hidden="1" customHeight="1" outlineLevel="2" x14ac:dyDescent="0.3">
      <c r="A138" s="21"/>
      <c r="B138" s="9" t="str">
        <f>CONCATENATE("          ","6254"," - ","ROYALTY &amp; COMMISSIONS")</f>
        <v xml:space="preserve">          6254 - ROYALTY &amp; COMMISSIONS</v>
      </c>
      <c r="C138" s="9"/>
      <c r="D138" s="6">
        <v>108</v>
      </c>
      <c r="E138" s="3"/>
      <c r="F138" s="7">
        <f t="shared" si="20"/>
        <v>3.8236443189407942E-4</v>
      </c>
      <c r="G138" s="3"/>
      <c r="H138" s="6"/>
      <c r="I138" s="3"/>
      <c r="J138" s="7">
        <f t="shared" si="21"/>
        <v>0</v>
      </c>
      <c r="K138" s="3"/>
      <c r="L138" s="6">
        <f t="shared" si="22"/>
        <v>108</v>
      </c>
      <c r="M138" s="3"/>
      <c r="N138" s="7">
        <f t="shared" si="23"/>
        <v>0</v>
      </c>
      <c r="O138" s="9"/>
      <c r="P138" s="6">
        <v>20807.490000000002</v>
      </c>
      <c r="Q138" s="3"/>
      <c r="R138" s="7">
        <f t="shared" si="24"/>
        <v>4.0780783543840262E-3</v>
      </c>
      <c r="S138" s="3"/>
      <c r="T138" s="6"/>
      <c r="U138" s="3"/>
      <c r="V138" s="7">
        <f t="shared" si="25"/>
        <v>0</v>
      </c>
      <c r="W138" s="3"/>
      <c r="X138" s="6">
        <f t="shared" si="26"/>
        <v>20807.490000000002</v>
      </c>
      <c r="Y138" s="3"/>
      <c r="Z138" s="7">
        <f t="shared" si="27"/>
        <v>0</v>
      </c>
    </row>
    <row r="139" spans="1:26" s="68" customFormat="1" ht="15" customHeight="1" outlineLevel="1" collapsed="1" x14ac:dyDescent="0.3">
      <c r="A139" s="20"/>
      <c r="B139" s="11" t="str">
        <f>CONCATENATE("     ","Services                                          ")</f>
        <v xml:space="preserve">     Services                                          </v>
      </c>
      <c r="C139" s="11"/>
      <c r="D139" s="2">
        <f>SUM(OSRRefD22_16x_0)</f>
        <v>223.45</v>
      </c>
      <c r="E139" s="2"/>
      <c r="F139" s="5">
        <f t="shared" si="20"/>
        <v>7.9110492876603743E-4</v>
      </c>
      <c r="G139" s="2"/>
      <c r="H139" s="2">
        <f>SUM(OSRRefH22_16x_0)</f>
        <v>155.59</v>
      </c>
      <c r="I139" s="2"/>
      <c r="J139" s="5">
        <f t="shared" si="21"/>
        <v>6.0862932248474417E-4</v>
      </c>
      <c r="K139" s="2"/>
      <c r="L139" s="2">
        <f t="shared" si="22"/>
        <v>67.859999999999985</v>
      </c>
      <c r="M139" s="2"/>
      <c r="N139" s="5">
        <f t="shared" si="23"/>
        <v>0.43614628189472321</v>
      </c>
      <c r="O139" s="11"/>
      <c r="P139" s="2">
        <f>SUM(OSRRefP22_16x_0)</f>
        <v>2099.46</v>
      </c>
      <c r="Q139" s="2"/>
      <c r="R139" s="5">
        <f t="shared" si="24"/>
        <v>4.1147502086484659E-4</v>
      </c>
      <c r="S139" s="2"/>
      <c r="T139" s="2">
        <f>SUM(OSRRefT22_16x_0)</f>
        <v>1074.1099999999999</v>
      </c>
      <c r="U139" s="2"/>
      <c r="V139" s="5">
        <f t="shared" si="25"/>
        <v>4.1749395401231647E-4</v>
      </c>
      <c r="W139" s="2"/>
      <c r="X139" s="2">
        <f t="shared" si="26"/>
        <v>1025.3500000000001</v>
      </c>
      <c r="Y139" s="2"/>
      <c r="Z139" s="5">
        <f t="shared" si="27"/>
        <v>0.9546042770293548</v>
      </c>
    </row>
    <row r="140" spans="1:26" s="69" customFormat="1" ht="15" hidden="1" customHeight="1" outlineLevel="2" x14ac:dyDescent="0.3">
      <c r="A140" s="21"/>
      <c r="B140" s="9" t="str">
        <f>CONCATENATE("          ","6283"," - ","PLANT SERVICE")</f>
        <v xml:space="preserve">          6283 - PLANT SERVICE</v>
      </c>
      <c r="C140" s="9"/>
      <c r="D140" s="6"/>
      <c r="E140" s="3"/>
      <c r="F140" s="7">
        <f t="shared" si="20"/>
        <v>0</v>
      </c>
      <c r="G140" s="3"/>
      <c r="H140" s="6"/>
      <c r="I140" s="3"/>
      <c r="J140" s="7">
        <f t="shared" si="21"/>
        <v>0</v>
      </c>
      <c r="K140" s="3"/>
      <c r="L140" s="6">
        <f t="shared" si="22"/>
        <v>0</v>
      </c>
      <c r="M140" s="3"/>
      <c r="N140" s="7">
        <f t="shared" si="23"/>
        <v>0</v>
      </c>
      <c r="O140" s="9"/>
      <c r="P140" s="6"/>
      <c r="Q140" s="3"/>
      <c r="R140" s="7">
        <f t="shared" si="24"/>
        <v>0</v>
      </c>
      <c r="S140" s="3"/>
      <c r="T140" s="6">
        <v>41.31</v>
      </c>
      <c r="U140" s="3"/>
      <c r="V140" s="7">
        <f t="shared" si="25"/>
        <v>1.605671229226876E-5</v>
      </c>
      <c r="W140" s="3"/>
      <c r="X140" s="6">
        <f t="shared" si="26"/>
        <v>-41.31</v>
      </c>
      <c r="Y140" s="3"/>
      <c r="Z140" s="7">
        <f t="shared" si="27"/>
        <v>-1</v>
      </c>
    </row>
    <row r="141" spans="1:26" s="69" customFormat="1" ht="15" hidden="1" customHeight="1" outlineLevel="2" x14ac:dyDescent="0.3">
      <c r="A141" s="21"/>
      <c r="B141" s="9" t="str">
        <f>CONCATENATE("          ","6284"," - ","TRASH REMOVAL EXPENSE")</f>
        <v xml:space="preserve">          6284 - TRASH REMOVAL EXPENSE</v>
      </c>
      <c r="C141" s="9"/>
      <c r="D141" s="6">
        <v>149.69999999999999</v>
      </c>
      <c r="E141" s="3"/>
      <c r="F141" s="7">
        <f t="shared" si="20"/>
        <v>5.2999958754207117E-4</v>
      </c>
      <c r="G141" s="3"/>
      <c r="H141" s="6">
        <v>142.57</v>
      </c>
      <c r="I141" s="3"/>
      <c r="J141" s="7">
        <f t="shared" si="21"/>
        <v>5.5769832577061483E-4</v>
      </c>
      <c r="K141" s="3"/>
      <c r="L141" s="6">
        <f t="shared" si="22"/>
        <v>7.1299999999999955</v>
      </c>
      <c r="M141" s="3"/>
      <c r="N141" s="7">
        <f t="shared" si="23"/>
        <v>5.0010521147506461E-2</v>
      </c>
      <c r="O141" s="9"/>
      <c r="P141" s="6">
        <v>1639.57</v>
      </c>
      <c r="Q141" s="3"/>
      <c r="R141" s="7">
        <f t="shared" si="24"/>
        <v>3.2134077332236695E-4</v>
      </c>
      <c r="S141" s="3"/>
      <c r="T141" s="6">
        <v>1725.86</v>
      </c>
      <c r="U141" s="3"/>
      <c r="V141" s="7">
        <f t="shared" si="25"/>
        <v>6.708215317534485E-4</v>
      </c>
      <c r="W141" s="3"/>
      <c r="X141" s="6">
        <f t="shared" si="26"/>
        <v>-86.289999999999964</v>
      </c>
      <c r="Y141" s="3"/>
      <c r="Z141" s="7">
        <f t="shared" si="27"/>
        <v>-4.9998261736177885E-2</v>
      </c>
    </row>
    <row r="142" spans="1:26" s="69" customFormat="1" ht="15" hidden="1" customHeight="1" outlineLevel="2" x14ac:dyDescent="0.3">
      <c r="A142" s="21"/>
      <c r="B142" s="9" t="str">
        <f>CONCATENATE("          ","6285"," - ","JANITORIAL SERVICES")</f>
        <v xml:space="preserve">          6285 - JANITORIAL SERVICES</v>
      </c>
      <c r="C142" s="9"/>
      <c r="D142" s="6">
        <v>73.75</v>
      </c>
      <c r="E142" s="3"/>
      <c r="F142" s="7">
        <f t="shared" si="20"/>
        <v>2.6110534122396627E-4</v>
      </c>
      <c r="G142" s="3"/>
      <c r="H142" s="6">
        <v>13.02</v>
      </c>
      <c r="I142" s="3"/>
      <c r="J142" s="7">
        <f t="shared" si="21"/>
        <v>5.0930996714129236E-5</v>
      </c>
      <c r="K142" s="3"/>
      <c r="L142" s="6">
        <f t="shared" si="22"/>
        <v>60.730000000000004</v>
      </c>
      <c r="M142" s="3"/>
      <c r="N142" s="7">
        <f t="shared" si="23"/>
        <v>4.6643625192012292</v>
      </c>
      <c r="O142" s="9"/>
      <c r="P142" s="6">
        <v>459.89</v>
      </c>
      <c r="Q142" s="3"/>
      <c r="R142" s="7">
        <f t="shared" si="24"/>
        <v>9.0134247542479639E-5</v>
      </c>
      <c r="S142" s="3"/>
      <c r="T142" s="6">
        <v>-693.06</v>
      </c>
      <c r="U142" s="3"/>
      <c r="V142" s="7">
        <f t="shared" si="25"/>
        <v>-2.6938429003340073E-4</v>
      </c>
      <c r="W142" s="3"/>
      <c r="X142" s="6">
        <f t="shared" si="26"/>
        <v>1152.9499999999998</v>
      </c>
      <c r="Y142" s="3"/>
      <c r="Z142" s="7">
        <f t="shared" si="27"/>
        <v>-1.6635644821516173</v>
      </c>
    </row>
    <row r="143" spans="1:26" s="68" customFormat="1" ht="15" customHeight="1" outlineLevel="1" collapsed="1" x14ac:dyDescent="0.3">
      <c r="A143" s="20"/>
      <c r="B143" s="11" t="str">
        <f>CONCATENATE("     ","Subscriptions &amp; Dues                              ")</f>
        <v xml:space="preserve">     Subscriptions &amp; Dues                              </v>
      </c>
      <c r="C143" s="11"/>
      <c r="D143" s="2">
        <f>SUM(OSRRefD22_17x_0)</f>
        <v>0</v>
      </c>
      <c r="E143" s="2"/>
      <c r="F143" s="5">
        <f t="shared" si="20"/>
        <v>0</v>
      </c>
      <c r="G143" s="2"/>
      <c r="H143" s="2">
        <f>SUM(OSRRefH22_17x_0)</f>
        <v>0</v>
      </c>
      <c r="I143" s="2"/>
      <c r="J143" s="5">
        <f t="shared" si="21"/>
        <v>0</v>
      </c>
      <c r="K143" s="2"/>
      <c r="L143" s="2">
        <f t="shared" si="22"/>
        <v>0</v>
      </c>
      <c r="M143" s="2"/>
      <c r="N143" s="5">
        <f t="shared" si="23"/>
        <v>0</v>
      </c>
      <c r="O143" s="11"/>
      <c r="P143" s="2">
        <f>SUM(OSRRefP22_17x_0)</f>
        <v>125</v>
      </c>
      <c r="Q143" s="2"/>
      <c r="R143" s="5">
        <f t="shared" si="24"/>
        <v>2.4498860472743383E-5</v>
      </c>
      <c r="S143" s="2"/>
      <c r="T143" s="2">
        <f>SUM(OSRRefT22_17x_0)</f>
        <v>2047.7199999999998</v>
      </c>
      <c r="U143" s="2"/>
      <c r="V143" s="5">
        <f t="shared" si="25"/>
        <v>7.9592473723371043E-4</v>
      </c>
      <c r="W143" s="2"/>
      <c r="X143" s="2">
        <f t="shared" si="26"/>
        <v>-1922.7199999999998</v>
      </c>
      <c r="Y143" s="2"/>
      <c r="Z143" s="5">
        <f t="shared" si="27"/>
        <v>-0.93895649795870528</v>
      </c>
    </row>
    <row r="144" spans="1:26" s="69" customFormat="1" ht="15" hidden="1" customHeight="1" outlineLevel="2" x14ac:dyDescent="0.3">
      <c r="A144" s="21"/>
      <c r="B144" s="9" t="str">
        <f>CONCATENATE("          ","6258"," - ","MEMBERSHIP DUES")</f>
        <v xml:space="preserve">          6258 - MEMBERSHIP DUES</v>
      </c>
      <c r="C144" s="9"/>
      <c r="D144" s="6"/>
      <c r="E144" s="3"/>
      <c r="F144" s="7">
        <f t="shared" si="20"/>
        <v>0</v>
      </c>
      <c r="G144" s="3"/>
      <c r="H144" s="6"/>
      <c r="I144" s="3"/>
      <c r="J144" s="7">
        <f t="shared" si="21"/>
        <v>0</v>
      </c>
      <c r="K144" s="3"/>
      <c r="L144" s="6">
        <f t="shared" si="22"/>
        <v>0</v>
      </c>
      <c r="M144" s="3"/>
      <c r="N144" s="7">
        <f t="shared" si="23"/>
        <v>0</v>
      </c>
      <c r="O144" s="9"/>
      <c r="P144" s="6">
        <v>125</v>
      </c>
      <c r="Q144" s="3"/>
      <c r="R144" s="7">
        <f t="shared" si="24"/>
        <v>2.4498860472743383E-5</v>
      </c>
      <c r="S144" s="3"/>
      <c r="T144" s="6">
        <v>-342.88</v>
      </c>
      <c r="U144" s="3"/>
      <c r="V144" s="7">
        <f t="shared" si="25"/>
        <v>-1.3327343284369673E-4</v>
      </c>
      <c r="W144" s="3"/>
      <c r="X144" s="6">
        <f t="shared" si="26"/>
        <v>467.88</v>
      </c>
      <c r="Y144" s="3"/>
      <c r="Z144" s="7">
        <f t="shared" si="27"/>
        <v>-1.3645590293980401</v>
      </c>
    </row>
    <row r="145" spans="1:26" s="69" customFormat="1" ht="15" hidden="1" customHeight="1" outlineLevel="2" x14ac:dyDescent="0.3">
      <c r="A145" s="21"/>
      <c r="B145" s="9" t="str">
        <f>CONCATENATE("          ","6275"," - ","SUBSCRIPTIONS")</f>
        <v xml:space="preserve">          6275 - SUBSCRIPTIONS</v>
      </c>
      <c r="C145" s="9"/>
      <c r="D145" s="6"/>
      <c r="E145" s="3"/>
      <c r="F145" s="7">
        <f t="shared" si="20"/>
        <v>0</v>
      </c>
      <c r="G145" s="3"/>
      <c r="H145" s="6"/>
      <c r="I145" s="3"/>
      <c r="J145" s="7">
        <f t="shared" si="21"/>
        <v>0</v>
      </c>
      <c r="K145" s="3"/>
      <c r="L145" s="6">
        <f t="shared" si="22"/>
        <v>0</v>
      </c>
      <c r="M145" s="3"/>
      <c r="N145" s="7">
        <f t="shared" si="23"/>
        <v>0</v>
      </c>
      <c r="O145" s="9"/>
      <c r="P145" s="6"/>
      <c r="Q145" s="3"/>
      <c r="R145" s="7">
        <f t="shared" si="24"/>
        <v>0</v>
      </c>
      <c r="S145" s="3"/>
      <c r="T145" s="6">
        <v>2390.6</v>
      </c>
      <c r="U145" s="3"/>
      <c r="V145" s="7">
        <f t="shared" si="25"/>
        <v>9.2919817007740724E-4</v>
      </c>
      <c r="W145" s="3"/>
      <c r="X145" s="6">
        <f t="shared" si="26"/>
        <v>-2390.6</v>
      </c>
      <c r="Y145" s="3"/>
      <c r="Z145" s="7">
        <f t="shared" si="27"/>
        <v>-1</v>
      </c>
    </row>
    <row r="146" spans="1:26" s="68" customFormat="1" ht="15" customHeight="1" outlineLevel="1" collapsed="1" x14ac:dyDescent="0.3">
      <c r="A146" s="20"/>
      <c r="B146" s="11" t="str">
        <f>CONCATENATE("     ","Supplies                                          ")</f>
        <v xml:space="preserve">     Supplies                                          </v>
      </c>
      <c r="C146" s="11"/>
      <c r="D146" s="2">
        <f>SUM(OSRRefD22_18x_0)</f>
        <v>1729.58</v>
      </c>
      <c r="E146" s="2"/>
      <c r="F146" s="5">
        <f t="shared" si="20"/>
        <v>6.123424760327424E-3</v>
      </c>
      <c r="G146" s="2"/>
      <c r="H146" s="2">
        <f>SUM(OSRRefH22_18x_0)</f>
        <v>1001.3499999999999</v>
      </c>
      <c r="I146" s="2"/>
      <c r="J146" s="5">
        <f t="shared" si="21"/>
        <v>3.9170317634173047E-3</v>
      </c>
      <c r="K146" s="2"/>
      <c r="L146" s="2">
        <f t="shared" si="22"/>
        <v>728.23</v>
      </c>
      <c r="M146" s="2"/>
      <c r="N146" s="5">
        <f t="shared" si="23"/>
        <v>0.72724821490987179</v>
      </c>
      <c r="O146" s="11"/>
      <c r="P146" s="2">
        <f>SUM(OSRRefP22_18x_0)</f>
        <v>15057.23</v>
      </c>
      <c r="Q146" s="2"/>
      <c r="R146" s="5">
        <f t="shared" si="24"/>
        <v>2.9510798150080468E-3</v>
      </c>
      <c r="S146" s="2"/>
      <c r="T146" s="2">
        <f>SUM(OSRRefT22_18x_0)</f>
        <v>5642.12</v>
      </c>
      <c r="U146" s="2"/>
      <c r="V146" s="5">
        <f t="shared" si="25"/>
        <v>2.1930258426157202E-3</v>
      </c>
      <c r="W146" s="2"/>
      <c r="X146" s="2">
        <f t="shared" si="26"/>
        <v>9415.11</v>
      </c>
      <c r="Y146" s="2"/>
      <c r="Z146" s="5">
        <f t="shared" si="27"/>
        <v>1.6687184958845258</v>
      </c>
    </row>
    <row r="147" spans="1:26" s="69" customFormat="1" ht="15" hidden="1" customHeight="1" outlineLevel="2" x14ac:dyDescent="0.3">
      <c r="A147" s="21"/>
      <c r="B147" s="9" t="str">
        <f>CONCATENATE("          ","6234"," - ","EXPENDABLE SUPPLIES &amp; EQUIPMEN")</f>
        <v xml:space="preserve">          6234 - EXPENDABLE SUPPLIES &amp; EQUIPMEN</v>
      </c>
      <c r="C147" s="9"/>
      <c r="D147" s="6"/>
      <c r="E147" s="3"/>
      <c r="F147" s="7">
        <f t="shared" si="20"/>
        <v>0</v>
      </c>
      <c r="G147" s="3"/>
      <c r="H147" s="6"/>
      <c r="I147" s="3"/>
      <c r="J147" s="7">
        <f t="shared" si="21"/>
        <v>0</v>
      </c>
      <c r="K147" s="3"/>
      <c r="L147" s="6">
        <f t="shared" si="22"/>
        <v>0</v>
      </c>
      <c r="M147" s="3"/>
      <c r="N147" s="7">
        <f t="shared" si="23"/>
        <v>0</v>
      </c>
      <c r="O147" s="9"/>
      <c r="P147" s="6"/>
      <c r="Q147" s="3"/>
      <c r="R147" s="7">
        <f t="shared" si="24"/>
        <v>0</v>
      </c>
      <c r="S147" s="3"/>
      <c r="T147" s="6">
        <v>449.5</v>
      </c>
      <c r="U147" s="3"/>
      <c r="V147" s="7">
        <f t="shared" si="25"/>
        <v>1.7471537582606649E-4</v>
      </c>
      <c r="W147" s="3"/>
      <c r="X147" s="6">
        <f t="shared" si="26"/>
        <v>-449.5</v>
      </c>
      <c r="Y147" s="3"/>
      <c r="Z147" s="7">
        <f t="shared" si="27"/>
        <v>-1</v>
      </c>
    </row>
    <row r="148" spans="1:26" s="69" customFormat="1" ht="15" hidden="1" customHeight="1" outlineLevel="2" x14ac:dyDescent="0.3">
      <c r="A148" s="21"/>
      <c r="B148" s="9" t="str">
        <f>CONCATENATE("          ","6235"," - ","COVID-19 EXPENSES")</f>
        <v xml:space="preserve">          6235 - COVID-19 EXPENSES</v>
      </c>
      <c r="C148" s="9"/>
      <c r="D148" s="6"/>
      <c r="E148" s="3"/>
      <c r="F148" s="7">
        <f t="shared" si="20"/>
        <v>0</v>
      </c>
      <c r="G148" s="3"/>
      <c r="H148" s="6"/>
      <c r="I148" s="3"/>
      <c r="J148" s="7">
        <f t="shared" si="21"/>
        <v>0</v>
      </c>
      <c r="K148" s="3"/>
      <c r="L148" s="6">
        <f t="shared" si="22"/>
        <v>0</v>
      </c>
      <c r="M148" s="3"/>
      <c r="N148" s="7">
        <f t="shared" si="23"/>
        <v>0</v>
      </c>
      <c r="O148" s="9"/>
      <c r="P148" s="6"/>
      <c r="Q148" s="3"/>
      <c r="R148" s="7">
        <f t="shared" si="24"/>
        <v>0</v>
      </c>
      <c r="S148" s="3"/>
      <c r="T148" s="6">
        <v>1292.1300000000001</v>
      </c>
      <c r="U148" s="3"/>
      <c r="V148" s="7">
        <f t="shared" si="25"/>
        <v>5.0223576989129098E-4</v>
      </c>
      <c r="W148" s="3"/>
      <c r="X148" s="6">
        <f t="shared" si="26"/>
        <v>-1292.1300000000001</v>
      </c>
      <c r="Y148" s="3"/>
      <c r="Z148" s="7">
        <f t="shared" si="27"/>
        <v>-1</v>
      </c>
    </row>
    <row r="149" spans="1:26" s="69" customFormat="1" ht="15" hidden="1" customHeight="1" outlineLevel="2" x14ac:dyDescent="0.3">
      <c r="A149" s="21"/>
      <c r="B149" s="9" t="str">
        <f>CONCATENATE("          ","6237"," - ","JANITORIAL SUPPLIES")</f>
        <v xml:space="preserve">          6237 - JANITORIAL SUPPLIES</v>
      </c>
      <c r="C149" s="9"/>
      <c r="D149" s="6"/>
      <c r="E149" s="3"/>
      <c r="F149" s="7">
        <f t="shared" si="20"/>
        <v>0</v>
      </c>
      <c r="G149" s="3"/>
      <c r="H149" s="6"/>
      <c r="I149" s="3"/>
      <c r="J149" s="7">
        <f t="shared" si="21"/>
        <v>0</v>
      </c>
      <c r="K149" s="3"/>
      <c r="L149" s="6">
        <f t="shared" si="22"/>
        <v>0</v>
      </c>
      <c r="M149" s="3"/>
      <c r="N149" s="7">
        <f t="shared" si="23"/>
        <v>0</v>
      </c>
      <c r="O149" s="9"/>
      <c r="P149" s="6">
        <v>852.79</v>
      </c>
      <c r="Q149" s="3"/>
      <c r="R149" s="7">
        <f t="shared" si="24"/>
        <v>1.6713906578040663E-4</v>
      </c>
      <c r="S149" s="3"/>
      <c r="T149" s="6">
        <v>191.74</v>
      </c>
      <c r="U149" s="3"/>
      <c r="V149" s="7">
        <f t="shared" si="25"/>
        <v>7.4527088233348145E-5</v>
      </c>
      <c r="W149" s="3"/>
      <c r="X149" s="6">
        <f t="shared" si="26"/>
        <v>661.05</v>
      </c>
      <c r="Y149" s="3"/>
      <c r="Z149" s="7">
        <f t="shared" si="27"/>
        <v>3.4476374256806088</v>
      </c>
    </row>
    <row r="150" spans="1:26" s="69" customFormat="1" ht="15" hidden="1" customHeight="1" outlineLevel="2" x14ac:dyDescent="0.3">
      <c r="A150" s="21"/>
      <c r="B150" s="9" t="str">
        <f>CONCATENATE("          ","6241"," - ","OFFICE EXPENSE")</f>
        <v xml:space="preserve">          6241 - OFFICE EXPENSE</v>
      </c>
      <c r="C150" s="9"/>
      <c r="D150" s="6">
        <v>577.83000000000004</v>
      </c>
      <c r="E150" s="3"/>
      <c r="F150" s="7">
        <f t="shared" si="20"/>
        <v>2.0457559229755179E-3</v>
      </c>
      <c r="G150" s="3"/>
      <c r="H150" s="6">
        <v>522.79999999999995</v>
      </c>
      <c r="I150" s="3"/>
      <c r="J150" s="7">
        <f t="shared" si="21"/>
        <v>2.0450633703645747E-3</v>
      </c>
      <c r="K150" s="3"/>
      <c r="L150" s="6">
        <f t="shared" si="22"/>
        <v>55.030000000000086</v>
      </c>
      <c r="M150" s="3"/>
      <c r="N150" s="7">
        <f t="shared" si="23"/>
        <v>0.10526013771996957</v>
      </c>
      <c r="O150" s="9"/>
      <c r="P150" s="6">
        <v>3052.68</v>
      </c>
      <c r="Q150" s="3"/>
      <c r="R150" s="7">
        <f t="shared" si="24"/>
        <v>5.9829745110347415E-4</v>
      </c>
      <c r="S150" s="3"/>
      <c r="T150" s="6">
        <v>2119.9699999999998</v>
      </c>
      <c r="U150" s="3"/>
      <c r="V150" s="7">
        <f t="shared" si="25"/>
        <v>8.2400746449385123E-4</v>
      </c>
      <c r="W150" s="3"/>
      <c r="X150" s="6">
        <f t="shared" si="26"/>
        <v>932.71</v>
      </c>
      <c r="Y150" s="3"/>
      <c r="Z150" s="7">
        <f t="shared" si="27"/>
        <v>0.43996377307226053</v>
      </c>
    </row>
    <row r="151" spans="1:26" s="69" customFormat="1" ht="15" hidden="1" customHeight="1" outlineLevel="2" x14ac:dyDescent="0.3">
      <c r="A151" s="21"/>
      <c r="B151" s="9" t="str">
        <f>CONCATENATE("          ","6245"," - ","PRINTING")</f>
        <v xml:space="preserve">          6245 - PRINTING</v>
      </c>
      <c r="C151" s="9"/>
      <c r="D151" s="6"/>
      <c r="E151" s="3"/>
      <c r="F151" s="7">
        <f t="shared" si="20"/>
        <v>0</v>
      </c>
      <c r="G151" s="3"/>
      <c r="H151" s="6">
        <v>0</v>
      </c>
      <c r="I151" s="3"/>
      <c r="J151" s="7">
        <f t="shared" si="21"/>
        <v>0</v>
      </c>
      <c r="K151" s="3"/>
      <c r="L151" s="6">
        <f t="shared" si="22"/>
        <v>0</v>
      </c>
      <c r="M151" s="3"/>
      <c r="N151" s="7">
        <f t="shared" si="23"/>
        <v>0</v>
      </c>
      <c r="O151" s="9"/>
      <c r="P151" s="6">
        <v>35.549999999999997</v>
      </c>
      <c r="Q151" s="3"/>
      <c r="R151" s="7">
        <f t="shared" si="24"/>
        <v>6.9674759184482175E-6</v>
      </c>
      <c r="S151" s="3"/>
      <c r="T151" s="6">
        <v>0</v>
      </c>
      <c r="U151" s="3"/>
      <c r="V151" s="7">
        <f t="shared" si="25"/>
        <v>0</v>
      </c>
      <c r="W151" s="3"/>
      <c r="X151" s="6">
        <f t="shared" si="26"/>
        <v>35.549999999999997</v>
      </c>
      <c r="Y151" s="3"/>
      <c r="Z151" s="7">
        <f t="shared" si="27"/>
        <v>0</v>
      </c>
    </row>
    <row r="152" spans="1:26" s="69" customFormat="1" ht="15" hidden="1" customHeight="1" outlineLevel="2" x14ac:dyDescent="0.3">
      <c r="A152" s="21"/>
      <c r="B152" s="9" t="str">
        <f>CONCATENATE("          ","6247"," - ","STORE SUPPLIES")</f>
        <v xml:space="preserve">          6247 - STORE SUPPLIES</v>
      </c>
      <c r="C152" s="9"/>
      <c r="D152" s="6">
        <v>1151.75</v>
      </c>
      <c r="E152" s="3"/>
      <c r="F152" s="7">
        <f t="shared" ref="F152:F160" si="28">IF(D$12=0,0,D152/D$12)</f>
        <v>4.077668837351907E-3</v>
      </c>
      <c r="G152" s="3"/>
      <c r="H152" s="6">
        <v>478.55</v>
      </c>
      <c r="I152" s="3"/>
      <c r="J152" s="7">
        <f t="shared" ref="J152:J160" si="29">IF(H$12=0,0,H152/H$12)</f>
        <v>1.8719683930527302E-3</v>
      </c>
      <c r="K152" s="3"/>
      <c r="L152" s="6">
        <f t="shared" ref="L152:L160" si="30">+D152-H152</f>
        <v>673.2</v>
      </c>
      <c r="M152" s="3"/>
      <c r="N152" s="7">
        <f t="shared" ref="N152:N160" si="31">IF(H152=0,0,L152/H152)</f>
        <v>1.4067495559502665</v>
      </c>
      <c r="O152" s="9"/>
      <c r="P152" s="6">
        <v>11116.21</v>
      </c>
      <c r="Q152" s="3"/>
      <c r="R152" s="7">
        <f t="shared" ref="R152:R160" si="32">IF(P$12=0,0,P152/P$12)</f>
        <v>2.1786758222057177E-3</v>
      </c>
      <c r="S152" s="3"/>
      <c r="T152" s="6">
        <v>1588.78</v>
      </c>
      <c r="U152" s="3"/>
      <c r="V152" s="7">
        <f t="shared" ref="V152:V160" si="33">IF(T$12=0,0,T152/T$12)</f>
        <v>6.1754014417116337E-4</v>
      </c>
      <c r="W152" s="3"/>
      <c r="X152" s="6">
        <f t="shared" ref="X152:X160" si="34">+P152-T152</f>
        <v>9527.4299999999985</v>
      </c>
      <c r="Y152" s="3"/>
      <c r="Z152" s="7">
        <f t="shared" ref="Z152:Z160" si="35">IF(T152=0,0,X152/T152)</f>
        <v>5.9966955777388931</v>
      </c>
    </row>
    <row r="153" spans="1:26" s="68" customFormat="1" ht="15" customHeight="1" outlineLevel="1" collapsed="1" x14ac:dyDescent="0.3">
      <c r="A153" s="20"/>
      <c r="B153" s="11" t="str">
        <f>CONCATENATE("     ","Telephone/Data Lines                              ")</f>
        <v xml:space="preserve">     Telephone/Data Lines                              </v>
      </c>
      <c r="C153" s="11"/>
      <c r="D153" s="2">
        <f>SUM(OSRRefD22_19x_0)</f>
        <v>553.59</v>
      </c>
      <c r="E153" s="2"/>
      <c r="F153" s="5">
        <f t="shared" si="28"/>
        <v>1.9599363504837356E-3</v>
      </c>
      <c r="G153" s="2"/>
      <c r="H153" s="2">
        <f>SUM(OSRRefH22_19x_0)</f>
        <v>692.94</v>
      </c>
      <c r="I153" s="2"/>
      <c r="J153" s="5">
        <f t="shared" si="29"/>
        <v>2.7106086684399937E-3</v>
      </c>
      <c r="K153" s="2"/>
      <c r="L153" s="2">
        <f t="shared" si="30"/>
        <v>-139.35000000000002</v>
      </c>
      <c r="M153" s="2"/>
      <c r="N153" s="5">
        <f t="shared" si="31"/>
        <v>-0.20109966230842499</v>
      </c>
      <c r="O153" s="11"/>
      <c r="P153" s="2">
        <f>SUM(OSRRefP22_19x_0)</f>
        <v>6541.68</v>
      </c>
      <c r="Q153" s="2"/>
      <c r="R153" s="5">
        <f t="shared" si="32"/>
        <v>1.2821096446186874E-3</v>
      </c>
      <c r="S153" s="2"/>
      <c r="T153" s="2">
        <f>SUM(OSRRefT22_19x_0)</f>
        <v>6948.37</v>
      </c>
      <c r="U153" s="2"/>
      <c r="V153" s="5">
        <f t="shared" si="33"/>
        <v>2.7007498908310692E-3</v>
      </c>
      <c r="W153" s="2"/>
      <c r="X153" s="2">
        <f t="shared" si="34"/>
        <v>-406.6899999999996</v>
      </c>
      <c r="Y153" s="2"/>
      <c r="Z153" s="5">
        <f t="shared" si="35"/>
        <v>-5.8530274006709432E-2</v>
      </c>
    </row>
    <row r="154" spans="1:26" s="69" customFormat="1" ht="15" hidden="1" customHeight="1" outlineLevel="2" x14ac:dyDescent="0.3">
      <c r="A154" s="21"/>
      <c r="B154" s="9" t="str">
        <f>CONCATENATE("          ","6309"," - ","TELEPHONE")</f>
        <v xml:space="preserve">          6309 - TELEPHONE</v>
      </c>
      <c r="C154" s="9"/>
      <c r="D154" s="6">
        <v>553.59</v>
      </c>
      <c r="E154" s="3"/>
      <c r="F154" s="7">
        <f t="shared" si="28"/>
        <v>1.9599363504837356E-3</v>
      </c>
      <c r="G154" s="3"/>
      <c r="H154" s="6">
        <v>692.94</v>
      </c>
      <c r="I154" s="3"/>
      <c r="J154" s="7">
        <f t="shared" si="29"/>
        <v>2.7106086684399937E-3</v>
      </c>
      <c r="K154" s="3"/>
      <c r="L154" s="6">
        <f t="shared" si="30"/>
        <v>-139.35000000000002</v>
      </c>
      <c r="M154" s="3"/>
      <c r="N154" s="7">
        <f t="shared" si="31"/>
        <v>-0.20109966230842499</v>
      </c>
      <c r="O154" s="9"/>
      <c r="P154" s="6">
        <v>6541.68</v>
      </c>
      <c r="Q154" s="3"/>
      <c r="R154" s="7">
        <f t="shared" si="32"/>
        <v>1.2821096446186874E-3</v>
      </c>
      <c r="S154" s="3"/>
      <c r="T154" s="6">
        <v>6948.37</v>
      </c>
      <c r="U154" s="3"/>
      <c r="V154" s="7">
        <f t="shared" si="33"/>
        <v>2.7007498908310692E-3</v>
      </c>
      <c r="W154" s="3"/>
      <c r="X154" s="6">
        <f t="shared" si="34"/>
        <v>-406.6899999999996</v>
      </c>
      <c r="Y154" s="3"/>
      <c r="Z154" s="7">
        <f t="shared" si="35"/>
        <v>-5.8530274006709432E-2</v>
      </c>
    </row>
    <row r="155" spans="1:26" s="68" customFormat="1" ht="15" customHeight="1" outlineLevel="1" collapsed="1" x14ac:dyDescent="0.3">
      <c r="A155" s="20"/>
      <c r="B155" s="11" t="str">
        <f>CONCATENATE("     ","Training                                          ")</f>
        <v xml:space="preserve">     Training                                          </v>
      </c>
      <c r="C155" s="11"/>
      <c r="D155" s="2">
        <f>SUM(OSRRefD22_20x_0)</f>
        <v>0</v>
      </c>
      <c r="E155" s="2"/>
      <c r="F155" s="5">
        <f t="shared" si="28"/>
        <v>0</v>
      </c>
      <c r="G155" s="2"/>
      <c r="H155" s="2">
        <f>SUM(OSRRefH22_20x_0)</f>
        <v>0</v>
      </c>
      <c r="I155" s="2"/>
      <c r="J155" s="5">
        <f t="shared" si="29"/>
        <v>0</v>
      </c>
      <c r="K155" s="2"/>
      <c r="L155" s="2">
        <f t="shared" si="30"/>
        <v>0</v>
      </c>
      <c r="M155" s="2"/>
      <c r="N155" s="5">
        <f t="shared" si="31"/>
        <v>0</v>
      </c>
      <c r="O155" s="11"/>
      <c r="P155" s="2">
        <f>SUM(OSRRefP22_20x_0)</f>
        <v>300</v>
      </c>
      <c r="Q155" s="2"/>
      <c r="R155" s="5">
        <f t="shared" si="32"/>
        <v>5.8797265134584121E-5</v>
      </c>
      <c r="S155" s="2"/>
      <c r="T155" s="2">
        <f>SUM(OSRRefT22_20x_0)</f>
        <v>0</v>
      </c>
      <c r="U155" s="2"/>
      <c r="V155" s="5">
        <f t="shared" si="33"/>
        <v>0</v>
      </c>
      <c r="W155" s="2"/>
      <c r="X155" s="2">
        <f t="shared" si="34"/>
        <v>300</v>
      </c>
      <c r="Y155" s="2"/>
      <c r="Z155" s="5">
        <f t="shared" si="35"/>
        <v>0</v>
      </c>
    </row>
    <row r="156" spans="1:26" s="69" customFormat="1" ht="15" hidden="1" customHeight="1" outlineLevel="2" x14ac:dyDescent="0.3">
      <c r="A156" s="21"/>
      <c r="B156" s="9" t="str">
        <f>CONCATENATE("          ","6376"," - ","TRAINING")</f>
        <v xml:space="preserve">          6376 - TRAINING</v>
      </c>
      <c r="C156" s="9"/>
      <c r="D156" s="6"/>
      <c r="E156" s="3"/>
      <c r="F156" s="7">
        <f t="shared" si="28"/>
        <v>0</v>
      </c>
      <c r="G156" s="3"/>
      <c r="H156" s="6"/>
      <c r="I156" s="3"/>
      <c r="J156" s="7">
        <f t="shared" si="29"/>
        <v>0</v>
      </c>
      <c r="K156" s="3"/>
      <c r="L156" s="6">
        <f t="shared" si="30"/>
        <v>0</v>
      </c>
      <c r="M156" s="3"/>
      <c r="N156" s="7">
        <f t="shared" si="31"/>
        <v>0</v>
      </c>
      <c r="O156" s="9"/>
      <c r="P156" s="6">
        <v>300</v>
      </c>
      <c r="Q156" s="3"/>
      <c r="R156" s="7">
        <f t="shared" si="32"/>
        <v>5.8797265134584121E-5</v>
      </c>
      <c r="S156" s="3"/>
      <c r="T156" s="6"/>
      <c r="U156" s="3"/>
      <c r="V156" s="7">
        <f t="shared" si="33"/>
        <v>0</v>
      </c>
      <c r="W156" s="3"/>
      <c r="X156" s="6">
        <f t="shared" si="34"/>
        <v>300</v>
      </c>
      <c r="Y156" s="3"/>
      <c r="Z156" s="7">
        <f t="shared" si="35"/>
        <v>0</v>
      </c>
    </row>
    <row r="157" spans="1:26" s="68" customFormat="1" ht="15" customHeight="1" outlineLevel="1" collapsed="1" x14ac:dyDescent="0.3">
      <c r="A157" s="20"/>
      <c r="B157" s="11" t="str">
        <f>CONCATENATE("     ","Travel                                            ")</f>
        <v xml:space="preserve">     Travel                                            </v>
      </c>
      <c r="C157" s="11"/>
      <c r="D157" s="2">
        <f>SUM(OSRRefD22_21x_0)</f>
        <v>1017.65</v>
      </c>
      <c r="E157" s="2"/>
      <c r="F157" s="5">
        <f t="shared" si="28"/>
        <v>3.6028996677500915E-3</v>
      </c>
      <c r="G157" s="2"/>
      <c r="H157" s="2">
        <f>SUM(OSRRefH22_21x_0)</f>
        <v>0</v>
      </c>
      <c r="I157" s="2"/>
      <c r="J157" s="5">
        <f t="shared" si="29"/>
        <v>0</v>
      </c>
      <c r="K157" s="2"/>
      <c r="L157" s="2">
        <f t="shared" si="30"/>
        <v>1017.65</v>
      </c>
      <c r="M157" s="2"/>
      <c r="N157" s="5">
        <f t="shared" si="31"/>
        <v>0</v>
      </c>
      <c r="O157" s="11"/>
      <c r="P157" s="2">
        <f>SUM(OSRRefP22_21x_0)</f>
        <v>1608.28</v>
      </c>
      <c r="Q157" s="2"/>
      <c r="R157" s="5">
        <f t="shared" si="32"/>
        <v>3.1520821856882985E-4</v>
      </c>
      <c r="S157" s="2"/>
      <c r="T157" s="2">
        <f>SUM(OSRRefT22_21x_0)</f>
        <v>613.35</v>
      </c>
      <c r="U157" s="2"/>
      <c r="V157" s="5">
        <f t="shared" si="33"/>
        <v>2.3840194830460041E-4</v>
      </c>
      <c r="W157" s="2"/>
      <c r="X157" s="2">
        <f t="shared" si="34"/>
        <v>994.93</v>
      </c>
      <c r="Y157" s="2"/>
      <c r="Z157" s="5">
        <f t="shared" si="35"/>
        <v>1.622124398793511</v>
      </c>
    </row>
    <row r="158" spans="1:26" s="69" customFormat="1" ht="15" hidden="1" customHeight="1" outlineLevel="2" x14ac:dyDescent="0.3">
      <c r="A158" s="21"/>
      <c r="B158" s="9" t="str">
        <f>CONCATENATE("          ","6294"," - ","TRAVEL OPERATIONAL")</f>
        <v xml:space="preserve">          6294 - TRAVEL OPERATIONAL</v>
      </c>
      <c r="C158" s="9"/>
      <c r="D158" s="6">
        <v>1017.65</v>
      </c>
      <c r="E158" s="3"/>
      <c r="F158" s="7">
        <f t="shared" si="28"/>
        <v>3.6028996677500915E-3</v>
      </c>
      <c r="G158" s="3"/>
      <c r="H158" s="6"/>
      <c r="I158" s="3"/>
      <c r="J158" s="7">
        <f t="shared" si="29"/>
        <v>0</v>
      </c>
      <c r="K158" s="3"/>
      <c r="L158" s="6">
        <f t="shared" si="30"/>
        <v>1017.65</v>
      </c>
      <c r="M158" s="3"/>
      <c r="N158" s="7">
        <f t="shared" si="31"/>
        <v>0</v>
      </c>
      <c r="O158" s="9"/>
      <c r="P158" s="6">
        <v>1608.28</v>
      </c>
      <c r="Q158" s="3"/>
      <c r="R158" s="7">
        <f t="shared" si="32"/>
        <v>3.1520821856882985E-4</v>
      </c>
      <c r="S158" s="3"/>
      <c r="T158" s="6">
        <v>613.35</v>
      </c>
      <c r="U158" s="3"/>
      <c r="V158" s="7">
        <f t="shared" si="33"/>
        <v>2.3840194830460041E-4</v>
      </c>
      <c r="W158" s="3"/>
      <c r="X158" s="6">
        <f t="shared" si="34"/>
        <v>994.93</v>
      </c>
      <c r="Y158" s="3"/>
      <c r="Z158" s="7">
        <f t="shared" si="35"/>
        <v>1.622124398793511</v>
      </c>
    </row>
    <row r="159" spans="1:26" s="68" customFormat="1" ht="15" customHeight="1" outlineLevel="1" collapsed="1" x14ac:dyDescent="0.3">
      <c r="A159" s="20"/>
      <c r="B159" s="11" t="str">
        <f>CONCATENATE("     ","Utilities                                         ")</f>
        <v xml:space="preserve">     Utilities                                         </v>
      </c>
      <c r="C159" s="11"/>
      <c r="D159" s="2">
        <f>SUM(OSRRefD22_22x_0)</f>
        <v>26.49</v>
      </c>
      <c r="E159" s="2"/>
      <c r="F159" s="5">
        <f t="shared" si="28"/>
        <v>9.3785498156242247E-5</v>
      </c>
      <c r="G159" s="2"/>
      <c r="H159" s="2">
        <f>SUM(OSRRefH22_22x_0)</f>
        <v>29.94</v>
      </c>
      <c r="I159" s="2"/>
      <c r="J159" s="5">
        <f t="shared" si="29"/>
        <v>1.1711782193709904E-4</v>
      </c>
      <c r="K159" s="2"/>
      <c r="L159" s="2">
        <f t="shared" si="30"/>
        <v>-3.4500000000000028</v>
      </c>
      <c r="M159" s="2"/>
      <c r="N159" s="5">
        <f t="shared" si="31"/>
        <v>-0.11523046092184377</v>
      </c>
      <c r="O159" s="11"/>
      <c r="P159" s="2">
        <f>SUM(OSRRefP22_22x_0)</f>
        <v>1330.38</v>
      </c>
      <c r="Q159" s="2"/>
      <c r="R159" s="5">
        <f t="shared" si="32"/>
        <v>2.6074235196582677E-4</v>
      </c>
      <c r="S159" s="2"/>
      <c r="T159" s="2">
        <f>SUM(OSRRefT22_22x_0)</f>
        <v>324.37</v>
      </c>
      <c r="U159" s="2"/>
      <c r="V159" s="5">
        <f t="shared" si="33"/>
        <v>1.2607881302936861E-4</v>
      </c>
      <c r="W159" s="2"/>
      <c r="X159" s="2">
        <f t="shared" si="34"/>
        <v>1006.0100000000001</v>
      </c>
      <c r="Y159" s="2"/>
      <c r="Z159" s="5">
        <f t="shared" si="35"/>
        <v>3.1014273823103249</v>
      </c>
    </row>
    <row r="160" spans="1:26" s="69" customFormat="1" ht="15" hidden="1" customHeight="1" outlineLevel="2" x14ac:dyDescent="0.3">
      <c r="A160" s="21"/>
      <c r="B160" s="9" t="str">
        <f>CONCATENATE("          ","6274"," - ","UTILITIES")</f>
        <v xml:space="preserve">          6274 - UTILITIES</v>
      </c>
      <c r="C160" s="9"/>
      <c r="D160" s="6">
        <v>26.49</v>
      </c>
      <c r="E160" s="3"/>
      <c r="F160" s="7">
        <f t="shared" si="28"/>
        <v>9.3785498156242247E-5</v>
      </c>
      <c r="G160" s="3"/>
      <c r="H160" s="6">
        <v>29.94</v>
      </c>
      <c r="I160" s="3"/>
      <c r="J160" s="7">
        <f t="shared" si="29"/>
        <v>1.1711782193709904E-4</v>
      </c>
      <c r="K160" s="3"/>
      <c r="L160" s="6">
        <f t="shared" si="30"/>
        <v>-3.4500000000000028</v>
      </c>
      <c r="M160" s="3"/>
      <c r="N160" s="7">
        <f t="shared" si="31"/>
        <v>-0.11523046092184377</v>
      </c>
      <c r="O160" s="9"/>
      <c r="P160" s="6">
        <v>1330.38</v>
      </c>
      <c r="Q160" s="3"/>
      <c r="R160" s="7">
        <f t="shared" si="32"/>
        <v>2.6074235196582677E-4</v>
      </c>
      <c r="S160" s="3"/>
      <c r="T160" s="6">
        <v>324.37</v>
      </c>
      <c r="U160" s="3"/>
      <c r="V160" s="7">
        <f t="shared" si="33"/>
        <v>1.2607881302936861E-4</v>
      </c>
      <c r="W160" s="3"/>
      <c r="X160" s="6">
        <f t="shared" si="34"/>
        <v>1006.0100000000001</v>
      </c>
      <c r="Y160" s="3"/>
      <c r="Z160" s="7">
        <f t="shared" si="35"/>
        <v>3.1014273823103249</v>
      </c>
    </row>
    <row r="161" spans="1:26" s="64" customFormat="1" ht="15" customHeight="1" x14ac:dyDescent="0.3">
      <c r="A161" s="37"/>
      <c r="B161" s="37"/>
      <c r="C161" s="37"/>
      <c r="D161" s="2"/>
      <c r="E161" s="2"/>
      <c r="F161" s="5"/>
      <c r="G161" s="2"/>
      <c r="H161" s="2"/>
      <c r="I161" s="2"/>
      <c r="J161" s="5"/>
      <c r="K161" s="2"/>
      <c r="L161" s="2"/>
      <c r="M161" s="2"/>
      <c r="N161" s="5"/>
      <c r="O161" s="37"/>
      <c r="P161" s="2"/>
      <c r="Q161" s="2"/>
      <c r="R161" s="5"/>
      <c r="S161" s="2"/>
      <c r="T161" s="2"/>
      <c r="U161" s="2"/>
      <c r="V161" s="5"/>
      <c r="W161" s="2"/>
      <c r="X161" s="2"/>
      <c r="Y161" s="2"/>
      <c r="Z161" s="5"/>
    </row>
    <row r="162" spans="1:26" s="62" customFormat="1" ht="15" customHeight="1" collapsed="1" x14ac:dyDescent="0.3">
      <c r="A162" s="13"/>
      <c r="B162" s="27" t="s">
        <v>290</v>
      </c>
      <c r="C162" s="13"/>
      <c r="D162" s="8">
        <f>SUM(OSRRefD25x_0)</f>
        <v>18080.689999999999</v>
      </c>
      <c r="E162" s="8"/>
      <c r="F162" s="14">
        <f>IF(D$12=0,0,D162/D$12)</f>
        <v>6.4013081112064468E-2</v>
      </c>
      <c r="G162" s="8"/>
      <c r="H162" s="8">
        <f>SUM(OSRRefH25x_0)</f>
        <v>381445.06</v>
      </c>
      <c r="I162" s="8"/>
      <c r="J162" s="14">
        <f>IF(H$12=0,0,H162/H$12)</f>
        <v>1.4921180566421528</v>
      </c>
      <c r="K162" s="8"/>
      <c r="L162" s="8">
        <f>+D162-H162</f>
        <v>-363364.37</v>
      </c>
      <c r="M162" s="8"/>
      <c r="N162" s="14">
        <f>IF(H162=0,0,L162/H162)</f>
        <v>-0.95259949099878238</v>
      </c>
      <c r="O162" s="13"/>
      <c r="P162" s="8">
        <f>SUM(OSRRefP25x_0)</f>
        <v>770455.72</v>
      </c>
      <c r="Q162" s="8"/>
      <c r="R162" s="14">
        <f>IF(P$12=0,0,P162/P$12)</f>
        <v>0.15100229747765634</v>
      </c>
      <c r="S162" s="8"/>
      <c r="T162" s="8">
        <f>SUM(OSRRefT25x_0)</f>
        <v>794131.84000000008</v>
      </c>
      <c r="U162" s="8"/>
      <c r="V162" s="14">
        <f>IF(T$12=0,0,T162/T$12)</f>
        <v>0.30866972832268236</v>
      </c>
      <c r="W162" s="8"/>
      <c r="X162" s="8">
        <f>+P162-T162</f>
        <v>-23676.120000000112</v>
      </c>
      <c r="Y162" s="8"/>
      <c r="Z162" s="14">
        <f>IF(T162=0,0,X162/T162)</f>
        <v>-2.9813840482708902E-2</v>
      </c>
    </row>
    <row r="163" spans="1:26" s="69" customFormat="1" ht="15" hidden="1" customHeight="1" outlineLevel="1" x14ac:dyDescent="0.3">
      <c r="A163" s="47"/>
      <c r="B163" s="9" t="str">
        <f>CONCATENATE("          ","4098"," - ","TAXABLE SALES-GRAD RENTALS")</f>
        <v xml:space="preserve">          4098 - TAXABLE SALES-GRAD RENTALS</v>
      </c>
      <c r="C163" s="9"/>
      <c r="D163" s="3">
        <f>0</f>
        <v>0</v>
      </c>
      <c r="E163" s="3"/>
      <c r="F163" s="26">
        <f>IF(D$12=0,0,D163/D$12)</f>
        <v>0</v>
      </c>
      <c r="G163" s="3"/>
      <c r="H163" s="3">
        <f>--1017.7</f>
        <v>1017.7</v>
      </c>
      <c r="I163" s="3"/>
      <c r="J163" s="26">
        <f>IF(H$12=0,0,H163/H$12)</f>
        <v>3.9809888906274446E-3</v>
      </c>
      <c r="K163" s="3"/>
      <c r="L163" s="3">
        <f>+D163-H163</f>
        <v>-1017.7</v>
      </c>
      <c r="M163" s="3"/>
      <c r="N163" s="26">
        <f>IF(H163=0,0,L163/H163)</f>
        <v>-1</v>
      </c>
      <c r="O163" s="9"/>
      <c r="P163" s="3">
        <f>0</f>
        <v>0</v>
      </c>
      <c r="Q163" s="3"/>
      <c r="R163" s="26">
        <f>IF(P$12=0,0,P163/P$12)</f>
        <v>0</v>
      </c>
      <c r="S163" s="3"/>
      <c r="T163" s="3">
        <f>--1067.65</f>
        <v>1067.6500000000001</v>
      </c>
      <c r="U163" s="3"/>
      <c r="V163" s="26">
        <f>IF(T$12=0,0,T163/T$12)</f>
        <v>4.149830278102334E-4</v>
      </c>
      <c r="W163" s="3"/>
      <c r="X163" s="3">
        <f>+P163-T163</f>
        <v>-1067.6500000000001</v>
      </c>
      <c r="Y163" s="3"/>
      <c r="Z163" s="26">
        <f>IF(T163=0,0,X163/T163)</f>
        <v>-1</v>
      </c>
    </row>
    <row r="164" spans="1:26" s="69" customFormat="1" ht="15" hidden="1" customHeight="1" outlineLevel="1" x14ac:dyDescent="0.3">
      <c r="A164" s="47"/>
      <c r="B164" s="9" t="str">
        <f>CONCATENATE("          ","9150"," - ","MISC. INCOME")</f>
        <v xml:space="preserve">          9150 - MISC. INCOME</v>
      </c>
      <c r="C164" s="9"/>
      <c r="D164" s="3">
        <f>--78.19</f>
        <v>78.19</v>
      </c>
      <c r="E164" s="3"/>
      <c r="F164" s="26">
        <f>IF(D$12=0,0,D164/D$12)</f>
        <v>2.7682476786850061E-4</v>
      </c>
      <c r="G164" s="3"/>
      <c r="H164" s="3">
        <f>--1666.87</f>
        <v>1666.87</v>
      </c>
      <c r="I164" s="3"/>
      <c r="J164" s="26">
        <f>IF(H$12=0,0,H164/H$12)</f>
        <v>6.52038022218745E-3</v>
      </c>
      <c r="K164" s="3"/>
      <c r="L164" s="3">
        <f>+D164-H164</f>
        <v>-1588.6799999999998</v>
      </c>
      <c r="M164" s="3"/>
      <c r="N164" s="26">
        <f>IF(H164=0,0,L164/H164)</f>
        <v>-0.95309172280981713</v>
      </c>
      <c r="O164" s="9"/>
      <c r="P164" s="3">
        <f>--110983.52</f>
        <v>110983.52</v>
      </c>
      <c r="Q164" s="3"/>
      <c r="R164" s="26">
        <f>IF(P$12=0,0,P164/P$12)</f>
        <v>2.1751758170031398E-2</v>
      </c>
      <c r="S164" s="3"/>
      <c r="T164" s="3">
        <f>--65963.14</f>
        <v>65963.14</v>
      </c>
      <c r="U164" s="3"/>
      <c r="V164" s="26">
        <f>IF(T$12=0,0,T164/T$12)</f>
        <v>2.5639098544532678E-2</v>
      </c>
      <c r="W164" s="3"/>
      <c r="X164" s="3">
        <f>+P164-T164</f>
        <v>45020.380000000005</v>
      </c>
      <c r="Y164" s="3"/>
      <c r="Z164" s="26">
        <f>IF(T164=0,0,X164/T164)</f>
        <v>0.68250814015221239</v>
      </c>
    </row>
    <row r="165" spans="1:26" s="69" customFormat="1" ht="15" hidden="1" customHeight="1" outlineLevel="1" x14ac:dyDescent="0.3">
      <c r="A165" s="47"/>
      <c r="B165" s="9" t="str">
        <f>CONCATENATE("          ","9163"," - ","MISC. INCOME")</f>
        <v xml:space="preserve">          9163 - MISC. INCOME</v>
      </c>
      <c r="C165" s="9"/>
      <c r="D165" s="3">
        <f>--18002.5</f>
        <v>18002.5</v>
      </c>
      <c r="E165" s="3"/>
      <c r="F165" s="26">
        <f>IF(D$12=0,0,D165/D$12)</f>
        <v>6.3736256344195968E-2</v>
      </c>
      <c r="G165" s="3"/>
      <c r="H165" s="3">
        <f>--378760.49</f>
        <v>378760.49</v>
      </c>
      <c r="I165" s="3"/>
      <c r="J165" s="26">
        <f>IF(H$12=0,0,H165/H$12)</f>
        <v>1.481616687529338</v>
      </c>
      <c r="K165" s="3"/>
      <c r="L165" s="3">
        <f>+D165-H165</f>
        <v>-360757.99</v>
      </c>
      <c r="M165" s="3"/>
      <c r="N165" s="26">
        <f>IF(H165=0,0,L165/H165)</f>
        <v>-0.95246996327415245</v>
      </c>
      <c r="O165" s="9"/>
      <c r="P165" s="3">
        <f>--659472.2</f>
        <v>659472.19999999995</v>
      </c>
      <c r="Q165" s="3"/>
      <c r="R165" s="26">
        <f>IF(P$12=0,0,P165/P$12)</f>
        <v>0.12925053930762495</v>
      </c>
      <c r="S165" s="3"/>
      <c r="T165" s="3">
        <f>--727101.05</f>
        <v>727101.05</v>
      </c>
      <c r="U165" s="3"/>
      <c r="V165" s="26">
        <f>IF(T$12=0,0,T165/T$12)</f>
        <v>0.2826156467503394</v>
      </c>
      <c r="W165" s="3"/>
      <c r="X165" s="3">
        <f>+P165-T165</f>
        <v>-67628.850000000093</v>
      </c>
      <c r="Y165" s="3"/>
      <c r="Z165" s="26">
        <f>IF(T165=0,0,X165/T165)</f>
        <v>-9.3011624725339193E-2</v>
      </c>
    </row>
    <row r="166" spans="1:26" ht="15" customHeight="1" x14ac:dyDescent="0.3">
      <c r="A166" s="12"/>
      <c r="B166" s="13"/>
      <c r="C166" s="13"/>
      <c r="D166" s="4"/>
      <c r="E166" s="4"/>
      <c r="F166" s="10"/>
      <c r="G166" s="4"/>
      <c r="H166" s="4"/>
      <c r="I166" s="4"/>
      <c r="J166" s="10"/>
      <c r="K166" s="4"/>
      <c r="L166" s="4"/>
      <c r="M166" s="4"/>
      <c r="N166" s="10"/>
      <c r="O166" s="13"/>
      <c r="P166" s="4"/>
      <c r="Q166" s="4"/>
      <c r="R166" s="10"/>
      <c r="S166" s="4"/>
      <c r="T166" s="4"/>
      <c r="U166" s="4"/>
      <c r="V166" s="10"/>
      <c r="W166" s="4"/>
      <c r="X166" s="4"/>
      <c r="Y166" s="4"/>
      <c r="Z166" s="10"/>
    </row>
    <row r="167" spans="1:26" s="62" customFormat="1" ht="15" customHeight="1" x14ac:dyDescent="0.3">
      <c r="A167" s="13"/>
      <c r="B167" s="28" t="s">
        <v>291</v>
      </c>
      <c r="C167" s="28"/>
      <c r="D167" s="22">
        <f>+D86-D88+D162</f>
        <v>-86581.740000000049</v>
      </c>
      <c r="E167" s="15"/>
      <c r="F167" s="24">
        <f>IF(D$12=0,0,D167/D$12)</f>
        <v>-0.3065349798842677</v>
      </c>
      <c r="G167" s="15"/>
      <c r="H167" s="22">
        <f>+H86-H88+H162</f>
        <v>554686.3600000001</v>
      </c>
      <c r="I167" s="15"/>
      <c r="J167" s="24">
        <f>IF(H$12=0,0,H167/H$12)</f>
        <v>2.1697948677828198</v>
      </c>
      <c r="K167" s="17"/>
      <c r="L167" s="22">
        <f>+D167-H167</f>
        <v>-641268.10000000009</v>
      </c>
      <c r="M167" s="17"/>
      <c r="N167" s="24">
        <f>IF(H167=0,0,L167/H167)</f>
        <v>-1.156091345026043</v>
      </c>
      <c r="O167" s="27"/>
      <c r="P167" s="22">
        <f>+P86-P88+P162</f>
        <v>2102167.2899999991</v>
      </c>
      <c r="Q167" s="15"/>
      <c r="R167" s="24">
        <f>IF(P$12=0,0,P167/P$12)</f>
        <v>0.41200562502460042</v>
      </c>
      <c r="S167" s="15"/>
      <c r="T167" s="22">
        <f>+T86-T88+T162</f>
        <v>1308519.5300000003</v>
      </c>
      <c r="U167" s="15"/>
      <c r="V167" s="24">
        <f>IF(T$12=0,0,T167/T$12)</f>
        <v>0.50860618789699208</v>
      </c>
      <c r="W167" s="17"/>
      <c r="X167" s="22">
        <f>+P167-T167</f>
        <v>793647.75999999885</v>
      </c>
      <c r="Y167" s="17"/>
      <c r="Z167" s="24">
        <f>IF(T167=0,0,X167/T167)</f>
        <v>0.60652343492343497</v>
      </c>
    </row>
    <row r="168" spans="1:26" ht="15" customHeight="1" x14ac:dyDescent="0.3">
      <c r="A168" s="12"/>
      <c r="B168" s="13"/>
      <c r="C168" s="12"/>
      <c r="D168" s="4"/>
      <c r="E168" s="4"/>
      <c r="F168" s="10"/>
      <c r="G168" s="4"/>
      <c r="H168" s="4"/>
      <c r="I168" s="4"/>
      <c r="J168" s="10"/>
      <c r="K168" s="4"/>
      <c r="L168" s="4"/>
      <c r="M168" s="4"/>
      <c r="N168" s="10"/>
      <c r="P168" s="4"/>
      <c r="Q168" s="4"/>
      <c r="R168" s="10"/>
      <c r="S168" s="4"/>
      <c r="T168" s="4"/>
      <c r="U168" s="4"/>
      <c r="V168" s="10"/>
      <c r="W168" s="4"/>
      <c r="X168" s="4"/>
      <c r="Y168" s="4"/>
      <c r="Z168" s="10"/>
    </row>
    <row r="169" spans="1:26" s="62" customFormat="1" ht="15" customHeight="1" x14ac:dyDescent="0.3">
      <c r="A169" s="48"/>
      <c r="B169" s="13" t="s">
        <v>292</v>
      </c>
      <c r="C169" s="13"/>
      <c r="D169" s="8">
        <v>-1130105.69</v>
      </c>
      <c r="E169" s="8"/>
      <c r="F169" s="14">
        <f>IF(D$12=0,0,D169/D$12)</f>
        <v>-4.0010390753436722</v>
      </c>
      <c r="G169" s="8"/>
      <c r="H169" s="8">
        <v>216979.37</v>
      </c>
      <c r="I169" s="8"/>
      <c r="J169" s="14">
        <f>IF(H$12=0,0,H169/H$12)</f>
        <v>0.84876924581442648</v>
      </c>
      <c r="K169" s="8"/>
      <c r="L169" s="8">
        <f>+D169-H169</f>
        <v>-1347085.06</v>
      </c>
      <c r="M169" s="8"/>
      <c r="N169" s="14">
        <f>IF(H169=0,0,L169/H169)</f>
        <v>-6.2083554763754734</v>
      </c>
      <c r="O169" s="13"/>
      <c r="P169" s="8">
        <v>-588235.15</v>
      </c>
      <c r="Q169" s="8"/>
      <c r="R169" s="14">
        <f>IF(P$12=0,0,P169/P$12)</f>
        <v>-0.11528872692010621</v>
      </c>
      <c r="S169" s="8"/>
      <c r="T169" s="8">
        <v>712125.05</v>
      </c>
      <c r="U169" s="8"/>
      <c r="V169" s="14">
        <f>IF(T$12=0,0,T169/T$12)</f>
        <v>0.27679465127009212</v>
      </c>
      <c r="W169" s="8"/>
      <c r="X169" s="8">
        <f>+P169-T169</f>
        <v>-1300360.2000000002</v>
      </c>
      <c r="Y169" s="8"/>
      <c r="Z169" s="14">
        <f>IF(T169=0,0,X169/T169)</f>
        <v>-1.8260278865348158</v>
      </c>
    </row>
    <row r="170" spans="1:26" ht="15" customHeight="1" x14ac:dyDescent="0.3">
      <c r="A170" s="12"/>
      <c r="B170" s="13"/>
      <c r="C170" s="13"/>
      <c r="D170" s="4"/>
      <c r="E170" s="4"/>
      <c r="F170" s="10"/>
      <c r="G170" s="4"/>
      <c r="H170" s="4"/>
      <c r="I170" s="4"/>
      <c r="J170" s="10"/>
      <c r="K170" s="4"/>
      <c r="L170" s="4"/>
      <c r="M170" s="4"/>
      <c r="N170" s="10"/>
      <c r="O170" s="13"/>
      <c r="P170" s="4"/>
      <c r="Q170" s="4"/>
      <c r="R170" s="10"/>
      <c r="S170" s="4"/>
      <c r="T170" s="4"/>
      <c r="U170" s="4"/>
      <c r="V170" s="10"/>
      <c r="W170" s="4"/>
      <c r="X170" s="4"/>
      <c r="Y170" s="4"/>
      <c r="Z170" s="10"/>
    </row>
    <row r="171" spans="1:26" s="62" customFormat="1" ht="15" customHeight="1" x14ac:dyDescent="0.3">
      <c r="A171" s="13"/>
      <c r="B171" s="28" t="s">
        <v>293</v>
      </c>
      <c r="C171" s="28"/>
      <c r="D171" s="29">
        <f>+D167-D169</f>
        <v>1043523.95</v>
      </c>
      <c r="E171" s="15"/>
      <c r="F171" s="31">
        <f>IF(D$12=0,0,D171/D$12)</f>
        <v>3.6945040954594046</v>
      </c>
      <c r="G171" s="15"/>
      <c r="H171" s="29">
        <f>+H167-H169</f>
        <v>337706.99000000011</v>
      </c>
      <c r="I171" s="15"/>
      <c r="J171" s="31">
        <f>IF(H$12=0,0,H171/H$12)</f>
        <v>1.3210256219683933</v>
      </c>
      <c r="K171" s="17"/>
      <c r="L171" s="29">
        <f>D171-H171</f>
        <v>705816.95999999985</v>
      </c>
      <c r="M171" s="17"/>
      <c r="N171" s="31">
        <f>IF(H171=0,0,L171/H171)</f>
        <v>2.0900276893883647</v>
      </c>
      <c r="O171" s="27"/>
      <c r="P171" s="29">
        <f>+P167-P169</f>
        <v>2690402.439999999</v>
      </c>
      <c r="Q171" s="15"/>
      <c r="R171" s="31">
        <f>IF(P$12=0,0,P171/P$12)</f>
        <v>0.52729435194470664</v>
      </c>
      <c r="S171" s="15"/>
      <c r="T171" s="29">
        <f>+T167-T169</f>
        <v>596394.48000000021</v>
      </c>
      <c r="U171" s="15"/>
      <c r="V171" s="31">
        <f>IF(T$12=0,0,T171/T$12)</f>
        <v>0.23181153662689996</v>
      </c>
      <c r="W171" s="17"/>
      <c r="X171" s="29">
        <f>P171-T171</f>
        <v>2094007.9599999988</v>
      </c>
      <c r="Y171" s="17"/>
      <c r="Z171" s="31">
        <f>IF(T171=0,0,X171/T171)</f>
        <v>3.5111122423534136</v>
      </c>
    </row>
    <row r="172" spans="1:26" ht="15" customHeight="1" x14ac:dyDescent="0.3">
      <c r="A172" s="12"/>
      <c r="B172" s="12"/>
      <c r="C172" s="12"/>
      <c r="D172" s="4"/>
      <c r="E172" s="4"/>
      <c r="F172" s="10"/>
      <c r="G172" s="4"/>
      <c r="H172" s="4"/>
      <c r="I172" s="4"/>
      <c r="J172" s="10"/>
      <c r="K172" s="4"/>
      <c r="L172" s="4"/>
      <c r="M172" s="4"/>
      <c r="N172" s="10"/>
      <c r="P172" s="4"/>
      <c r="Q172" s="4"/>
      <c r="R172" s="10"/>
      <c r="S172" s="4"/>
      <c r="T172" s="4"/>
      <c r="U172" s="4"/>
      <c r="V172" s="10"/>
      <c r="W172" s="4"/>
      <c r="X172" s="4"/>
      <c r="Y172" s="4"/>
      <c r="Z172" s="10"/>
    </row>
    <row r="173" spans="1:26" ht="15" customHeight="1" x14ac:dyDescent="0.3">
      <c r="A173" s="12"/>
      <c r="B173" s="12"/>
      <c r="C173" s="12"/>
      <c r="D173" s="4"/>
      <c r="E173" s="4"/>
      <c r="F173" s="10"/>
      <c r="G173" s="4"/>
      <c r="H173" s="4"/>
      <c r="I173" s="4"/>
      <c r="J173" s="10"/>
      <c r="K173" s="4"/>
      <c r="L173" s="4"/>
      <c r="M173" s="4"/>
      <c r="N173" s="10"/>
      <c r="P173" s="4"/>
      <c r="Q173" s="4"/>
      <c r="R173" s="10"/>
      <c r="S173" s="4"/>
      <c r="T173" s="4"/>
      <c r="U173" s="4"/>
      <c r="V173" s="10"/>
      <c r="W173" s="4"/>
      <c r="X173" s="4"/>
      <c r="Y173" s="4"/>
      <c r="Z173" s="10"/>
    </row>
    <row r="174" spans="1:26" s="62" customFormat="1" ht="15" customHeight="1" x14ac:dyDescent="0.3">
      <c r="A174" s="13"/>
      <c r="B174" s="28" t="s">
        <v>296</v>
      </c>
      <c r="C174" s="28"/>
      <c r="D174" s="30">
        <f>SUM(D171:D173)</f>
        <v>1043523.95</v>
      </c>
      <c r="E174" s="15"/>
      <c r="F174" s="35">
        <f>IF(D$12=0,0,D174/D$12)</f>
        <v>3.6945040954594046</v>
      </c>
      <c r="G174" s="15"/>
      <c r="H174" s="30">
        <f>SUM(H171:H173)</f>
        <v>337706.99000000011</v>
      </c>
      <c r="I174" s="15"/>
      <c r="J174" s="35">
        <f>IF(H$12=0,0,H174/H$12)</f>
        <v>1.3210256219683933</v>
      </c>
      <c r="K174" s="17"/>
      <c r="L174" s="30">
        <f>+D174-H174</f>
        <v>705816.95999999985</v>
      </c>
      <c r="M174" s="17"/>
      <c r="N174" s="35">
        <f>IF(H174=0,0,L174/H174)</f>
        <v>2.0900276893883647</v>
      </c>
      <c r="O174" s="27"/>
      <c r="P174" s="30">
        <f>SUM(P171:P173)</f>
        <v>2690402.439999999</v>
      </c>
      <c r="Q174" s="15"/>
      <c r="R174" s="35">
        <f>IF(P$12=0,0,P174/P$12)</f>
        <v>0.52729435194470664</v>
      </c>
      <c r="S174" s="15"/>
      <c r="T174" s="30">
        <f>SUM(T171:T173)</f>
        <v>596394.48000000021</v>
      </c>
      <c r="U174" s="15"/>
      <c r="V174" s="35">
        <f>IF(T$12=0,0,T174/T$12)</f>
        <v>0.23181153662689996</v>
      </c>
      <c r="W174" s="17"/>
      <c r="X174" s="30">
        <f>+P174-T174</f>
        <v>2094007.9599999988</v>
      </c>
      <c r="Y174" s="17"/>
      <c r="Z174" s="35">
        <f>IF(T174=0,0,X174/T174)</f>
        <v>3.5111122423534136</v>
      </c>
    </row>
    <row r="175" spans="1:26" ht="15" customHeight="1" x14ac:dyDescent="0.3">
      <c r="A175" s="12"/>
      <c r="C175" s="12"/>
      <c r="D175" s="19"/>
      <c r="E175" s="19"/>
      <c r="G175" s="19"/>
      <c r="H175" s="19"/>
      <c r="I175" s="19"/>
      <c r="J175" s="41"/>
      <c r="K175" s="19"/>
      <c r="L175" s="19"/>
      <c r="M175" s="19"/>
      <c r="P175" s="19"/>
      <c r="Q175" s="19"/>
      <c r="R175" s="41"/>
      <c r="S175" s="19"/>
      <c r="T175" s="19"/>
      <c r="U175" s="19"/>
      <c r="V175" s="41"/>
      <c r="W175" s="19"/>
      <c r="X175" s="19"/>
    </row>
    <row r="176" spans="1:26" ht="15" customHeight="1" x14ac:dyDescent="0.3">
      <c r="A176" s="12"/>
      <c r="B176" s="54">
        <v>44767.815828935185</v>
      </c>
      <c r="D176" s="19"/>
      <c r="E176" s="19"/>
      <c r="G176" s="19"/>
      <c r="H176" s="19"/>
      <c r="I176" s="19"/>
      <c r="J176" s="41"/>
      <c r="K176" s="19"/>
      <c r="L176" s="19"/>
      <c r="M176" s="19"/>
      <c r="P176" s="19"/>
      <c r="Q176" s="19"/>
      <c r="R176" s="41"/>
      <c r="S176" s="19"/>
      <c r="T176" s="19"/>
      <c r="U176" s="19"/>
      <c r="V176" s="41"/>
      <c r="W176" s="19"/>
      <c r="X176" s="19"/>
    </row>
    <row r="177" spans="1:24" ht="15" customHeight="1" x14ac:dyDescent="0.3">
      <c r="A177" s="12"/>
      <c r="B177" s="53" t="s">
        <v>297</v>
      </c>
      <c r="D177" s="19"/>
      <c r="E177" s="19"/>
      <c r="G177" s="19"/>
      <c r="H177" s="19"/>
      <c r="I177" s="19"/>
      <c r="J177" s="41"/>
      <c r="K177" s="19"/>
      <c r="L177" s="19"/>
      <c r="M177" s="19"/>
      <c r="P177" s="19"/>
      <c r="Q177" s="19"/>
      <c r="R177" s="41"/>
      <c r="S177" s="19"/>
      <c r="T177" s="19"/>
      <c r="U177" s="19"/>
      <c r="V177" s="41"/>
      <c r="W177" s="19"/>
      <c r="X177" s="19"/>
    </row>
    <row r="178" spans="1:24" ht="15" customHeight="1" x14ac:dyDescent="0.3">
      <c r="A178" s="12"/>
      <c r="B178" s="51"/>
      <c r="D178" s="19"/>
      <c r="E178" s="19"/>
      <c r="G178" s="19"/>
      <c r="H178" s="19"/>
      <c r="I178" s="19"/>
      <c r="J178" s="41"/>
      <c r="K178" s="19"/>
      <c r="L178" s="19"/>
      <c r="M178" s="19"/>
      <c r="P178" s="19"/>
      <c r="Q178" s="19"/>
      <c r="R178" s="41"/>
      <c r="S178" s="19"/>
      <c r="T178" s="19"/>
      <c r="U178" s="19"/>
      <c r="V178" s="41"/>
      <c r="W178" s="19"/>
      <c r="X178" s="19"/>
    </row>
    <row r="179" spans="1:24" ht="15" customHeight="1" x14ac:dyDescent="0.3">
      <c r="D179" s="19"/>
      <c r="E179" s="19"/>
      <c r="G179" s="19"/>
      <c r="H179" s="19"/>
      <c r="I179" s="19"/>
      <c r="J179" s="41"/>
      <c r="K179" s="19"/>
      <c r="L179" s="19"/>
      <c r="M179" s="19"/>
      <c r="P179" s="19"/>
      <c r="Q179" s="19"/>
      <c r="R179" s="41"/>
      <c r="S179" s="19"/>
      <c r="T179" s="19"/>
      <c r="U179" s="19"/>
      <c r="V179" s="41"/>
      <c r="W179" s="19"/>
      <c r="X17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1CD78-1E02-1E9D-EA49-B1A879577454}">
  <sheetPr>
    <tabColor rgb="FF92D050"/>
    <outlinePr summaryBelow="0" summaryRight="0"/>
  </sheetPr>
  <dimension ref="A2:Z16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","315"," - ","Bookstore Retail")</f>
        <v>Department 315 - Bookstore Retail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244240.03</v>
      </c>
      <c r="E12" s="8"/>
      <c r="F12" s="14"/>
      <c r="G12" s="8"/>
      <c r="H12" s="8">
        <f>SUM(OSRRefH13x_0)</f>
        <v>222004.08000000002</v>
      </c>
      <c r="I12" s="8"/>
      <c r="J12" s="14"/>
      <c r="K12" s="8"/>
      <c r="L12" s="8">
        <f t="shared" ref="L12:L55" si="0">+D12-H12</f>
        <v>22235.949999999983</v>
      </c>
      <c r="M12" s="8"/>
      <c r="N12" s="14">
        <f t="shared" ref="N12:N55" si="1">IF(H12=0,0,L12/H12)</f>
        <v>0.10016009615679126</v>
      </c>
      <c r="O12" s="13"/>
      <c r="P12" s="8">
        <f>SUM(OSRRefP13x_0)</f>
        <v>4685974.8699999992</v>
      </c>
      <c r="Q12" s="8"/>
      <c r="R12" s="14"/>
      <c r="S12" s="8"/>
      <c r="T12" s="8">
        <f>SUM(OSRRefT13x_0)</f>
        <v>2253110.89</v>
      </c>
      <c r="U12" s="8"/>
      <c r="V12" s="14"/>
      <c r="W12" s="8"/>
      <c r="X12" s="8">
        <f t="shared" ref="X12:X55" si="2">+P12-T12</f>
        <v>2432863.9799999991</v>
      </c>
      <c r="Y12" s="8"/>
      <c r="Z12" s="14">
        <f t="shared" ref="Z12:Z55" si="3">IF(T12=0,0,X12/T12)</f>
        <v>1.0797799570353144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--237159.83</f>
        <v>237159.83</v>
      </c>
      <c r="E13" s="3"/>
      <c r="F13" s="26"/>
      <c r="G13" s="3"/>
      <c r="H13" s="3">
        <f>-5737.24</f>
        <v>-5737.24</v>
      </c>
      <c r="I13" s="3"/>
      <c r="J13" s="26"/>
      <c r="K13" s="3"/>
      <c r="L13" s="3">
        <f t="shared" si="0"/>
        <v>242897.06999999998</v>
      </c>
      <c r="M13" s="3"/>
      <c r="N13" s="26">
        <f t="shared" si="1"/>
        <v>-42.336919842990703</v>
      </c>
      <c r="O13" s="9"/>
      <c r="P13" s="3">
        <f>--4377922.71</f>
        <v>4377922.71</v>
      </c>
      <c r="Q13" s="3"/>
      <c r="R13" s="26"/>
      <c r="S13" s="3"/>
      <c r="T13" s="3">
        <f>-133441.2</f>
        <v>-133441.20000000001</v>
      </c>
      <c r="U13" s="3"/>
      <c r="V13" s="26"/>
      <c r="W13" s="3"/>
      <c r="X13" s="3">
        <f t="shared" si="2"/>
        <v>4511363.91</v>
      </c>
      <c r="Y13" s="3"/>
      <c r="Z13" s="26">
        <f t="shared" si="3"/>
        <v>-33.807878751090364</v>
      </c>
    </row>
    <row r="14" spans="1:26" s="69" customFormat="1" ht="15" hidden="1" customHeight="1" outlineLevel="1" x14ac:dyDescent="0.3">
      <c r="A14" s="47"/>
      <c r="B14" s="9" t="str">
        <f>CONCATENATE("          ","4026"," - ","TAXABLE SALES-WRITING INSTRUME")</f>
        <v xml:space="preserve">          4026 - TAXABLE SALES-WRITING INSTRUME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0</f>
        <v>0</v>
      </c>
      <c r="Q14" s="3"/>
      <c r="R14" s="26"/>
      <c r="S14" s="3"/>
      <c r="T14" s="3">
        <f>--221.99</f>
        <v>221.99</v>
      </c>
      <c r="U14" s="3"/>
      <c r="V14" s="26"/>
      <c r="W14" s="3"/>
      <c r="X14" s="3">
        <f t="shared" si="2"/>
        <v>-221.99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","4027"," - ","TAXABLE SALES-SCHOOL SUPPLIES")</f>
        <v xml:space="preserve">          4027 - TAXABLE SALES-SCHOOL SUPPLIES</v>
      </c>
      <c r="C15" s="9"/>
      <c r="D15" s="3">
        <f>0</f>
        <v>0</v>
      </c>
      <c r="E15" s="3"/>
      <c r="F15" s="26"/>
      <c r="G15" s="3"/>
      <c r="H15" s="3">
        <f>--3356.39</f>
        <v>3356.39</v>
      </c>
      <c r="I15" s="3"/>
      <c r="J15" s="26"/>
      <c r="K15" s="3"/>
      <c r="L15" s="3">
        <f t="shared" si="0"/>
        <v>-3356.39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--65036.73</f>
        <v>65036.73</v>
      </c>
      <c r="U15" s="3"/>
      <c r="V15" s="26"/>
      <c r="W15" s="3"/>
      <c r="X15" s="3">
        <f t="shared" si="2"/>
        <v>-65036.73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","4028"," - ","TAXABLE SALES-ART/TECH")</f>
        <v xml:space="preserve">          4028 - TAXABLE SALES-ART/TECH</v>
      </c>
      <c r="C16" s="9"/>
      <c r="D16" s="3">
        <f>0</f>
        <v>0</v>
      </c>
      <c r="E16" s="3"/>
      <c r="F16" s="26"/>
      <c r="G16" s="3"/>
      <c r="H16" s="3">
        <f>--2312.88</f>
        <v>2312.88</v>
      </c>
      <c r="I16" s="3"/>
      <c r="J16" s="26"/>
      <c r="K16" s="3"/>
      <c r="L16" s="3">
        <f t="shared" si="0"/>
        <v>-2312.88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--38199.91</f>
        <v>38199.910000000003</v>
      </c>
      <c r="U16" s="3"/>
      <c r="V16" s="26"/>
      <c r="W16" s="3"/>
      <c r="X16" s="3">
        <f t="shared" si="2"/>
        <v>-38199.910000000003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","4031"," - ","TAXABLE SALES-FOOD")</f>
        <v xml:space="preserve">          4031 - TAXABLE SALES-FOOD</v>
      </c>
      <c r="C17" s="9"/>
      <c r="D17" s="3">
        <f>0</f>
        <v>0</v>
      </c>
      <c r="E17" s="3"/>
      <c r="F17" s="26"/>
      <c r="G17" s="3"/>
      <c r="H17" s="3">
        <f>--380.76</f>
        <v>380.76</v>
      </c>
      <c r="I17" s="3"/>
      <c r="J17" s="26"/>
      <c r="K17" s="3"/>
      <c r="L17" s="3">
        <f t="shared" si="0"/>
        <v>-380.76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--4706.92</f>
        <v>4706.92</v>
      </c>
      <c r="U17" s="3"/>
      <c r="V17" s="26"/>
      <c r="W17" s="3"/>
      <c r="X17" s="3">
        <f t="shared" si="2"/>
        <v>-4706.92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","4034"," - ","TAXABLE SALES-SODA")</f>
        <v xml:space="preserve">          4034 - TAXABLE SALES-SODA</v>
      </c>
      <c r="C18" s="9"/>
      <c r="D18" s="3">
        <f>0</f>
        <v>0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>
        <f>--6.78</f>
        <v>6.78</v>
      </c>
      <c r="U18" s="3"/>
      <c r="V18" s="26"/>
      <c r="W18" s="3"/>
      <c r="X18" s="3">
        <f t="shared" si="2"/>
        <v>-6.78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","4040"," - ","TAXABLE SALES-LOGO CLOTHING")</f>
        <v xml:space="preserve">          4040 - TAXABLE SALES-LOGO CLOTHING</v>
      </c>
      <c r="C19" s="9"/>
      <c r="D19" s="3">
        <f>0</f>
        <v>0</v>
      </c>
      <c r="E19" s="3"/>
      <c r="F19" s="26"/>
      <c r="G19" s="3"/>
      <c r="H19" s="3">
        <f>--79436</f>
        <v>79436</v>
      </c>
      <c r="I19" s="3"/>
      <c r="J19" s="26"/>
      <c r="K19" s="3"/>
      <c r="L19" s="3">
        <f t="shared" si="0"/>
        <v>-79436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--938013.8</f>
        <v>938013.8</v>
      </c>
      <c r="U19" s="3"/>
      <c r="V19" s="26"/>
      <c r="W19" s="3"/>
      <c r="X19" s="3">
        <f t="shared" si="2"/>
        <v>-938013.8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","4041"," - ","TAXABLE SALES-LOGO GIFTS")</f>
        <v xml:space="preserve">          4041 - TAXABLE SALES-LOGO GIFTS</v>
      </c>
      <c r="C20" s="9"/>
      <c r="D20" s="3">
        <f>0</f>
        <v>0</v>
      </c>
      <c r="E20" s="3"/>
      <c r="F20" s="26"/>
      <c r="G20" s="3"/>
      <c r="H20" s="3">
        <f>--76113.34</f>
        <v>76113.34</v>
      </c>
      <c r="I20" s="3"/>
      <c r="J20" s="26"/>
      <c r="K20" s="3"/>
      <c r="L20" s="3">
        <f t="shared" si="0"/>
        <v>-76113.34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--578424.82</f>
        <v>578424.81999999995</v>
      </c>
      <c r="U20" s="3"/>
      <c r="V20" s="26"/>
      <c r="W20" s="3"/>
      <c r="X20" s="3">
        <f t="shared" si="2"/>
        <v>-578424.81999999995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","4042"," - ","TAXABLE SALES-EVERYDAY GIFTS")</f>
        <v xml:space="preserve">          4042 - TAXABLE SALES-EVERYDAY GIFTS</v>
      </c>
      <c r="C21" s="9"/>
      <c r="D21" s="3">
        <f>0</f>
        <v>0</v>
      </c>
      <c r="E21" s="3"/>
      <c r="F21" s="26"/>
      <c r="G21" s="3"/>
      <c r="H21" s="3">
        <f>--3981.62</f>
        <v>3981.62</v>
      </c>
      <c r="I21" s="3"/>
      <c r="J21" s="26"/>
      <c r="K21" s="3"/>
      <c r="L21" s="3">
        <f t="shared" si="0"/>
        <v>-3981.62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--84692.82</f>
        <v>84692.82</v>
      </c>
      <c r="U21" s="3"/>
      <c r="V21" s="26"/>
      <c r="W21" s="3"/>
      <c r="X21" s="3">
        <f t="shared" si="2"/>
        <v>-84692.82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","4043"," - ","TAXABLE SALES-CARDS")</f>
        <v xml:space="preserve">          4043 - TAXABLE SALES-CARDS</v>
      </c>
      <c r="C22" s="9"/>
      <c r="D22" s="3">
        <f>0</f>
        <v>0</v>
      </c>
      <c r="E22" s="3"/>
      <c r="F22" s="26"/>
      <c r="G22" s="3"/>
      <c r="H22" s="3">
        <f>--2878.3</f>
        <v>2878.3</v>
      </c>
      <c r="I22" s="3"/>
      <c r="J22" s="26"/>
      <c r="K22" s="3"/>
      <c r="L22" s="3">
        <f t="shared" si="0"/>
        <v>-2878.3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--135843.69</f>
        <v>135843.69</v>
      </c>
      <c r="U22" s="3"/>
      <c r="V22" s="26"/>
      <c r="W22" s="3"/>
      <c r="X22" s="3">
        <f t="shared" si="2"/>
        <v>-135843.69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","4044"," - ","TAXABLE SALES-ACCESSORIES")</f>
        <v xml:space="preserve">          4044 - TAXABLE SALES-ACCESSORIES</v>
      </c>
      <c r="C23" s="9"/>
      <c r="D23" s="3">
        <f>0</f>
        <v>0</v>
      </c>
      <c r="E23" s="3"/>
      <c r="F23" s="26"/>
      <c r="G23" s="3"/>
      <c r="H23" s="3">
        <f>--1872.27</f>
        <v>1872.27</v>
      </c>
      <c r="I23" s="3"/>
      <c r="J23" s="26"/>
      <c r="K23" s="3"/>
      <c r="L23" s="3">
        <f t="shared" si="0"/>
        <v>-1872.27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--40013.58</f>
        <v>40013.58</v>
      </c>
      <c r="U23" s="3"/>
      <c r="V23" s="26"/>
      <c r="W23" s="3"/>
      <c r="X23" s="3">
        <f t="shared" si="2"/>
        <v>-40013.58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","4045"," - ","TAXABLE SALES-SPECIAL ORDERS")</f>
        <v xml:space="preserve">          4045 - TAXABLE SALES-SPECIAL ORDERS</v>
      </c>
      <c r="C24" s="9"/>
      <c r="D24" s="3">
        <f>0</f>
        <v>0</v>
      </c>
      <c r="E24" s="3"/>
      <c r="F24" s="26"/>
      <c r="G24" s="3"/>
      <c r="H24" s="3">
        <f>--81300.55</f>
        <v>81300.55</v>
      </c>
      <c r="I24" s="3"/>
      <c r="J24" s="26"/>
      <c r="K24" s="3"/>
      <c r="L24" s="3">
        <f t="shared" si="0"/>
        <v>-81300.55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--314552.11</f>
        <v>314552.11</v>
      </c>
      <c r="U24" s="3"/>
      <c r="V24" s="26"/>
      <c r="W24" s="3"/>
      <c r="X24" s="3">
        <f t="shared" si="2"/>
        <v>-314552.11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","4100"," - ","NON-TAXABLE SALES")</f>
        <v xml:space="preserve">          4100 - NON-TAXABLE SALES</v>
      </c>
      <c r="C25" s="9"/>
      <c r="D25" s="3">
        <f>--30696.55</f>
        <v>30696.55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30696.55</v>
      </c>
      <c r="M25" s="3"/>
      <c r="N25" s="26">
        <f t="shared" si="1"/>
        <v>0</v>
      </c>
      <c r="O25" s="9"/>
      <c r="P25" s="3">
        <f>--582514.14</f>
        <v>582514.14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582514.14</v>
      </c>
      <c r="Y25" s="3"/>
      <c r="Z25" s="26">
        <f t="shared" si="3"/>
        <v>0</v>
      </c>
    </row>
    <row r="26" spans="1:26" s="69" customFormat="1" ht="15" hidden="1" customHeight="1" outlineLevel="1" x14ac:dyDescent="0.3">
      <c r="A26" s="47"/>
      <c r="B26" s="9" t="str">
        <f>CONCATENATE("          ","4126"," - ","NON-TAXABLE SALES-WRITING INST")</f>
        <v xml:space="preserve">          4126 - NON-TAXABLE SALES-WRITING INST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--52.68</f>
        <v>52.68</v>
      </c>
      <c r="U26" s="3"/>
      <c r="V26" s="26"/>
      <c r="W26" s="3"/>
      <c r="X26" s="3">
        <f t="shared" si="2"/>
        <v>-52.68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","4127"," - ","NON-TAXABLE SALES-SCHOOL SUPPL")</f>
        <v xml:space="preserve">          4127 - NON-TAXABLE SALES-SCHOOL SUPPL</v>
      </c>
      <c r="C27" s="9"/>
      <c r="D27" s="3">
        <f>0</f>
        <v>0</v>
      </c>
      <c r="E27" s="3"/>
      <c r="F27" s="26"/>
      <c r="G27" s="3"/>
      <c r="H27" s="3">
        <f>--99.87</f>
        <v>99.87</v>
      </c>
      <c r="I27" s="3"/>
      <c r="J27" s="26"/>
      <c r="K27" s="3"/>
      <c r="L27" s="3">
        <f t="shared" si="0"/>
        <v>-99.87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--7748.6</f>
        <v>7748.6</v>
      </c>
      <c r="U27" s="3"/>
      <c r="V27" s="26"/>
      <c r="W27" s="3"/>
      <c r="X27" s="3">
        <f t="shared" si="2"/>
        <v>-7748.6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","4128"," - ","NON-TAXABLE SALES-ART/TECH")</f>
        <v xml:space="preserve">          4128 - NON-TAXABLE SALES-ART/TECH</v>
      </c>
      <c r="C28" s="9"/>
      <c r="D28" s="3">
        <f>0</f>
        <v>0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0</v>
      </c>
      <c r="M28" s="3"/>
      <c r="N28" s="26">
        <f t="shared" si="1"/>
        <v>0</v>
      </c>
      <c r="O28" s="9"/>
      <c r="P28" s="3">
        <f>0</f>
        <v>0</v>
      </c>
      <c r="Q28" s="3"/>
      <c r="R28" s="26"/>
      <c r="S28" s="3"/>
      <c r="T28" s="3">
        <f>--115.91</f>
        <v>115.91</v>
      </c>
      <c r="U28" s="3"/>
      <c r="V28" s="26"/>
      <c r="W28" s="3"/>
      <c r="X28" s="3">
        <f t="shared" si="2"/>
        <v>-115.91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","4131"," - ","NON-TAXABLE SALES-FOOD")</f>
        <v xml:space="preserve">          4131 - NON-TAXABLE SALES-FOOD</v>
      </c>
      <c r="C29" s="9"/>
      <c r="D29" s="3">
        <f>0</f>
        <v>0</v>
      </c>
      <c r="E29" s="3"/>
      <c r="F29" s="26"/>
      <c r="G29" s="3"/>
      <c r="H29" s="3">
        <f>--531.62</f>
        <v>531.62</v>
      </c>
      <c r="I29" s="3"/>
      <c r="J29" s="26"/>
      <c r="K29" s="3"/>
      <c r="L29" s="3">
        <f t="shared" si="0"/>
        <v>-531.62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--10777.6</f>
        <v>10777.6</v>
      </c>
      <c r="U29" s="3"/>
      <c r="V29" s="26"/>
      <c r="W29" s="3"/>
      <c r="X29" s="3">
        <f t="shared" si="2"/>
        <v>-10777.6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","4132"," - ","NON-TAXABLE SALES-JUICE")</f>
        <v xml:space="preserve">          4132 - NON-TAXABLE SALES-JUICE</v>
      </c>
      <c r="C30" s="9"/>
      <c r="D30" s="3">
        <f>0</f>
        <v>0</v>
      </c>
      <c r="E30" s="3"/>
      <c r="F30" s="26"/>
      <c r="G30" s="3"/>
      <c r="H30" s="3">
        <f>0</f>
        <v>0</v>
      </c>
      <c r="I30" s="3"/>
      <c r="J30" s="26"/>
      <c r="K30" s="3"/>
      <c r="L30" s="3">
        <f t="shared" si="0"/>
        <v>0</v>
      </c>
      <c r="M30" s="3"/>
      <c r="N30" s="26">
        <f t="shared" si="1"/>
        <v>0</v>
      </c>
      <c r="O30" s="9"/>
      <c r="P30" s="3">
        <f>0</f>
        <v>0</v>
      </c>
      <c r="Q30" s="3"/>
      <c r="R30" s="26"/>
      <c r="S30" s="3"/>
      <c r="T30" s="3">
        <f>--22.49</f>
        <v>22.49</v>
      </c>
      <c r="U30" s="3"/>
      <c r="V30" s="26"/>
      <c r="W30" s="3"/>
      <c r="X30" s="3">
        <f t="shared" si="2"/>
        <v>-22.49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","4133"," - ","NON-TAXABLE SALES-CANDY")</f>
        <v xml:space="preserve">          4133 - NON-TAXABLE SALES-CANDY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0</f>
        <v>0</v>
      </c>
      <c r="Q31" s="3"/>
      <c r="R31" s="26"/>
      <c r="S31" s="3"/>
      <c r="T31" s="3">
        <f>--80.71</f>
        <v>80.709999999999994</v>
      </c>
      <c r="U31" s="3"/>
      <c r="V31" s="26"/>
      <c r="W31" s="3"/>
      <c r="X31" s="3">
        <f t="shared" si="2"/>
        <v>-80.709999999999994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","4134"," - ","NON-TAXABLE SALES-SODA")</f>
        <v xml:space="preserve">          4134 - NON-TAXABLE SALES-SODA</v>
      </c>
      <c r="C32" s="9"/>
      <c r="D32" s="3">
        <f>0</f>
        <v>0</v>
      </c>
      <c r="E32" s="3"/>
      <c r="F32" s="26"/>
      <c r="G32" s="3"/>
      <c r="H32" s="3">
        <f>0</f>
        <v>0</v>
      </c>
      <c r="I32" s="3"/>
      <c r="J32" s="26"/>
      <c r="K32" s="3"/>
      <c r="L32" s="3">
        <f t="shared" si="0"/>
        <v>0</v>
      </c>
      <c r="M32" s="3"/>
      <c r="N32" s="26">
        <f t="shared" si="1"/>
        <v>0</v>
      </c>
      <c r="O32" s="9"/>
      <c r="P32" s="3">
        <f>0</f>
        <v>0</v>
      </c>
      <c r="Q32" s="3"/>
      <c r="R32" s="26"/>
      <c r="S32" s="3"/>
      <c r="T32" s="3">
        <f>--45.53</f>
        <v>45.53</v>
      </c>
      <c r="U32" s="3"/>
      <c r="V32" s="26"/>
      <c r="W32" s="3"/>
      <c r="X32" s="3">
        <f t="shared" si="2"/>
        <v>-45.53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","4137"," - ","NON-TAXABLE SALES-WATER")</f>
        <v xml:space="preserve">          4137 - NON-TAXABLE SALES-WATER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--59.25</f>
        <v>59.25</v>
      </c>
      <c r="U33" s="3"/>
      <c r="V33" s="26"/>
      <c r="W33" s="3"/>
      <c r="X33" s="3">
        <f t="shared" si="2"/>
        <v>-59.25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","4140"," - ","NON-TAXABLE SALES-LOGO CLOTHIN")</f>
        <v xml:space="preserve">          4140 - NON-TAXABLE SALES-LOGO CLOTHIN</v>
      </c>
      <c r="C34" s="9"/>
      <c r="D34" s="3">
        <f>0</f>
        <v>0</v>
      </c>
      <c r="E34" s="3"/>
      <c r="F34" s="26"/>
      <c r="G34" s="3"/>
      <c r="H34" s="3">
        <f>--9520.45</f>
        <v>9520.4500000000007</v>
      </c>
      <c r="I34" s="3"/>
      <c r="J34" s="26"/>
      <c r="K34" s="3"/>
      <c r="L34" s="3">
        <f t="shared" si="0"/>
        <v>-9520.4500000000007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--180828.03</f>
        <v>180828.03</v>
      </c>
      <c r="U34" s="3"/>
      <c r="V34" s="26"/>
      <c r="W34" s="3"/>
      <c r="X34" s="3">
        <f t="shared" si="2"/>
        <v>-180828.03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","4141"," - ","NON-TAXABLE SALES-LOGO GIFTS")</f>
        <v xml:space="preserve">          4141 - NON-TAXABLE SALES-LOGO GIFTS</v>
      </c>
      <c r="C35" s="9"/>
      <c r="D35" s="3">
        <f>0</f>
        <v>0</v>
      </c>
      <c r="E35" s="3"/>
      <c r="F35" s="26"/>
      <c r="G35" s="3"/>
      <c r="H35" s="3">
        <f>-25127.54</f>
        <v>-25127.54</v>
      </c>
      <c r="I35" s="3"/>
      <c r="J35" s="26"/>
      <c r="K35" s="3"/>
      <c r="L35" s="3">
        <f t="shared" si="0"/>
        <v>25127.54</v>
      </c>
      <c r="M35" s="3"/>
      <c r="N35" s="26">
        <f t="shared" si="1"/>
        <v>-1</v>
      </c>
      <c r="O35" s="9"/>
      <c r="P35" s="3">
        <f>0</f>
        <v>0</v>
      </c>
      <c r="Q35" s="3"/>
      <c r="R35" s="26"/>
      <c r="S35" s="3"/>
      <c r="T35" s="3">
        <f>--12272.45</f>
        <v>12272.45</v>
      </c>
      <c r="U35" s="3"/>
      <c r="V35" s="26"/>
      <c r="W35" s="3"/>
      <c r="X35" s="3">
        <f t="shared" si="2"/>
        <v>-12272.45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","4142"," - ","NON-TAXABLE SALES-EVERYDAY GIF")</f>
        <v xml:space="preserve">          4142 - NON-TAXABLE SALES-EVERYDAY GIF</v>
      </c>
      <c r="C36" s="9"/>
      <c r="D36" s="3">
        <f>0</f>
        <v>0</v>
      </c>
      <c r="E36" s="3"/>
      <c r="F36" s="26"/>
      <c r="G36" s="3"/>
      <c r="H36" s="3">
        <f>--54.07</f>
        <v>54.07</v>
      </c>
      <c r="I36" s="3"/>
      <c r="J36" s="26"/>
      <c r="K36" s="3"/>
      <c r="L36" s="3">
        <f t="shared" si="0"/>
        <v>-54.07</v>
      </c>
      <c r="M36" s="3"/>
      <c r="N36" s="26">
        <f t="shared" si="1"/>
        <v>-1</v>
      </c>
      <c r="O36" s="9"/>
      <c r="P36" s="3">
        <f>0</f>
        <v>0</v>
      </c>
      <c r="Q36" s="3"/>
      <c r="R36" s="26"/>
      <c r="S36" s="3"/>
      <c r="T36" s="3">
        <f>--1521.44</f>
        <v>1521.44</v>
      </c>
      <c r="U36" s="3"/>
      <c r="V36" s="26"/>
      <c r="W36" s="3"/>
      <c r="X36" s="3">
        <f t="shared" si="2"/>
        <v>-1521.44</v>
      </c>
      <c r="Y36" s="3"/>
      <c r="Z36" s="26">
        <f t="shared" si="3"/>
        <v>-1</v>
      </c>
    </row>
    <row r="37" spans="1:26" s="69" customFormat="1" ht="15" hidden="1" customHeight="1" outlineLevel="1" x14ac:dyDescent="0.3">
      <c r="A37" s="47"/>
      <c r="B37" s="9" t="str">
        <f>CONCATENATE("          ","4143"," - ","NON-TAXABLE SALES-CARDS")</f>
        <v xml:space="preserve">          4143 - NON-TAXABLE SALES-CARDS</v>
      </c>
      <c r="C37" s="9"/>
      <c r="D37" s="3">
        <f>0</f>
        <v>0</v>
      </c>
      <c r="E37" s="3"/>
      <c r="F37" s="26"/>
      <c r="G37" s="3"/>
      <c r="H37" s="3">
        <f>--9.95</f>
        <v>9.9499999999999993</v>
      </c>
      <c r="I37" s="3"/>
      <c r="J37" s="26"/>
      <c r="K37" s="3"/>
      <c r="L37" s="3">
        <f t="shared" si="0"/>
        <v>-9.9499999999999993</v>
      </c>
      <c r="M37" s="3"/>
      <c r="N37" s="26">
        <f t="shared" si="1"/>
        <v>-1</v>
      </c>
      <c r="O37" s="9"/>
      <c r="P37" s="3">
        <f>0</f>
        <v>0</v>
      </c>
      <c r="Q37" s="3"/>
      <c r="R37" s="26"/>
      <c r="S37" s="3"/>
      <c r="T37" s="3">
        <f>--2562.11</f>
        <v>2562.11</v>
      </c>
      <c r="U37" s="3"/>
      <c r="V37" s="26"/>
      <c r="W37" s="3"/>
      <c r="X37" s="3">
        <f t="shared" si="2"/>
        <v>-2562.11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","4144"," - ","NON-TAXABLE SALES-ACCESSORIES")</f>
        <v xml:space="preserve">          4144 - NON-TAXABLE SALES-ACCESSORIES</v>
      </c>
      <c r="C38" s="9"/>
      <c r="D38" s="3">
        <f>0</f>
        <v>0</v>
      </c>
      <c r="E38" s="3"/>
      <c r="F38" s="26"/>
      <c r="G38" s="3"/>
      <c r="H38" s="3">
        <f>--129.75</f>
        <v>129.75</v>
      </c>
      <c r="I38" s="3"/>
      <c r="J38" s="26"/>
      <c r="K38" s="3"/>
      <c r="L38" s="3">
        <f t="shared" si="0"/>
        <v>-129.75</v>
      </c>
      <c r="M38" s="3"/>
      <c r="N38" s="26">
        <f t="shared" si="1"/>
        <v>-1</v>
      </c>
      <c r="O38" s="9"/>
      <c r="P38" s="3">
        <f>0</f>
        <v>0</v>
      </c>
      <c r="Q38" s="3"/>
      <c r="R38" s="26"/>
      <c r="S38" s="3"/>
      <c r="T38" s="3">
        <f>--1003.55</f>
        <v>1003.55</v>
      </c>
      <c r="U38" s="3"/>
      <c r="V38" s="26"/>
      <c r="W38" s="3"/>
      <c r="X38" s="3">
        <f t="shared" si="2"/>
        <v>-1003.55</v>
      </c>
      <c r="Y38" s="3"/>
      <c r="Z38" s="26">
        <f t="shared" si="3"/>
        <v>-1</v>
      </c>
    </row>
    <row r="39" spans="1:26" s="69" customFormat="1" ht="15" hidden="1" customHeight="1" outlineLevel="1" x14ac:dyDescent="0.3">
      <c r="A39" s="47"/>
      <c r="B39" s="9" t="str">
        <f>CONCATENATE("          ","4145"," - ","NON-TAXABLE SALES-SPECIAL ORDE")</f>
        <v xml:space="preserve">          4145 - NON-TAXABLE SALES-SPECIAL ORDE</v>
      </c>
      <c r="C39" s="9"/>
      <c r="D39" s="3">
        <f>0</f>
        <v>0</v>
      </c>
      <c r="E39" s="3"/>
      <c r="F39" s="26"/>
      <c r="G39" s="3"/>
      <c r="H39" s="3">
        <f>--30</f>
        <v>30</v>
      </c>
      <c r="I39" s="3"/>
      <c r="J39" s="26"/>
      <c r="K39" s="3"/>
      <c r="L39" s="3">
        <f t="shared" si="0"/>
        <v>-30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--74089.89</f>
        <v>74089.89</v>
      </c>
      <c r="U39" s="3"/>
      <c r="V39" s="26"/>
      <c r="W39" s="3"/>
      <c r="X39" s="3">
        <f t="shared" si="2"/>
        <v>-74089.89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","4200"," - ","TAXABLE RETURNS")</f>
        <v xml:space="preserve">          4200 - TAXABLE RETURNS</v>
      </c>
      <c r="C40" s="9"/>
      <c r="D40" s="3">
        <f>-17375.83</f>
        <v>-17375.830000000002</v>
      </c>
      <c r="E40" s="3"/>
      <c r="F40" s="26"/>
      <c r="G40" s="3"/>
      <c r="H40" s="3">
        <f>0</f>
        <v>0</v>
      </c>
      <c r="I40" s="3"/>
      <c r="J40" s="26"/>
      <c r="K40" s="3"/>
      <c r="L40" s="3">
        <f t="shared" si="0"/>
        <v>-17375.830000000002</v>
      </c>
      <c r="M40" s="3"/>
      <c r="N40" s="26">
        <f t="shared" si="1"/>
        <v>0</v>
      </c>
      <c r="O40" s="9"/>
      <c r="P40" s="3">
        <f>-154842.23</f>
        <v>-154842.23000000001</v>
      </c>
      <c r="Q40" s="3"/>
      <c r="R40" s="26"/>
      <c r="S40" s="3"/>
      <c r="T40" s="3">
        <f>0</f>
        <v>0</v>
      </c>
      <c r="U40" s="3"/>
      <c r="V40" s="26"/>
      <c r="W40" s="3"/>
      <c r="X40" s="3">
        <f t="shared" si="2"/>
        <v>-154842.23000000001</v>
      </c>
      <c r="Y40" s="3"/>
      <c r="Z40" s="26">
        <f t="shared" si="3"/>
        <v>0</v>
      </c>
    </row>
    <row r="41" spans="1:26" s="69" customFormat="1" ht="15" hidden="1" customHeight="1" outlineLevel="1" x14ac:dyDescent="0.3">
      <c r="A41" s="47"/>
      <c r="B41" s="9" t="str">
        <f>CONCATENATE("          ","4226"," - ","SALES RETURN TAXABLE-WRITING I")</f>
        <v xml:space="preserve">          4226 - SALES RETURN TAXABLE-WRITING I</v>
      </c>
      <c r="C41" s="9"/>
      <c r="D41" s="3">
        <f>0</f>
        <v>0</v>
      </c>
      <c r="E41" s="3"/>
      <c r="F41" s="26"/>
      <c r="G41" s="3"/>
      <c r="H41" s="3">
        <f>0</f>
        <v>0</v>
      </c>
      <c r="I41" s="3"/>
      <c r="J41" s="26"/>
      <c r="K41" s="3"/>
      <c r="L41" s="3">
        <f t="shared" si="0"/>
        <v>0</v>
      </c>
      <c r="M41" s="3"/>
      <c r="N41" s="26">
        <f t="shared" si="1"/>
        <v>0</v>
      </c>
      <c r="O41" s="9"/>
      <c r="P41" s="3">
        <f>0</f>
        <v>0</v>
      </c>
      <c r="Q41" s="3"/>
      <c r="R41" s="26"/>
      <c r="S41" s="3"/>
      <c r="T41" s="3">
        <f>-6.38</f>
        <v>-6.38</v>
      </c>
      <c r="U41" s="3"/>
      <c r="V41" s="26"/>
      <c r="W41" s="3"/>
      <c r="X41" s="3">
        <f t="shared" si="2"/>
        <v>6.38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","4227"," - ","SALES RETURN TAXABLE-SCHOOL SU")</f>
        <v xml:space="preserve">          4227 - SALES RETURN TAXABLE-SCHOOL SU</v>
      </c>
      <c r="C42" s="9"/>
      <c r="D42" s="3">
        <f>0</f>
        <v>0</v>
      </c>
      <c r="E42" s="3"/>
      <c r="F42" s="26"/>
      <c r="G42" s="3"/>
      <c r="H42" s="3">
        <f>-80.63</f>
        <v>-80.63</v>
      </c>
      <c r="I42" s="3"/>
      <c r="J42" s="26"/>
      <c r="K42" s="3"/>
      <c r="L42" s="3">
        <f t="shared" si="0"/>
        <v>80.63</v>
      </c>
      <c r="M42" s="3"/>
      <c r="N42" s="26">
        <f t="shared" si="1"/>
        <v>-1</v>
      </c>
      <c r="O42" s="9"/>
      <c r="P42" s="3">
        <f>0</f>
        <v>0</v>
      </c>
      <c r="Q42" s="3"/>
      <c r="R42" s="26"/>
      <c r="S42" s="3"/>
      <c r="T42" s="3">
        <f>-1361.93</f>
        <v>-1361.93</v>
      </c>
      <c r="U42" s="3"/>
      <c r="V42" s="26"/>
      <c r="W42" s="3"/>
      <c r="X42" s="3">
        <f t="shared" si="2"/>
        <v>1361.93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","4228"," - ","SALES RETURN TAXABLE-ART/TECH")</f>
        <v xml:space="preserve">          4228 - SALES RETURN TAXABLE-ART/TECH</v>
      </c>
      <c r="C43" s="9"/>
      <c r="D43" s="3">
        <f>0</f>
        <v>0</v>
      </c>
      <c r="E43" s="3"/>
      <c r="F43" s="26"/>
      <c r="G43" s="3"/>
      <c r="H43" s="3">
        <f>-105.6</f>
        <v>-105.6</v>
      </c>
      <c r="I43" s="3"/>
      <c r="J43" s="26"/>
      <c r="K43" s="3"/>
      <c r="L43" s="3">
        <f t="shared" si="0"/>
        <v>105.6</v>
      </c>
      <c r="M43" s="3"/>
      <c r="N43" s="26">
        <f t="shared" si="1"/>
        <v>-1</v>
      </c>
      <c r="O43" s="9"/>
      <c r="P43" s="3">
        <f>0</f>
        <v>0</v>
      </c>
      <c r="Q43" s="3"/>
      <c r="R43" s="26"/>
      <c r="S43" s="3"/>
      <c r="T43" s="3">
        <f>-12857.13</f>
        <v>-12857.13</v>
      </c>
      <c r="U43" s="3"/>
      <c r="V43" s="26"/>
      <c r="W43" s="3"/>
      <c r="X43" s="3">
        <f t="shared" si="2"/>
        <v>12857.13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","4240"," - ","SALES RETURN TAXABLE-LOGO CLOT")</f>
        <v xml:space="preserve">          4240 - SALES RETURN TAXABLE-LOGO CLOT</v>
      </c>
      <c r="C44" s="9"/>
      <c r="D44" s="3">
        <f>0</f>
        <v>0</v>
      </c>
      <c r="E44" s="3"/>
      <c r="F44" s="26"/>
      <c r="G44" s="3"/>
      <c r="H44" s="3">
        <f>-3359.4</f>
        <v>-3359.4</v>
      </c>
      <c r="I44" s="3"/>
      <c r="J44" s="26"/>
      <c r="K44" s="3"/>
      <c r="L44" s="3">
        <f t="shared" si="0"/>
        <v>3359.4</v>
      </c>
      <c r="M44" s="3"/>
      <c r="N44" s="26">
        <f t="shared" si="1"/>
        <v>-1</v>
      </c>
      <c r="O44" s="9"/>
      <c r="P44" s="3">
        <f>0</f>
        <v>0</v>
      </c>
      <c r="Q44" s="3"/>
      <c r="R44" s="26"/>
      <c r="S44" s="3"/>
      <c r="T44" s="3">
        <f>-40558.46</f>
        <v>-40558.46</v>
      </c>
      <c r="U44" s="3"/>
      <c r="V44" s="26"/>
      <c r="W44" s="3"/>
      <c r="X44" s="3">
        <f t="shared" si="2"/>
        <v>40558.46</v>
      </c>
      <c r="Y44" s="3"/>
      <c r="Z44" s="26">
        <f t="shared" si="3"/>
        <v>-1</v>
      </c>
    </row>
    <row r="45" spans="1:26" s="69" customFormat="1" ht="15" hidden="1" customHeight="1" outlineLevel="1" x14ac:dyDescent="0.3">
      <c r="A45" s="47"/>
      <c r="B45" s="9" t="str">
        <f>CONCATENATE("          ","4241"," - ","SALES RETURN TAXABLE-LOGO GIFT")</f>
        <v xml:space="preserve">          4241 - SALES RETURN TAXABLE-LOGO GIFT</v>
      </c>
      <c r="C45" s="9"/>
      <c r="D45" s="3">
        <f>0</f>
        <v>0</v>
      </c>
      <c r="E45" s="3"/>
      <c r="F45" s="26"/>
      <c r="G45" s="3"/>
      <c r="H45" s="3">
        <f>-1833.22</f>
        <v>-1833.22</v>
      </c>
      <c r="I45" s="3"/>
      <c r="J45" s="26"/>
      <c r="K45" s="3"/>
      <c r="L45" s="3">
        <f t="shared" si="0"/>
        <v>1833.22</v>
      </c>
      <c r="M45" s="3"/>
      <c r="N45" s="26">
        <f t="shared" si="1"/>
        <v>-1</v>
      </c>
      <c r="O45" s="9"/>
      <c r="P45" s="3">
        <f>0</f>
        <v>0</v>
      </c>
      <c r="Q45" s="3"/>
      <c r="R45" s="26"/>
      <c r="S45" s="3"/>
      <c r="T45" s="3">
        <f>-16520.85</f>
        <v>-16520.849999999999</v>
      </c>
      <c r="U45" s="3"/>
      <c r="V45" s="26"/>
      <c r="W45" s="3"/>
      <c r="X45" s="3">
        <f t="shared" si="2"/>
        <v>16520.849999999999</v>
      </c>
      <c r="Y45" s="3"/>
      <c r="Z45" s="26">
        <f t="shared" si="3"/>
        <v>-1</v>
      </c>
    </row>
    <row r="46" spans="1:26" s="69" customFormat="1" ht="15" hidden="1" customHeight="1" outlineLevel="1" x14ac:dyDescent="0.3">
      <c r="A46" s="47"/>
      <c r="B46" s="9" t="str">
        <f>CONCATENATE("          ","4242"," - ","SALES RETURN TAXABLE-EVERYDAY")</f>
        <v xml:space="preserve">          4242 - SALES RETURN TAXABLE-EVERYDAY</v>
      </c>
      <c r="C46" s="9"/>
      <c r="D46" s="3">
        <f>0</f>
        <v>0</v>
      </c>
      <c r="E46" s="3"/>
      <c r="F46" s="26"/>
      <c r="G46" s="3"/>
      <c r="H46" s="3">
        <f>-94.52</f>
        <v>-94.52</v>
      </c>
      <c r="I46" s="3"/>
      <c r="J46" s="26"/>
      <c r="K46" s="3"/>
      <c r="L46" s="3">
        <f t="shared" si="0"/>
        <v>94.52</v>
      </c>
      <c r="M46" s="3"/>
      <c r="N46" s="26">
        <f t="shared" si="1"/>
        <v>-1</v>
      </c>
      <c r="O46" s="9"/>
      <c r="P46" s="3">
        <f>0</f>
        <v>0</v>
      </c>
      <c r="Q46" s="3"/>
      <c r="R46" s="26"/>
      <c r="S46" s="3"/>
      <c r="T46" s="3">
        <f>-2511.55</f>
        <v>-2511.5500000000002</v>
      </c>
      <c r="U46" s="3"/>
      <c r="V46" s="26"/>
      <c r="W46" s="3"/>
      <c r="X46" s="3">
        <f t="shared" si="2"/>
        <v>2511.5500000000002</v>
      </c>
      <c r="Y46" s="3"/>
      <c r="Z46" s="26">
        <f t="shared" si="3"/>
        <v>-1</v>
      </c>
    </row>
    <row r="47" spans="1:26" s="69" customFormat="1" ht="15" hidden="1" customHeight="1" outlineLevel="1" x14ac:dyDescent="0.3">
      <c r="A47" s="47"/>
      <c r="B47" s="9" t="str">
        <f>CONCATENATE("          ","4243"," - ","SALES RETURN TAXABLE-CARDS")</f>
        <v xml:space="preserve">          4243 - SALES RETURN TAXABLE-CARDS</v>
      </c>
      <c r="C47" s="9"/>
      <c r="D47" s="3">
        <f>0</f>
        <v>0</v>
      </c>
      <c r="E47" s="3"/>
      <c r="F47" s="26"/>
      <c r="G47" s="3"/>
      <c r="H47" s="3">
        <f>-9.99</f>
        <v>-9.99</v>
      </c>
      <c r="I47" s="3"/>
      <c r="J47" s="26"/>
      <c r="K47" s="3"/>
      <c r="L47" s="3">
        <f t="shared" si="0"/>
        <v>9.99</v>
      </c>
      <c r="M47" s="3"/>
      <c r="N47" s="26">
        <f t="shared" si="1"/>
        <v>-1</v>
      </c>
      <c r="O47" s="9"/>
      <c r="P47" s="3">
        <f>0</f>
        <v>0</v>
      </c>
      <c r="Q47" s="3"/>
      <c r="R47" s="26"/>
      <c r="S47" s="3"/>
      <c r="T47" s="3">
        <f>-6228.98</f>
        <v>-6228.98</v>
      </c>
      <c r="U47" s="3"/>
      <c r="V47" s="26"/>
      <c r="W47" s="3"/>
      <c r="X47" s="3">
        <f t="shared" si="2"/>
        <v>6228.98</v>
      </c>
      <c r="Y47" s="3"/>
      <c r="Z47" s="26">
        <f t="shared" si="3"/>
        <v>-1</v>
      </c>
    </row>
    <row r="48" spans="1:26" s="69" customFormat="1" ht="15" hidden="1" customHeight="1" outlineLevel="1" x14ac:dyDescent="0.3">
      <c r="A48" s="47"/>
      <c r="B48" s="9" t="str">
        <f>CONCATENATE("          ","4244"," - ","SALES RETURN TAXABLE-ACCESSORI")</f>
        <v xml:space="preserve">          4244 - SALES RETURN TAXABLE-ACCESSORI</v>
      </c>
      <c r="C48" s="9"/>
      <c r="D48" s="3">
        <f>0</f>
        <v>0</v>
      </c>
      <c r="E48" s="3"/>
      <c r="F48" s="26"/>
      <c r="G48" s="3"/>
      <c r="H48" s="3">
        <f>-29.85</f>
        <v>-29.85</v>
      </c>
      <c r="I48" s="3"/>
      <c r="J48" s="26"/>
      <c r="K48" s="3"/>
      <c r="L48" s="3">
        <f t="shared" si="0"/>
        <v>29.85</v>
      </c>
      <c r="M48" s="3"/>
      <c r="N48" s="26">
        <f t="shared" si="1"/>
        <v>-1</v>
      </c>
      <c r="O48" s="9"/>
      <c r="P48" s="3">
        <f>0</f>
        <v>0</v>
      </c>
      <c r="Q48" s="3"/>
      <c r="R48" s="26"/>
      <c r="S48" s="3"/>
      <c r="T48" s="3">
        <f>-1237.93</f>
        <v>-1237.93</v>
      </c>
      <c r="U48" s="3"/>
      <c r="V48" s="26"/>
      <c r="W48" s="3"/>
      <c r="X48" s="3">
        <f t="shared" si="2"/>
        <v>1237.93</v>
      </c>
      <c r="Y48" s="3"/>
      <c r="Z48" s="26">
        <f t="shared" si="3"/>
        <v>-1</v>
      </c>
    </row>
    <row r="49" spans="1:26" s="69" customFormat="1" ht="15" hidden="1" customHeight="1" outlineLevel="1" x14ac:dyDescent="0.3">
      <c r="A49" s="47"/>
      <c r="B49" s="9" t="str">
        <f>CONCATENATE("          ","4245"," - ","SALES RETURN TAXABLE-SPECIAL O")</f>
        <v xml:space="preserve">          4245 - SALES RETURN TAXABLE-SPECIAL O</v>
      </c>
      <c r="C49" s="9"/>
      <c r="D49" s="3">
        <f>0</f>
        <v>0</v>
      </c>
      <c r="E49" s="3"/>
      <c r="F49" s="26"/>
      <c r="G49" s="3"/>
      <c r="H49" s="3">
        <f>-3318.4</f>
        <v>-3318.4</v>
      </c>
      <c r="I49" s="3"/>
      <c r="J49" s="26"/>
      <c r="K49" s="3"/>
      <c r="L49" s="3">
        <f t="shared" si="0"/>
        <v>3318.4</v>
      </c>
      <c r="M49" s="3"/>
      <c r="N49" s="26">
        <f t="shared" si="1"/>
        <v>-1</v>
      </c>
      <c r="O49" s="9"/>
      <c r="P49" s="3">
        <f>0</f>
        <v>0</v>
      </c>
      <c r="Q49" s="3"/>
      <c r="R49" s="26"/>
      <c r="S49" s="3"/>
      <c r="T49" s="3">
        <f>-18772.13</f>
        <v>-18772.13</v>
      </c>
      <c r="U49" s="3"/>
      <c r="V49" s="26"/>
      <c r="W49" s="3"/>
      <c r="X49" s="3">
        <f t="shared" si="2"/>
        <v>18772.13</v>
      </c>
      <c r="Y49" s="3"/>
      <c r="Z49" s="26">
        <f t="shared" si="3"/>
        <v>-1</v>
      </c>
    </row>
    <row r="50" spans="1:26" s="69" customFormat="1" ht="15" hidden="1" customHeight="1" outlineLevel="1" x14ac:dyDescent="0.3">
      <c r="A50" s="47"/>
      <c r="B50" s="9" t="str">
        <f>CONCATENATE("          ","4300"," - ","NON-TAX RETURNS")</f>
        <v xml:space="preserve">          4300 - NON-TAX RETURNS</v>
      </c>
      <c r="C50" s="9"/>
      <c r="D50" s="3">
        <f>-364.5</f>
        <v>-364.5</v>
      </c>
      <c r="E50" s="3"/>
      <c r="F50" s="26"/>
      <c r="G50" s="3"/>
      <c r="H50" s="3">
        <f>0</f>
        <v>0</v>
      </c>
      <c r="I50" s="3"/>
      <c r="J50" s="26"/>
      <c r="K50" s="3"/>
      <c r="L50" s="3">
        <f t="shared" si="0"/>
        <v>-364.5</v>
      </c>
      <c r="M50" s="3"/>
      <c r="N50" s="26">
        <f t="shared" si="1"/>
        <v>0</v>
      </c>
      <c r="O50" s="9"/>
      <c r="P50" s="3">
        <f>-3861.19</f>
        <v>-3861.19</v>
      </c>
      <c r="Q50" s="3"/>
      <c r="R50" s="26"/>
      <c r="S50" s="3"/>
      <c r="T50" s="3">
        <f>0</f>
        <v>0</v>
      </c>
      <c r="U50" s="3"/>
      <c r="V50" s="26"/>
      <c r="W50" s="3"/>
      <c r="X50" s="3">
        <f t="shared" si="2"/>
        <v>-3861.19</v>
      </c>
      <c r="Y50" s="3"/>
      <c r="Z50" s="26">
        <f t="shared" si="3"/>
        <v>0</v>
      </c>
    </row>
    <row r="51" spans="1:26" s="69" customFormat="1" ht="15" hidden="1" customHeight="1" outlineLevel="1" x14ac:dyDescent="0.3">
      <c r="A51" s="47"/>
      <c r="B51" s="9" t="str">
        <f>CONCATENATE("          ","4327"," - ","SALES RETURN NON TAXABLE-SCHOO")</f>
        <v xml:space="preserve">          4327 - SALES RETURN NON TAXABLE-SCHOO</v>
      </c>
      <c r="C51" s="9"/>
      <c r="D51" s="3">
        <f>0</f>
        <v>0</v>
      </c>
      <c r="E51" s="3"/>
      <c r="F51" s="26"/>
      <c r="G51" s="3"/>
      <c r="H51" s="3">
        <f>0</f>
        <v>0</v>
      </c>
      <c r="I51" s="3"/>
      <c r="J51" s="26"/>
      <c r="K51" s="3"/>
      <c r="L51" s="3">
        <f t="shared" si="0"/>
        <v>0</v>
      </c>
      <c r="M51" s="3"/>
      <c r="N51" s="26">
        <f t="shared" si="1"/>
        <v>0</v>
      </c>
      <c r="O51" s="9"/>
      <c r="P51" s="3">
        <f>0</f>
        <v>0</v>
      </c>
      <c r="Q51" s="3"/>
      <c r="R51" s="26"/>
      <c r="S51" s="3"/>
      <c r="T51" s="3">
        <f>-17.41</f>
        <v>-17.41</v>
      </c>
      <c r="U51" s="3"/>
      <c r="V51" s="26"/>
      <c r="W51" s="3"/>
      <c r="X51" s="3">
        <f t="shared" si="2"/>
        <v>17.41</v>
      </c>
      <c r="Y51" s="3"/>
      <c r="Z51" s="26">
        <f t="shared" si="3"/>
        <v>-1</v>
      </c>
    </row>
    <row r="52" spans="1:26" s="69" customFormat="1" ht="15" hidden="1" customHeight="1" outlineLevel="1" x14ac:dyDescent="0.3">
      <c r="A52" s="47"/>
      <c r="B52" s="9" t="str">
        <f>CONCATENATE("          ","4340"," - ","SALES RETURN NON TAXABLE-LOGO")</f>
        <v xml:space="preserve">          4340 - SALES RETURN NON TAXABLE-LOGO</v>
      </c>
      <c r="C52" s="9"/>
      <c r="D52" s="3">
        <f>0</f>
        <v>0</v>
      </c>
      <c r="E52" s="3"/>
      <c r="F52" s="26"/>
      <c r="G52" s="3"/>
      <c r="H52" s="3">
        <f>-286.5</f>
        <v>-286.5</v>
      </c>
      <c r="I52" s="3"/>
      <c r="J52" s="26"/>
      <c r="K52" s="3"/>
      <c r="L52" s="3">
        <f t="shared" si="0"/>
        <v>286.5</v>
      </c>
      <c r="M52" s="3"/>
      <c r="N52" s="26">
        <f t="shared" si="1"/>
        <v>-1</v>
      </c>
      <c r="O52" s="9"/>
      <c r="P52" s="3">
        <f>0</f>
        <v>0</v>
      </c>
      <c r="Q52" s="3"/>
      <c r="R52" s="26"/>
      <c r="S52" s="3"/>
      <c r="T52" s="3">
        <f>-3737.76</f>
        <v>-3737.76</v>
      </c>
      <c r="U52" s="3"/>
      <c r="V52" s="26"/>
      <c r="W52" s="3"/>
      <c r="X52" s="3">
        <f t="shared" si="2"/>
        <v>3737.76</v>
      </c>
      <c r="Y52" s="3"/>
      <c r="Z52" s="26">
        <f t="shared" si="3"/>
        <v>-1</v>
      </c>
    </row>
    <row r="53" spans="1:26" s="69" customFormat="1" ht="15" hidden="1" customHeight="1" outlineLevel="1" x14ac:dyDescent="0.3">
      <c r="A53" s="47"/>
      <c r="B53" s="9" t="str">
        <f>CONCATENATE("          ","4341"," - ","SALES RETURN NON TAXABLE-LOGO")</f>
        <v xml:space="preserve">          4341 - SALES RETURN NON TAXABLE-LOGO</v>
      </c>
      <c r="C53" s="9"/>
      <c r="D53" s="3">
        <f>0</f>
        <v>0</v>
      </c>
      <c r="E53" s="3"/>
      <c r="F53" s="26"/>
      <c r="G53" s="3"/>
      <c r="H53" s="3">
        <f>-20.85</f>
        <v>-20.85</v>
      </c>
      <c r="I53" s="3"/>
      <c r="J53" s="26"/>
      <c r="K53" s="3"/>
      <c r="L53" s="3">
        <f t="shared" si="0"/>
        <v>20.85</v>
      </c>
      <c r="M53" s="3"/>
      <c r="N53" s="26">
        <f t="shared" si="1"/>
        <v>-1</v>
      </c>
      <c r="O53" s="9"/>
      <c r="P53" s="3">
        <f>0</f>
        <v>0</v>
      </c>
      <c r="Q53" s="3"/>
      <c r="R53" s="26"/>
      <c r="S53" s="3"/>
      <c r="T53" s="3">
        <f>-412.09</f>
        <v>-412.09</v>
      </c>
      <c r="U53" s="3"/>
      <c r="V53" s="26"/>
      <c r="W53" s="3"/>
      <c r="X53" s="3">
        <f t="shared" si="2"/>
        <v>412.09</v>
      </c>
      <c r="Y53" s="3"/>
      <c r="Z53" s="26">
        <f t="shared" si="3"/>
        <v>-1</v>
      </c>
    </row>
    <row r="54" spans="1:26" s="69" customFormat="1" ht="15" hidden="1" customHeight="1" outlineLevel="1" x14ac:dyDescent="0.3">
      <c r="A54" s="47"/>
      <c r="B54" s="9" t="str">
        <f>CONCATENATE("          ","4342"," - ","SALES RETURN NON TAXABLE-EVERY")</f>
        <v xml:space="preserve">          4342 - SALES RETURN NON TAXABLE-EVERY</v>
      </c>
      <c r="C54" s="9"/>
      <c r="D54" s="3">
        <f>0</f>
        <v>0</v>
      </c>
      <c r="E54" s="3"/>
      <c r="F54" s="26"/>
      <c r="G54" s="3"/>
      <c r="H54" s="3">
        <f>0</f>
        <v>0</v>
      </c>
      <c r="I54" s="3"/>
      <c r="J54" s="26"/>
      <c r="K54" s="3"/>
      <c r="L54" s="3">
        <f t="shared" si="0"/>
        <v>0</v>
      </c>
      <c r="M54" s="3"/>
      <c r="N54" s="26">
        <f t="shared" si="1"/>
        <v>0</v>
      </c>
      <c r="O54" s="9"/>
      <c r="P54" s="3">
        <f>0</f>
        <v>0</v>
      </c>
      <c r="Q54" s="3"/>
      <c r="R54" s="26"/>
      <c r="S54" s="3"/>
      <c r="T54" s="3">
        <f>-118.7</f>
        <v>-118.7</v>
      </c>
      <c r="U54" s="3"/>
      <c r="V54" s="26"/>
      <c r="W54" s="3"/>
      <c r="X54" s="3">
        <f t="shared" si="2"/>
        <v>118.7</v>
      </c>
      <c r="Y54" s="3"/>
      <c r="Z54" s="26">
        <f t="shared" si="3"/>
        <v>-1</v>
      </c>
    </row>
    <row r="55" spans="1:26" s="69" customFormat="1" ht="15" hidden="1" customHeight="1" outlineLevel="1" x14ac:dyDescent="0.3">
      <c r="A55" s="47"/>
      <c r="B55" s="9" t="str">
        <f>CONCATENATE("          ","4500"," - ","SALES DISCOUNT")</f>
        <v xml:space="preserve">          4500 - SALES DISCOUNT</v>
      </c>
      <c r="C55" s="9"/>
      <c r="D55" s="3">
        <f>-5876.02</f>
        <v>-5876.02</v>
      </c>
      <c r="E55" s="3"/>
      <c r="F55" s="26"/>
      <c r="G55" s="3"/>
      <c r="H55" s="3">
        <f>0</f>
        <v>0</v>
      </c>
      <c r="I55" s="3"/>
      <c r="J55" s="26"/>
      <c r="K55" s="3"/>
      <c r="L55" s="3">
        <f t="shared" si="0"/>
        <v>-5876.02</v>
      </c>
      <c r="M55" s="3"/>
      <c r="N55" s="26">
        <f t="shared" si="1"/>
        <v>0</v>
      </c>
      <c r="O55" s="9"/>
      <c r="P55" s="3">
        <f>-115758.56</f>
        <v>-115758.56</v>
      </c>
      <c r="Q55" s="3"/>
      <c r="R55" s="26"/>
      <c r="S55" s="3"/>
      <c r="T55" s="3">
        <f>0</f>
        <v>0</v>
      </c>
      <c r="U55" s="3"/>
      <c r="V55" s="26"/>
      <c r="W55" s="3"/>
      <c r="X55" s="3">
        <f t="shared" si="2"/>
        <v>-115758.56</v>
      </c>
      <c r="Y55" s="3"/>
      <c r="Z55" s="26">
        <f t="shared" si="3"/>
        <v>0</v>
      </c>
    </row>
    <row r="56" spans="1:26" ht="15" customHeight="1" x14ac:dyDescent="0.3">
      <c r="A56" s="12"/>
      <c r="B56" s="13"/>
      <c r="C56" s="12"/>
      <c r="D56" s="4"/>
      <c r="E56" s="4"/>
      <c r="F56" s="10"/>
      <c r="G56" s="4"/>
      <c r="H56" s="4"/>
      <c r="I56" s="4"/>
      <c r="J56" s="10"/>
      <c r="K56" s="4"/>
      <c r="L56" s="4"/>
      <c r="M56" s="4"/>
      <c r="N56" s="10"/>
      <c r="P56" s="4"/>
      <c r="Q56" s="4"/>
      <c r="R56" s="10"/>
      <c r="S56" s="4"/>
      <c r="T56" s="4"/>
      <c r="U56" s="4"/>
      <c r="V56" s="10"/>
      <c r="W56" s="4"/>
      <c r="X56" s="4"/>
      <c r="Y56" s="4"/>
      <c r="Z56" s="10"/>
    </row>
    <row r="57" spans="1:26" s="62" customFormat="1" ht="15" customHeight="1" collapsed="1" x14ac:dyDescent="0.3">
      <c r="A57" s="13"/>
      <c r="B57" s="27" t="s">
        <v>287</v>
      </c>
      <c r="C57" s="13"/>
      <c r="D57" s="8">
        <f>SUM(OSRRefD16x_0)</f>
        <v>509582.38000000006</v>
      </c>
      <c r="E57" s="8"/>
      <c r="F57" s="14">
        <f t="shared" ref="F57:F82" si="4">IF(D$12=0,0,D57/D$12)</f>
        <v>2.0863999238781621</v>
      </c>
      <c r="G57" s="8"/>
      <c r="H57" s="8">
        <f>SUM(OSRRefH16x_0)</f>
        <v>126668.86999999997</v>
      </c>
      <c r="I57" s="8"/>
      <c r="J57" s="14">
        <f t="shared" ref="J57:J82" si="5">IF(H$12=0,0,H57/H$12)</f>
        <v>0.57057000934397217</v>
      </c>
      <c r="K57" s="8"/>
      <c r="L57" s="8">
        <f t="shared" ref="L57:L82" si="6">+D57-H57</f>
        <v>382913.51000000013</v>
      </c>
      <c r="M57" s="8"/>
      <c r="N57" s="14">
        <f t="shared" ref="N57:N82" si="7">IF(H57=0,0,L57/H57)</f>
        <v>3.0229488113377836</v>
      </c>
      <c r="O57" s="13"/>
      <c r="P57" s="8">
        <f>SUM(OSRRefP16x_0)</f>
        <v>2571317.2500000005</v>
      </c>
      <c r="Q57" s="8"/>
      <c r="R57" s="14">
        <f t="shared" ref="R57:R82" si="8">IF(P$12=0,0,P57/P$12)</f>
        <v>0.54872621414634282</v>
      </c>
      <c r="S57" s="8"/>
      <c r="T57" s="8">
        <f>SUM(OSRRefT16x_0)</f>
        <v>1217191.4100000004</v>
      </c>
      <c r="U57" s="8"/>
      <c r="V57" s="14">
        <f t="shared" ref="V57:V82" si="9">IF(T$12=0,0,T57/T$12)</f>
        <v>0.54022703250082837</v>
      </c>
      <c r="W57" s="8"/>
      <c r="X57" s="8">
        <f t="shared" ref="X57:X82" si="10">+P57-T57</f>
        <v>1354125.84</v>
      </c>
      <c r="Y57" s="8"/>
      <c r="Z57" s="14">
        <f t="shared" ref="Z57:Z82" si="11">IF(T57=0,0,X57/T57)</f>
        <v>1.1125003256472206</v>
      </c>
    </row>
    <row r="58" spans="1:26" s="69" customFormat="1" ht="15" hidden="1" customHeight="1" outlineLevel="1" x14ac:dyDescent="0.3">
      <c r="A58" s="47"/>
      <c r="B58" s="9" t="str">
        <f>CONCATENATE("          ","5000"," - ","PURCHASES @ COST")</f>
        <v xml:space="preserve">          5000 - PURCHASES @ COST</v>
      </c>
      <c r="C58" s="9"/>
      <c r="D58" s="3">
        <v>617152.14</v>
      </c>
      <c r="E58" s="3"/>
      <c r="F58" s="26">
        <f t="shared" si="4"/>
        <v>2.5268263355519567</v>
      </c>
      <c r="G58" s="3"/>
      <c r="H58" s="3"/>
      <c r="I58" s="3"/>
      <c r="J58" s="26">
        <f t="shared" si="5"/>
        <v>0</v>
      </c>
      <c r="K58" s="3"/>
      <c r="L58" s="3">
        <f t="shared" si="6"/>
        <v>617152.14</v>
      </c>
      <c r="M58" s="3"/>
      <c r="N58" s="26">
        <f t="shared" si="7"/>
        <v>0</v>
      </c>
      <c r="O58" s="9"/>
      <c r="P58" s="3">
        <v>2967586.24</v>
      </c>
      <c r="Q58" s="3"/>
      <c r="R58" s="26">
        <f t="shared" si="8"/>
        <v>0.63329111280530637</v>
      </c>
      <c r="S58" s="3"/>
      <c r="T58" s="3"/>
      <c r="U58" s="3"/>
      <c r="V58" s="26">
        <f t="shared" si="9"/>
        <v>0</v>
      </c>
      <c r="W58" s="3"/>
      <c r="X58" s="3">
        <f t="shared" si="10"/>
        <v>2967586.24</v>
      </c>
      <c r="Y58" s="3"/>
      <c r="Z58" s="26">
        <f t="shared" si="11"/>
        <v>0</v>
      </c>
    </row>
    <row r="59" spans="1:26" s="69" customFormat="1" ht="15" hidden="1" customHeight="1" outlineLevel="1" x14ac:dyDescent="0.3">
      <c r="A59" s="47"/>
      <c r="B59" s="9" t="str">
        <f>CONCATENATE("          ","5025"," - ","PURCHASES @ COST-TEST FORMS")</f>
        <v xml:space="preserve">          5025 - PURCHASES @ COST-TEST FORMS</v>
      </c>
      <c r="C59" s="9"/>
      <c r="D59" s="3"/>
      <c r="E59" s="3"/>
      <c r="F59" s="26">
        <f t="shared" si="4"/>
        <v>0</v>
      </c>
      <c r="G59" s="3"/>
      <c r="H59" s="3"/>
      <c r="I59" s="3"/>
      <c r="J59" s="26">
        <f t="shared" si="5"/>
        <v>0</v>
      </c>
      <c r="K59" s="3"/>
      <c r="L59" s="3">
        <f t="shared" si="6"/>
        <v>0</v>
      </c>
      <c r="M59" s="3"/>
      <c r="N59" s="26">
        <f t="shared" si="7"/>
        <v>0</v>
      </c>
      <c r="O59" s="9"/>
      <c r="P59" s="3"/>
      <c r="Q59" s="3"/>
      <c r="R59" s="26">
        <f t="shared" si="8"/>
        <v>0</v>
      </c>
      <c r="S59" s="3"/>
      <c r="T59" s="3">
        <v>599.29</v>
      </c>
      <c r="U59" s="3"/>
      <c r="V59" s="26">
        <f t="shared" si="9"/>
        <v>2.6598335779203479E-4</v>
      </c>
      <c r="W59" s="3"/>
      <c r="X59" s="3">
        <f t="shared" si="10"/>
        <v>-599.29</v>
      </c>
      <c r="Y59" s="3"/>
      <c r="Z59" s="26">
        <f t="shared" si="11"/>
        <v>-1</v>
      </c>
    </row>
    <row r="60" spans="1:26" s="69" customFormat="1" ht="15" hidden="1" customHeight="1" outlineLevel="1" x14ac:dyDescent="0.3">
      <c r="A60" s="47"/>
      <c r="B60" s="9" t="str">
        <f>CONCATENATE("          ","5026"," - ","PURCHASES @ COST-WRITING INSTR")</f>
        <v xml:space="preserve">          5026 - PURCHASES @ COST-WRITING INSTR</v>
      </c>
      <c r="C60" s="9"/>
      <c r="D60" s="3"/>
      <c r="E60" s="3"/>
      <c r="F60" s="26">
        <f t="shared" si="4"/>
        <v>0</v>
      </c>
      <c r="G60" s="3"/>
      <c r="H60" s="3"/>
      <c r="I60" s="3"/>
      <c r="J60" s="26">
        <f t="shared" si="5"/>
        <v>0</v>
      </c>
      <c r="K60" s="3"/>
      <c r="L60" s="3">
        <f t="shared" si="6"/>
        <v>0</v>
      </c>
      <c r="M60" s="3"/>
      <c r="N60" s="26">
        <f t="shared" si="7"/>
        <v>0</v>
      </c>
      <c r="O60" s="9"/>
      <c r="P60" s="3"/>
      <c r="Q60" s="3"/>
      <c r="R60" s="26">
        <f t="shared" si="8"/>
        <v>0</v>
      </c>
      <c r="S60" s="3"/>
      <c r="T60" s="3">
        <v>219.64</v>
      </c>
      <c r="U60" s="3"/>
      <c r="V60" s="26">
        <f t="shared" si="9"/>
        <v>9.7482996054401908E-5</v>
      </c>
      <c r="W60" s="3"/>
      <c r="X60" s="3">
        <f t="shared" si="10"/>
        <v>-219.64</v>
      </c>
      <c r="Y60" s="3"/>
      <c r="Z60" s="26">
        <f t="shared" si="11"/>
        <v>-1</v>
      </c>
    </row>
    <row r="61" spans="1:26" s="69" customFormat="1" ht="15" hidden="1" customHeight="1" outlineLevel="1" x14ac:dyDescent="0.3">
      <c r="A61" s="47"/>
      <c r="B61" s="9" t="str">
        <f>CONCATENATE("          ","5027"," - ","PURCHASES @ COST-SCHOOL SUPPLI")</f>
        <v xml:space="preserve">          5027 - PURCHASES @ COST-SCHOOL SUPPLI</v>
      </c>
      <c r="C61" s="9"/>
      <c r="D61" s="3"/>
      <c r="E61" s="3"/>
      <c r="F61" s="26">
        <f t="shared" si="4"/>
        <v>0</v>
      </c>
      <c r="G61" s="3"/>
      <c r="H61" s="3">
        <v>-25055.15</v>
      </c>
      <c r="I61" s="3"/>
      <c r="J61" s="26">
        <f t="shared" si="5"/>
        <v>-0.11285896187133138</v>
      </c>
      <c r="K61" s="3"/>
      <c r="L61" s="3">
        <f t="shared" si="6"/>
        <v>25055.15</v>
      </c>
      <c r="M61" s="3"/>
      <c r="N61" s="26">
        <f t="shared" si="7"/>
        <v>-1</v>
      </c>
      <c r="O61" s="9"/>
      <c r="P61" s="3">
        <v>0</v>
      </c>
      <c r="Q61" s="3"/>
      <c r="R61" s="26">
        <f t="shared" si="8"/>
        <v>0</v>
      </c>
      <c r="S61" s="3"/>
      <c r="T61" s="3">
        <v>-2215.63</v>
      </c>
      <c r="U61" s="3"/>
      <c r="V61" s="26">
        <f t="shared" si="9"/>
        <v>-9.8336482675293437E-4</v>
      </c>
      <c r="W61" s="3"/>
      <c r="X61" s="3">
        <f t="shared" si="10"/>
        <v>2215.63</v>
      </c>
      <c r="Y61" s="3"/>
      <c r="Z61" s="26">
        <f t="shared" si="11"/>
        <v>-1</v>
      </c>
    </row>
    <row r="62" spans="1:26" s="69" customFormat="1" ht="15" hidden="1" customHeight="1" outlineLevel="1" x14ac:dyDescent="0.3">
      <c r="A62" s="47"/>
      <c r="B62" s="9" t="str">
        <f>CONCATENATE("          ","5028"," - ","PURCHASES @ COST-ART/TECH")</f>
        <v xml:space="preserve">          5028 - PURCHASES @ COST-ART/TECH</v>
      </c>
      <c r="C62" s="9"/>
      <c r="D62" s="3"/>
      <c r="E62" s="3"/>
      <c r="F62" s="26">
        <f t="shared" si="4"/>
        <v>0</v>
      </c>
      <c r="G62" s="3"/>
      <c r="H62" s="3">
        <v>-87182.83</v>
      </c>
      <c r="I62" s="3"/>
      <c r="J62" s="26">
        <f t="shared" si="5"/>
        <v>-0.39270823310995001</v>
      </c>
      <c r="K62" s="3"/>
      <c r="L62" s="3">
        <f t="shared" si="6"/>
        <v>87182.83</v>
      </c>
      <c r="M62" s="3"/>
      <c r="N62" s="26">
        <f t="shared" si="7"/>
        <v>-1</v>
      </c>
      <c r="O62" s="9"/>
      <c r="P62" s="3">
        <v>0</v>
      </c>
      <c r="Q62" s="3"/>
      <c r="R62" s="26">
        <f t="shared" si="8"/>
        <v>0</v>
      </c>
      <c r="S62" s="3"/>
      <c r="T62" s="3">
        <v>-80943.94</v>
      </c>
      <c r="U62" s="3"/>
      <c r="V62" s="26">
        <f t="shared" si="9"/>
        <v>-3.5925413329301339E-2</v>
      </c>
      <c r="W62" s="3"/>
      <c r="X62" s="3">
        <f t="shared" si="10"/>
        <v>80943.94</v>
      </c>
      <c r="Y62" s="3"/>
      <c r="Z62" s="26">
        <f t="shared" si="11"/>
        <v>-1</v>
      </c>
    </row>
    <row r="63" spans="1:26" s="69" customFormat="1" ht="15" hidden="1" customHeight="1" outlineLevel="1" x14ac:dyDescent="0.3">
      <c r="A63" s="47"/>
      <c r="B63" s="9" t="str">
        <f>CONCATENATE("          ","5031"," - ","PURCHASES @ COST-FOOD")</f>
        <v xml:space="preserve">          5031 - PURCHASES @ COST-FOOD</v>
      </c>
      <c r="C63" s="9"/>
      <c r="D63" s="3"/>
      <c r="E63" s="3"/>
      <c r="F63" s="26">
        <f t="shared" si="4"/>
        <v>0</v>
      </c>
      <c r="G63" s="3"/>
      <c r="H63" s="3">
        <v>673.97</v>
      </c>
      <c r="I63" s="3"/>
      <c r="J63" s="26">
        <f t="shared" si="5"/>
        <v>3.0358451069908265E-3</v>
      </c>
      <c r="K63" s="3"/>
      <c r="L63" s="3">
        <f t="shared" si="6"/>
        <v>-673.97</v>
      </c>
      <c r="M63" s="3"/>
      <c r="N63" s="26">
        <f t="shared" si="7"/>
        <v>-1</v>
      </c>
      <c r="O63" s="9"/>
      <c r="P63" s="3">
        <v>0</v>
      </c>
      <c r="Q63" s="3"/>
      <c r="R63" s="26">
        <f t="shared" si="8"/>
        <v>0</v>
      </c>
      <c r="S63" s="3"/>
      <c r="T63" s="3">
        <v>6298.49</v>
      </c>
      <c r="U63" s="3"/>
      <c r="V63" s="26">
        <f t="shared" si="9"/>
        <v>2.7954638308991526E-3</v>
      </c>
      <c r="W63" s="3"/>
      <c r="X63" s="3">
        <f t="shared" si="10"/>
        <v>-6298.49</v>
      </c>
      <c r="Y63" s="3"/>
      <c r="Z63" s="26">
        <f t="shared" si="11"/>
        <v>-1</v>
      </c>
    </row>
    <row r="64" spans="1:26" s="69" customFormat="1" ht="15" hidden="1" customHeight="1" outlineLevel="1" x14ac:dyDescent="0.3">
      <c r="A64" s="47"/>
      <c r="B64" s="9" t="str">
        <f>CONCATENATE("          ","5040"," - ","PURCHASES @ COST-LOGO CLOTHING")</f>
        <v xml:space="preserve">          5040 - PURCHASES @ COST-LOGO CLOTHING</v>
      </c>
      <c r="C64" s="9"/>
      <c r="D64" s="3"/>
      <c r="E64" s="3"/>
      <c r="F64" s="26">
        <f t="shared" si="4"/>
        <v>0</v>
      </c>
      <c r="G64" s="3"/>
      <c r="H64" s="3">
        <v>185952.11</v>
      </c>
      <c r="I64" s="3"/>
      <c r="J64" s="26">
        <f t="shared" si="5"/>
        <v>0.83760672326382457</v>
      </c>
      <c r="K64" s="3"/>
      <c r="L64" s="3">
        <f t="shared" si="6"/>
        <v>-185952.11</v>
      </c>
      <c r="M64" s="3"/>
      <c r="N64" s="26">
        <f t="shared" si="7"/>
        <v>-1</v>
      </c>
      <c r="O64" s="9"/>
      <c r="P64" s="3">
        <v>0</v>
      </c>
      <c r="Q64" s="3"/>
      <c r="R64" s="26">
        <f t="shared" si="8"/>
        <v>0</v>
      </c>
      <c r="S64" s="3"/>
      <c r="T64" s="3">
        <v>513331.09</v>
      </c>
      <c r="U64" s="3"/>
      <c r="V64" s="26">
        <f t="shared" si="9"/>
        <v>0.22783214633523874</v>
      </c>
      <c r="W64" s="3"/>
      <c r="X64" s="3">
        <f t="shared" si="10"/>
        <v>-513331.09</v>
      </c>
      <c r="Y64" s="3"/>
      <c r="Z64" s="26">
        <f t="shared" si="11"/>
        <v>-1</v>
      </c>
    </row>
    <row r="65" spans="1:26" s="69" customFormat="1" ht="15" hidden="1" customHeight="1" outlineLevel="1" x14ac:dyDescent="0.3">
      <c r="A65" s="47"/>
      <c r="B65" s="9" t="str">
        <f>CONCATENATE("          ","5041"," - ","PURCHASES @ COST-LOGO GIFTS")</f>
        <v xml:space="preserve">          5041 - PURCHASES @ COST-LOGO GIFTS</v>
      </c>
      <c r="C65" s="9"/>
      <c r="D65" s="3"/>
      <c r="E65" s="3"/>
      <c r="F65" s="26">
        <f t="shared" si="4"/>
        <v>0</v>
      </c>
      <c r="G65" s="3"/>
      <c r="H65" s="3">
        <v>124906.57</v>
      </c>
      <c r="I65" s="3"/>
      <c r="J65" s="26">
        <f t="shared" si="5"/>
        <v>0.56263186694586875</v>
      </c>
      <c r="K65" s="3"/>
      <c r="L65" s="3">
        <f t="shared" si="6"/>
        <v>-124906.57</v>
      </c>
      <c r="M65" s="3"/>
      <c r="N65" s="26">
        <f t="shared" si="7"/>
        <v>-1</v>
      </c>
      <c r="O65" s="9"/>
      <c r="P65" s="3">
        <v>0</v>
      </c>
      <c r="Q65" s="3"/>
      <c r="R65" s="26">
        <f t="shared" si="8"/>
        <v>0</v>
      </c>
      <c r="S65" s="3"/>
      <c r="T65" s="3">
        <v>231097.82</v>
      </c>
      <c r="U65" s="3"/>
      <c r="V65" s="26">
        <f t="shared" si="9"/>
        <v>0.10256832942652014</v>
      </c>
      <c r="W65" s="3"/>
      <c r="X65" s="3">
        <f t="shared" si="10"/>
        <v>-231097.82</v>
      </c>
      <c r="Y65" s="3"/>
      <c r="Z65" s="26">
        <f t="shared" si="11"/>
        <v>-1</v>
      </c>
    </row>
    <row r="66" spans="1:26" s="69" customFormat="1" ht="15" hidden="1" customHeight="1" outlineLevel="1" x14ac:dyDescent="0.3">
      <c r="A66" s="47"/>
      <c r="B66" s="9" t="str">
        <f>CONCATENATE("          ","5042"," - ","PURCHASES @ COST-EVERYDAY GIFT")</f>
        <v xml:space="preserve">          5042 - PURCHASES @ COST-EVERYDAY GIFT</v>
      </c>
      <c r="C66" s="9"/>
      <c r="D66" s="3"/>
      <c r="E66" s="3"/>
      <c r="F66" s="26">
        <f t="shared" si="4"/>
        <v>0</v>
      </c>
      <c r="G66" s="3"/>
      <c r="H66" s="3">
        <v>-8047.6</v>
      </c>
      <c r="I66" s="3"/>
      <c r="J66" s="26">
        <f t="shared" si="5"/>
        <v>-3.6249784238199585E-2</v>
      </c>
      <c r="K66" s="3"/>
      <c r="L66" s="3">
        <f t="shared" si="6"/>
        <v>8047.6</v>
      </c>
      <c r="M66" s="3"/>
      <c r="N66" s="26">
        <f t="shared" si="7"/>
        <v>-1</v>
      </c>
      <c r="O66" s="9"/>
      <c r="P66" s="3">
        <v>0</v>
      </c>
      <c r="Q66" s="3"/>
      <c r="R66" s="26">
        <f t="shared" si="8"/>
        <v>0</v>
      </c>
      <c r="S66" s="3"/>
      <c r="T66" s="3">
        <v>2754.43</v>
      </c>
      <c r="U66" s="3"/>
      <c r="V66" s="26">
        <f t="shared" si="9"/>
        <v>1.2225008596891561E-3</v>
      </c>
      <c r="W66" s="3"/>
      <c r="X66" s="3">
        <f t="shared" si="10"/>
        <v>-2754.43</v>
      </c>
      <c r="Y66" s="3"/>
      <c r="Z66" s="26">
        <f t="shared" si="11"/>
        <v>-1</v>
      </c>
    </row>
    <row r="67" spans="1:26" s="69" customFormat="1" ht="15" hidden="1" customHeight="1" outlineLevel="1" x14ac:dyDescent="0.3">
      <c r="A67" s="47"/>
      <c r="B67" s="9" t="str">
        <f>CONCATENATE("          ","5043"," - ","PURCHASES @ COST-CARDS")</f>
        <v xml:space="preserve">          5043 - PURCHASES @ COST-CARDS</v>
      </c>
      <c r="C67" s="9"/>
      <c r="D67" s="3"/>
      <c r="E67" s="3"/>
      <c r="F67" s="26">
        <f t="shared" si="4"/>
        <v>0</v>
      </c>
      <c r="G67" s="3"/>
      <c r="H67" s="3">
        <v>630.47</v>
      </c>
      <c r="I67" s="3"/>
      <c r="J67" s="26">
        <f t="shared" si="5"/>
        <v>2.8399027621474342E-3</v>
      </c>
      <c r="K67" s="3"/>
      <c r="L67" s="3">
        <f t="shared" si="6"/>
        <v>-630.47</v>
      </c>
      <c r="M67" s="3"/>
      <c r="N67" s="26">
        <f t="shared" si="7"/>
        <v>-1</v>
      </c>
      <c r="O67" s="9"/>
      <c r="P67" s="3">
        <v>0</v>
      </c>
      <c r="Q67" s="3"/>
      <c r="R67" s="26">
        <f t="shared" si="8"/>
        <v>0</v>
      </c>
      <c r="S67" s="3"/>
      <c r="T67" s="3">
        <v>56213.8</v>
      </c>
      <c r="U67" s="3"/>
      <c r="V67" s="26">
        <f t="shared" si="9"/>
        <v>2.494941560554971E-2</v>
      </c>
      <c r="W67" s="3"/>
      <c r="X67" s="3">
        <f t="shared" si="10"/>
        <v>-56213.8</v>
      </c>
      <c r="Y67" s="3"/>
      <c r="Z67" s="26">
        <f t="shared" si="11"/>
        <v>-1</v>
      </c>
    </row>
    <row r="68" spans="1:26" s="69" customFormat="1" ht="15" hidden="1" customHeight="1" outlineLevel="1" x14ac:dyDescent="0.3">
      <c r="A68" s="47"/>
      <c r="B68" s="9" t="str">
        <f>CONCATENATE("          ","5044"," - ","PURCHASES @ COST-ACCESSORIES")</f>
        <v xml:space="preserve">          5044 - PURCHASES @ COST-ACCESSORIES</v>
      </c>
      <c r="C68" s="9"/>
      <c r="D68" s="3"/>
      <c r="E68" s="3"/>
      <c r="F68" s="26">
        <f t="shared" si="4"/>
        <v>0</v>
      </c>
      <c r="G68" s="3"/>
      <c r="H68" s="3">
        <v>6102.79</v>
      </c>
      <c r="I68" s="3"/>
      <c r="J68" s="26">
        <f t="shared" si="5"/>
        <v>2.7489539831880565E-2</v>
      </c>
      <c r="K68" s="3"/>
      <c r="L68" s="3">
        <f t="shared" si="6"/>
        <v>-6102.79</v>
      </c>
      <c r="M68" s="3"/>
      <c r="N68" s="26">
        <f t="shared" si="7"/>
        <v>-1</v>
      </c>
      <c r="O68" s="9"/>
      <c r="P68" s="3">
        <v>0</v>
      </c>
      <c r="Q68" s="3"/>
      <c r="R68" s="26">
        <f t="shared" si="8"/>
        <v>0</v>
      </c>
      <c r="S68" s="3"/>
      <c r="T68" s="3">
        <v>8658.5</v>
      </c>
      <c r="U68" s="3"/>
      <c r="V68" s="26">
        <f t="shared" si="9"/>
        <v>3.8429089479923464E-3</v>
      </c>
      <c r="W68" s="3"/>
      <c r="X68" s="3">
        <f t="shared" si="10"/>
        <v>-8658.5</v>
      </c>
      <c r="Y68" s="3"/>
      <c r="Z68" s="26">
        <f t="shared" si="11"/>
        <v>-1</v>
      </c>
    </row>
    <row r="69" spans="1:26" s="69" customFormat="1" ht="15" hidden="1" customHeight="1" outlineLevel="1" x14ac:dyDescent="0.3">
      <c r="A69" s="47"/>
      <c r="B69" s="9" t="str">
        <f>CONCATENATE("          ","5045"," - ","PURCHASES @ COST-SPECIAL ORDER")</f>
        <v xml:space="preserve">          5045 - PURCHASES @ COST-SPECIAL ORDER</v>
      </c>
      <c r="C69" s="9"/>
      <c r="D69" s="3"/>
      <c r="E69" s="3"/>
      <c r="F69" s="26">
        <f t="shared" si="4"/>
        <v>0</v>
      </c>
      <c r="G69" s="3"/>
      <c r="H69" s="3">
        <v>33995.81</v>
      </c>
      <c r="I69" s="3"/>
      <c r="J69" s="26">
        <f t="shared" si="5"/>
        <v>0.15313146497127439</v>
      </c>
      <c r="K69" s="3"/>
      <c r="L69" s="3">
        <f t="shared" si="6"/>
        <v>-33995.81</v>
      </c>
      <c r="M69" s="3"/>
      <c r="N69" s="26">
        <f t="shared" si="7"/>
        <v>-1</v>
      </c>
      <c r="O69" s="9"/>
      <c r="P69" s="3">
        <v>0</v>
      </c>
      <c r="Q69" s="3"/>
      <c r="R69" s="26">
        <f t="shared" si="8"/>
        <v>0</v>
      </c>
      <c r="S69" s="3"/>
      <c r="T69" s="3">
        <v>173135.05</v>
      </c>
      <c r="U69" s="3"/>
      <c r="V69" s="26">
        <f t="shared" si="9"/>
        <v>7.6842667073523385E-2</v>
      </c>
      <c r="W69" s="3"/>
      <c r="X69" s="3">
        <f t="shared" si="10"/>
        <v>-173135.05</v>
      </c>
      <c r="Y69" s="3"/>
      <c r="Z69" s="26">
        <f t="shared" si="11"/>
        <v>-1</v>
      </c>
    </row>
    <row r="70" spans="1:26" s="69" customFormat="1" ht="15" hidden="1" customHeight="1" outlineLevel="1" x14ac:dyDescent="0.3">
      <c r="A70" s="47"/>
      <c r="B70" s="9" t="str">
        <f>CONCATENATE("          ","5200"," - ","PURCHASES OFFSET")</f>
        <v xml:space="preserve">          5200 - PURCHASES OFFSET</v>
      </c>
      <c r="C70" s="9"/>
      <c r="D70" s="3">
        <v>-232978.06</v>
      </c>
      <c r="E70" s="3"/>
      <c r="F70" s="26">
        <f t="shared" si="4"/>
        <v>-0.95388974526411574</v>
      </c>
      <c r="G70" s="3"/>
      <c r="H70" s="3">
        <v>-236426.85</v>
      </c>
      <c r="I70" s="3"/>
      <c r="J70" s="26">
        <f t="shared" si="5"/>
        <v>-1.0649662384583203</v>
      </c>
      <c r="K70" s="3"/>
      <c r="L70" s="3">
        <f t="shared" si="6"/>
        <v>3448.7900000000081</v>
      </c>
      <c r="M70" s="3"/>
      <c r="N70" s="26">
        <f t="shared" si="7"/>
        <v>-1.4587133398765868E-2</v>
      </c>
      <c r="O70" s="9"/>
      <c r="P70" s="3">
        <v>-2698990.94</v>
      </c>
      <c r="Q70" s="3"/>
      <c r="R70" s="26">
        <f t="shared" si="8"/>
        <v>-0.57597213277415638</v>
      </c>
      <c r="S70" s="3"/>
      <c r="T70" s="3">
        <v>-941864.19</v>
      </c>
      <c r="U70" s="3"/>
      <c r="V70" s="26">
        <f t="shared" si="9"/>
        <v>-0.41802833326148447</v>
      </c>
      <c r="W70" s="3"/>
      <c r="X70" s="3">
        <f t="shared" si="10"/>
        <v>-1757126.75</v>
      </c>
      <c r="Y70" s="3"/>
      <c r="Z70" s="26">
        <f t="shared" si="11"/>
        <v>1.8655839861583443</v>
      </c>
    </row>
    <row r="71" spans="1:26" s="69" customFormat="1" ht="15" hidden="1" customHeight="1" outlineLevel="1" x14ac:dyDescent="0.3">
      <c r="A71" s="47"/>
      <c r="B71" s="9" t="str">
        <f>CONCATENATE("          ","5300"," - ","COG$ OFFSET")</f>
        <v xml:space="preserve">          5300 - COG$ OFFSET</v>
      </c>
      <c r="C71" s="9"/>
      <c r="D71" s="3">
        <v>117212.71</v>
      </c>
      <c r="E71" s="3"/>
      <c r="F71" s="26">
        <f t="shared" si="4"/>
        <v>0.47990785949379389</v>
      </c>
      <c r="G71" s="3"/>
      <c r="H71" s="3">
        <v>127822</v>
      </c>
      <c r="I71" s="3"/>
      <c r="J71" s="26">
        <f t="shared" si="5"/>
        <v>0.5757641931625761</v>
      </c>
      <c r="K71" s="3"/>
      <c r="L71" s="3">
        <f t="shared" si="6"/>
        <v>-10609.289999999994</v>
      </c>
      <c r="M71" s="3"/>
      <c r="N71" s="26">
        <f t="shared" si="7"/>
        <v>-8.3000500696280718E-2</v>
      </c>
      <c r="O71" s="9"/>
      <c r="P71" s="3">
        <v>2181947.58</v>
      </c>
      <c r="Q71" s="3"/>
      <c r="R71" s="26">
        <f t="shared" si="8"/>
        <v>0.46563364946086455</v>
      </c>
      <c r="S71" s="3"/>
      <c r="T71" s="3">
        <v>1217428</v>
      </c>
      <c r="U71" s="3"/>
      <c r="V71" s="26">
        <f t="shared" si="9"/>
        <v>0.54033203842887645</v>
      </c>
      <c r="W71" s="3"/>
      <c r="X71" s="3">
        <f t="shared" si="10"/>
        <v>964519.58000000007</v>
      </c>
      <c r="Y71" s="3"/>
      <c r="Z71" s="26">
        <f t="shared" si="11"/>
        <v>0.79226005973248526</v>
      </c>
    </row>
    <row r="72" spans="1:26" s="69" customFormat="1" ht="15" hidden="1" customHeight="1" outlineLevel="1" x14ac:dyDescent="0.3">
      <c r="A72" s="47"/>
      <c r="B72" s="9" t="str">
        <f>CONCATENATE("          ","5500"," - ","FREIGHT-IN")</f>
        <v xml:space="preserve">          5500 - FREIGHT-IN</v>
      </c>
      <c r="C72" s="9"/>
      <c r="D72" s="3">
        <v>8195.59</v>
      </c>
      <c r="E72" s="3"/>
      <c r="F72" s="26">
        <f t="shared" si="4"/>
        <v>3.3555474096527094E-2</v>
      </c>
      <c r="G72" s="3"/>
      <c r="H72" s="3">
        <v>65</v>
      </c>
      <c r="I72" s="3"/>
      <c r="J72" s="26">
        <f t="shared" si="5"/>
        <v>2.9278741183495365E-4</v>
      </c>
      <c r="K72" s="3"/>
      <c r="L72" s="3">
        <f t="shared" si="6"/>
        <v>8130.59</v>
      </c>
      <c r="M72" s="3"/>
      <c r="N72" s="26">
        <f t="shared" si="7"/>
        <v>125.086</v>
      </c>
      <c r="O72" s="9"/>
      <c r="P72" s="3">
        <v>120774.37</v>
      </c>
      <c r="Q72" s="3"/>
      <c r="R72" s="26">
        <f t="shared" si="8"/>
        <v>2.5773584654328292E-2</v>
      </c>
      <c r="S72" s="3"/>
      <c r="T72" s="3">
        <v>65</v>
      </c>
      <c r="U72" s="3"/>
      <c r="V72" s="26">
        <f t="shared" si="9"/>
        <v>2.8849001746203443E-5</v>
      </c>
      <c r="W72" s="3"/>
      <c r="X72" s="3">
        <f t="shared" si="10"/>
        <v>120709.37</v>
      </c>
      <c r="Y72" s="3"/>
      <c r="Z72" s="26">
        <f t="shared" si="11"/>
        <v>1857.0672307692307</v>
      </c>
    </row>
    <row r="73" spans="1:26" s="69" customFormat="1" ht="15" hidden="1" customHeight="1" outlineLevel="1" x14ac:dyDescent="0.3">
      <c r="A73" s="47"/>
      <c r="B73" s="9" t="str">
        <f>CONCATENATE("          ","5525"," - ","FREIGHT-IN-TEST FORMS")</f>
        <v xml:space="preserve">          5525 - FREIGHT-IN-TEST FORMS</v>
      </c>
      <c r="C73" s="9"/>
      <c r="D73" s="3"/>
      <c r="E73" s="3"/>
      <c r="F73" s="26">
        <f t="shared" si="4"/>
        <v>0</v>
      </c>
      <c r="G73" s="3"/>
      <c r="H73" s="3"/>
      <c r="I73" s="3"/>
      <c r="J73" s="26">
        <f t="shared" si="5"/>
        <v>0</v>
      </c>
      <c r="K73" s="3"/>
      <c r="L73" s="3">
        <f t="shared" si="6"/>
        <v>0</v>
      </c>
      <c r="M73" s="3"/>
      <c r="N73" s="26">
        <f t="shared" si="7"/>
        <v>0</v>
      </c>
      <c r="O73" s="9"/>
      <c r="P73" s="3"/>
      <c r="Q73" s="3"/>
      <c r="R73" s="26">
        <f t="shared" si="8"/>
        <v>0</v>
      </c>
      <c r="S73" s="3"/>
      <c r="T73" s="3">
        <v>48.14</v>
      </c>
      <c r="U73" s="3"/>
      <c r="V73" s="26">
        <f t="shared" si="9"/>
        <v>2.1366014524034365E-5</v>
      </c>
      <c r="W73" s="3"/>
      <c r="X73" s="3">
        <f t="shared" si="10"/>
        <v>-48.14</v>
      </c>
      <c r="Y73" s="3"/>
      <c r="Z73" s="26">
        <f t="shared" si="11"/>
        <v>-1</v>
      </c>
    </row>
    <row r="74" spans="1:26" s="69" customFormat="1" ht="15" hidden="1" customHeight="1" outlineLevel="1" x14ac:dyDescent="0.3">
      <c r="A74" s="47"/>
      <c r="B74" s="9" t="str">
        <f>CONCATENATE("          ","5526"," - ","FREIGHT-IN-WRITING INSTRUMENTS")</f>
        <v xml:space="preserve">          5526 - FREIGHT-IN-WRITING INSTRUMENTS</v>
      </c>
      <c r="C74" s="9"/>
      <c r="D74" s="3"/>
      <c r="E74" s="3"/>
      <c r="F74" s="26">
        <f t="shared" si="4"/>
        <v>0</v>
      </c>
      <c r="G74" s="3"/>
      <c r="H74" s="3"/>
      <c r="I74" s="3"/>
      <c r="J74" s="26">
        <f t="shared" si="5"/>
        <v>0</v>
      </c>
      <c r="K74" s="3"/>
      <c r="L74" s="3">
        <f t="shared" si="6"/>
        <v>0</v>
      </c>
      <c r="M74" s="3"/>
      <c r="N74" s="26">
        <f t="shared" si="7"/>
        <v>0</v>
      </c>
      <c r="O74" s="9"/>
      <c r="P74" s="3"/>
      <c r="Q74" s="3"/>
      <c r="R74" s="26">
        <f t="shared" si="8"/>
        <v>0</v>
      </c>
      <c r="S74" s="3"/>
      <c r="T74" s="3">
        <v>0</v>
      </c>
      <c r="U74" s="3"/>
      <c r="V74" s="26">
        <f t="shared" si="9"/>
        <v>0</v>
      </c>
      <c r="W74" s="3"/>
      <c r="X74" s="3">
        <f t="shared" si="10"/>
        <v>0</v>
      </c>
      <c r="Y74" s="3"/>
      <c r="Z74" s="26">
        <f t="shared" si="11"/>
        <v>0</v>
      </c>
    </row>
    <row r="75" spans="1:26" s="69" customFormat="1" ht="15" hidden="1" customHeight="1" outlineLevel="1" x14ac:dyDescent="0.3">
      <c r="A75" s="47"/>
      <c r="B75" s="9" t="str">
        <f>CONCATENATE("          ","5527"," - ","FREIGHT-IN-SCHOOL SUPPLIES")</f>
        <v xml:space="preserve">          5527 - FREIGHT-IN-SCHOOL SUPPLIES</v>
      </c>
      <c r="C75" s="9"/>
      <c r="D75" s="3"/>
      <c r="E75" s="3"/>
      <c r="F75" s="26">
        <f t="shared" si="4"/>
        <v>0</v>
      </c>
      <c r="G75" s="3"/>
      <c r="H75" s="3"/>
      <c r="I75" s="3"/>
      <c r="J75" s="26">
        <f t="shared" si="5"/>
        <v>0</v>
      </c>
      <c r="K75" s="3"/>
      <c r="L75" s="3">
        <f t="shared" si="6"/>
        <v>0</v>
      </c>
      <c r="M75" s="3"/>
      <c r="N75" s="26">
        <f t="shared" si="7"/>
        <v>0</v>
      </c>
      <c r="O75" s="9"/>
      <c r="P75" s="3">
        <v>0</v>
      </c>
      <c r="Q75" s="3"/>
      <c r="R75" s="26">
        <f t="shared" si="8"/>
        <v>0</v>
      </c>
      <c r="S75" s="3"/>
      <c r="T75" s="3">
        <v>218.62</v>
      </c>
      <c r="U75" s="3"/>
      <c r="V75" s="26">
        <f t="shared" si="9"/>
        <v>9.7030288642384568E-5</v>
      </c>
      <c r="W75" s="3"/>
      <c r="X75" s="3">
        <f t="shared" si="10"/>
        <v>-218.62</v>
      </c>
      <c r="Y75" s="3"/>
      <c r="Z75" s="26">
        <f t="shared" si="11"/>
        <v>-1</v>
      </c>
    </row>
    <row r="76" spans="1:26" s="69" customFormat="1" ht="15" hidden="1" customHeight="1" outlineLevel="1" x14ac:dyDescent="0.3">
      <c r="A76" s="47"/>
      <c r="B76" s="9" t="str">
        <f>CONCATENATE("          ","5528"," - ","FREIGHT-IN-ART/TECH")</f>
        <v xml:space="preserve">          5528 - FREIGHT-IN-ART/TECH</v>
      </c>
      <c r="C76" s="9"/>
      <c r="D76" s="3"/>
      <c r="E76" s="3"/>
      <c r="F76" s="26">
        <f t="shared" si="4"/>
        <v>0</v>
      </c>
      <c r="G76" s="3"/>
      <c r="H76" s="3">
        <v>102.68</v>
      </c>
      <c r="I76" s="3"/>
      <c r="J76" s="26">
        <f t="shared" si="5"/>
        <v>4.6251402226481605E-4</v>
      </c>
      <c r="K76" s="3"/>
      <c r="L76" s="3">
        <f t="shared" si="6"/>
        <v>-102.68</v>
      </c>
      <c r="M76" s="3"/>
      <c r="N76" s="26">
        <f t="shared" si="7"/>
        <v>-1</v>
      </c>
      <c r="O76" s="9"/>
      <c r="P76" s="3"/>
      <c r="Q76" s="3"/>
      <c r="R76" s="26">
        <f t="shared" si="8"/>
        <v>0</v>
      </c>
      <c r="S76" s="3"/>
      <c r="T76" s="3">
        <v>279.58999999999997</v>
      </c>
      <c r="U76" s="3"/>
      <c r="V76" s="26">
        <f t="shared" si="9"/>
        <v>1.2409065228032338E-4</v>
      </c>
      <c r="W76" s="3"/>
      <c r="X76" s="3">
        <f t="shared" si="10"/>
        <v>-279.58999999999997</v>
      </c>
      <c r="Y76" s="3"/>
      <c r="Z76" s="26">
        <f t="shared" si="11"/>
        <v>-1</v>
      </c>
    </row>
    <row r="77" spans="1:26" s="69" customFormat="1" ht="15" hidden="1" customHeight="1" outlineLevel="1" x14ac:dyDescent="0.3">
      <c r="A77" s="47"/>
      <c r="B77" s="9" t="str">
        <f>CONCATENATE("          ","5540"," - ","FREIGHT-IN-LOGO CLOTHING")</f>
        <v xml:space="preserve">          5540 - FREIGHT-IN-LOGO CLOTHING</v>
      </c>
      <c r="C77" s="9"/>
      <c r="D77" s="3"/>
      <c r="E77" s="3"/>
      <c r="F77" s="26">
        <f t="shared" si="4"/>
        <v>0</v>
      </c>
      <c r="G77" s="3"/>
      <c r="H77" s="3">
        <v>1384.09</v>
      </c>
      <c r="I77" s="3"/>
      <c r="J77" s="26">
        <f t="shared" si="5"/>
        <v>6.2345250591790916E-3</v>
      </c>
      <c r="K77" s="3"/>
      <c r="L77" s="3">
        <f t="shared" si="6"/>
        <v>-1384.09</v>
      </c>
      <c r="M77" s="3"/>
      <c r="N77" s="26">
        <f t="shared" si="7"/>
        <v>-1</v>
      </c>
      <c r="O77" s="9"/>
      <c r="P77" s="3">
        <v>0</v>
      </c>
      <c r="Q77" s="3"/>
      <c r="R77" s="26">
        <f t="shared" si="8"/>
        <v>0</v>
      </c>
      <c r="S77" s="3"/>
      <c r="T77" s="3">
        <v>11883.79</v>
      </c>
      <c r="U77" s="3"/>
      <c r="V77" s="26">
        <f t="shared" si="9"/>
        <v>5.2743919763310011E-3</v>
      </c>
      <c r="W77" s="3"/>
      <c r="X77" s="3">
        <f t="shared" si="10"/>
        <v>-11883.79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","5541"," - ","FREIGHT-IN-LOGO GIFTS")</f>
        <v xml:space="preserve">          5541 - FREIGHT-IN-LOGO GIFTS</v>
      </c>
      <c r="C78" s="9"/>
      <c r="D78" s="3"/>
      <c r="E78" s="3"/>
      <c r="F78" s="26">
        <f t="shared" si="4"/>
        <v>0</v>
      </c>
      <c r="G78" s="3"/>
      <c r="H78" s="3">
        <v>1606.81</v>
      </c>
      <c r="I78" s="3"/>
      <c r="J78" s="26">
        <f t="shared" si="5"/>
        <v>7.2377498647772593E-3</v>
      </c>
      <c r="K78" s="3"/>
      <c r="L78" s="3">
        <f t="shared" si="6"/>
        <v>-1606.81</v>
      </c>
      <c r="M78" s="3"/>
      <c r="N78" s="26">
        <f t="shared" si="7"/>
        <v>-1</v>
      </c>
      <c r="O78" s="9"/>
      <c r="P78" s="3">
        <v>0</v>
      </c>
      <c r="Q78" s="3"/>
      <c r="R78" s="26">
        <f t="shared" si="8"/>
        <v>0</v>
      </c>
      <c r="S78" s="3"/>
      <c r="T78" s="3">
        <v>7584.01</v>
      </c>
      <c r="U78" s="3"/>
      <c r="V78" s="26">
        <f t="shared" si="9"/>
        <v>3.3660171958957599E-3</v>
      </c>
      <c r="W78" s="3"/>
      <c r="X78" s="3">
        <f t="shared" si="10"/>
        <v>-7584.01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","5542"," - ","FREIGHT-IN-EVERYDAY GIFTS")</f>
        <v xml:space="preserve">          5542 - FREIGHT-IN-EVERYDAY GIFTS</v>
      </c>
      <c r="C79" s="9"/>
      <c r="D79" s="3"/>
      <c r="E79" s="3"/>
      <c r="F79" s="26">
        <f t="shared" si="4"/>
        <v>0</v>
      </c>
      <c r="G79" s="3"/>
      <c r="H79" s="3"/>
      <c r="I79" s="3"/>
      <c r="J79" s="26">
        <f t="shared" si="5"/>
        <v>0</v>
      </c>
      <c r="K79" s="3"/>
      <c r="L79" s="3">
        <f t="shared" si="6"/>
        <v>0</v>
      </c>
      <c r="M79" s="3"/>
      <c r="N79" s="26">
        <f t="shared" si="7"/>
        <v>0</v>
      </c>
      <c r="O79" s="9"/>
      <c r="P79" s="3">
        <v>0</v>
      </c>
      <c r="Q79" s="3"/>
      <c r="R79" s="26">
        <f t="shared" si="8"/>
        <v>0</v>
      </c>
      <c r="S79" s="3"/>
      <c r="T79" s="3">
        <v>681.72</v>
      </c>
      <c r="U79" s="3"/>
      <c r="V79" s="26">
        <f t="shared" si="9"/>
        <v>3.0256833031418174E-4</v>
      </c>
      <c r="W79" s="3"/>
      <c r="X79" s="3">
        <f t="shared" si="10"/>
        <v>-681.72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","5543"," - ","FREIGHT-IN-CARDS")</f>
        <v xml:space="preserve">          5543 - FREIGHT-IN-CARDS</v>
      </c>
      <c r="C80" s="9"/>
      <c r="D80" s="3"/>
      <c r="E80" s="3"/>
      <c r="F80" s="26">
        <f t="shared" si="4"/>
        <v>0</v>
      </c>
      <c r="G80" s="3"/>
      <c r="H80" s="3"/>
      <c r="I80" s="3"/>
      <c r="J80" s="26">
        <f t="shared" si="5"/>
        <v>0</v>
      </c>
      <c r="K80" s="3"/>
      <c r="L80" s="3">
        <f t="shared" si="6"/>
        <v>0</v>
      </c>
      <c r="M80" s="3"/>
      <c r="N80" s="26">
        <f t="shared" si="7"/>
        <v>0</v>
      </c>
      <c r="O80" s="9"/>
      <c r="P80" s="3"/>
      <c r="Q80" s="3"/>
      <c r="R80" s="26">
        <f t="shared" si="8"/>
        <v>0</v>
      </c>
      <c r="S80" s="3"/>
      <c r="T80" s="3">
        <v>9110.5300000000007</v>
      </c>
      <c r="U80" s="3"/>
      <c r="V80" s="26">
        <f t="shared" si="9"/>
        <v>4.0435337827513674E-3</v>
      </c>
      <c r="W80" s="3"/>
      <c r="X80" s="3">
        <f t="shared" si="10"/>
        <v>-9110.5300000000007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","5544"," - ","FREIGHT-IN-ACCESSORIES")</f>
        <v xml:space="preserve">          5544 - FREIGHT-IN-ACCESSORIES</v>
      </c>
      <c r="C81" s="9"/>
      <c r="D81" s="3"/>
      <c r="E81" s="3"/>
      <c r="F81" s="26">
        <f t="shared" si="4"/>
        <v>0</v>
      </c>
      <c r="G81" s="3"/>
      <c r="H81" s="3">
        <v>48.59</v>
      </c>
      <c r="I81" s="3"/>
      <c r="J81" s="26">
        <f t="shared" si="5"/>
        <v>2.188698514009292E-4</v>
      </c>
      <c r="K81" s="3"/>
      <c r="L81" s="3">
        <f t="shared" si="6"/>
        <v>-48.59</v>
      </c>
      <c r="M81" s="3"/>
      <c r="N81" s="26">
        <f t="shared" si="7"/>
        <v>-1</v>
      </c>
      <c r="O81" s="9"/>
      <c r="P81" s="3">
        <v>0</v>
      </c>
      <c r="Q81" s="3"/>
      <c r="R81" s="26">
        <f t="shared" si="8"/>
        <v>0</v>
      </c>
      <c r="S81" s="3"/>
      <c r="T81" s="3">
        <v>48.59</v>
      </c>
      <c r="U81" s="3"/>
      <c r="V81" s="26">
        <f t="shared" si="9"/>
        <v>2.1565738382277316E-5</v>
      </c>
      <c r="W81" s="3"/>
      <c r="X81" s="3">
        <f t="shared" si="10"/>
        <v>-48.59</v>
      </c>
      <c r="Y81" s="3"/>
      <c r="Z81" s="26">
        <f t="shared" si="11"/>
        <v>-1</v>
      </c>
    </row>
    <row r="82" spans="1:26" s="69" customFormat="1" ht="15" hidden="1" customHeight="1" outlineLevel="1" x14ac:dyDescent="0.3">
      <c r="A82" s="47"/>
      <c r="B82" s="9" t="str">
        <f>CONCATENATE("          ","5545"," - ","FREIGHT-IN-SPECIAL ORDERS")</f>
        <v xml:space="preserve">          5545 - FREIGHT-IN-SPECIAL ORDERS</v>
      </c>
      <c r="C82" s="9"/>
      <c r="D82" s="3"/>
      <c r="E82" s="3"/>
      <c r="F82" s="26">
        <f t="shared" si="4"/>
        <v>0</v>
      </c>
      <c r="G82" s="3"/>
      <c r="H82" s="3">
        <v>90.41</v>
      </c>
      <c r="I82" s="3"/>
      <c r="J82" s="26">
        <f t="shared" si="5"/>
        <v>4.0724476775381779E-4</v>
      </c>
      <c r="K82" s="3"/>
      <c r="L82" s="3">
        <f t="shared" si="6"/>
        <v>-90.41</v>
      </c>
      <c r="M82" s="3"/>
      <c r="N82" s="26">
        <f t="shared" si="7"/>
        <v>-1</v>
      </c>
      <c r="O82" s="9"/>
      <c r="P82" s="3">
        <v>0</v>
      </c>
      <c r="Q82" s="3"/>
      <c r="R82" s="26">
        <f t="shared" si="8"/>
        <v>0</v>
      </c>
      <c r="S82" s="3"/>
      <c r="T82" s="3">
        <v>2559.0700000000002</v>
      </c>
      <c r="U82" s="3"/>
      <c r="V82" s="26">
        <f t="shared" si="9"/>
        <v>1.1357940753639515E-3</v>
      </c>
      <c r="W82" s="3"/>
      <c r="X82" s="3">
        <f t="shared" si="10"/>
        <v>-2559.0700000000002</v>
      </c>
      <c r="Y82" s="3"/>
      <c r="Z82" s="26">
        <f t="shared" si="11"/>
        <v>-1</v>
      </c>
    </row>
    <row r="83" spans="1:26" ht="15" customHeight="1" x14ac:dyDescent="0.3">
      <c r="A83" s="12"/>
      <c r="B83" s="13"/>
      <c r="C83" s="13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O83" s="13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2" customFormat="1" ht="15" customHeight="1" x14ac:dyDescent="0.3">
      <c r="A84" s="13"/>
      <c r="B84" s="28" t="s">
        <v>288</v>
      </c>
      <c r="C84" s="28"/>
      <c r="D84" s="22">
        <f>D12-D57</f>
        <v>-265342.35000000009</v>
      </c>
      <c r="E84" s="15"/>
      <c r="F84" s="24">
        <f>IF(D$12=0,0,D84/D$12)</f>
        <v>-1.0863999238781623</v>
      </c>
      <c r="G84" s="15"/>
      <c r="H84" s="22">
        <f>H12-H57</f>
        <v>95335.21000000005</v>
      </c>
      <c r="I84" s="15"/>
      <c r="J84" s="24">
        <f>IF(H$12=0,0,H84/H$12)</f>
        <v>0.42942999065602777</v>
      </c>
      <c r="K84" s="17"/>
      <c r="L84" s="22">
        <f>+D84-H84</f>
        <v>-360677.56000000017</v>
      </c>
      <c r="M84" s="17"/>
      <c r="N84" s="24">
        <f>IF(H84=0,0,L84/H84)</f>
        <v>-3.7832565743548474</v>
      </c>
      <c r="O84" s="27"/>
      <c r="P84" s="22">
        <f>P12-P57</f>
        <v>2114657.6199999987</v>
      </c>
      <c r="Q84" s="15"/>
      <c r="R84" s="24">
        <f>IF(P$12=0,0,P84/P$12)</f>
        <v>0.45127378585365718</v>
      </c>
      <c r="S84" s="15"/>
      <c r="T84" s="22">
        <f>T12-T57</f>
        <v>1035919.4799999997</v>
      </c>
      <c r="U84" s="15"/>
      <c r="V84" s="24">
        <f>IF(T$12=0,0,T84/T$12)</f>
        <v>0.45977296749917163</v>
      </c>
      <c r="W84" s="17"/>
      <c r="X84" s="22">
        <f>+P84-T84</f>
        <v>1078738.139999999</v>
      </c>
      <c r="Y84" s="17"/>
      <c r="Z84" s="24">
        <f>IF(T84=0,0,X84/T84)</f>
        <v>1.0413339654545344</v>
      </c>
    </row>
    <row r="85" spans="1:26" ht="15" customHeight="1" x14ac:dyDescent="0.3">
      <c r="A85" s="12"/>
      <c r="B85" s="13"/>
      <c r="C85" s="12"/>
      <c r="D85" s="2"/>
      <c r="E85" s="2"/>
      <c r="F85" s="5"/>
      <c r="G85" s="2"/>
      <c r="H85" s="2"/>
      <c r="I85" s="2"/>
      <c r="J85" s="5"/>
      <c r="K85" s="2"/>
      <c r="L85" s="2"/>
      <c r="M85" s="2"/>
      <c r="N85" s="5"/>
      <c r="O85" s="37"/>
      <c r="P85" s="2"/>
      <c r="Q85" s="2"/>
      <c r="R85" s="5"/>
      <c r="S85" s="2"/>
      <c r="T85" s="2"/>
      <c r="U85" s="2"/>
      <c r="V85" s="5"/>
      <c r="W85" s="2"/>
      <c r="X85" s="2"/>
      <c r="Y85" s="2"/>
      <c r="Z85" s="5"/>
    </row>
    <row r="86" spans="1:26" s="62" customFormat="1" ht="15" customHeight="1" x14ac:dyDescent="0.3">
      <c r="A86" s="13"/>
      <c r="B86" s="27" t="s">
        <v>289</v>
      </c>
      <c r="C86" s="13"/>
      <c r="D86" s="23" cm="1">
        <f t="array" ref="D86">SUM(OSRRefD22x_0)</f>
        <v>32782.76</v>
      </c>
      <c r="E86" s="23"/>
      <c r="F86" s="34">
        <f t="shared" ref="F86:F117" si="12">IF(D$12=0,0,D86/D$12)</f>
        <v>0.13422353411928423</v>
      </c>
      <c r="G86" s="23"/>
      <c r="H86" s="23" cm="1">
        <f t="array" ref="H86">SUM(OSRRefH22x_0)</f>
        <v>44839.590000000004</v>
      </c>
      <c r="I86" s="23"/>
      <c r="J86" s="34">
        <f t="shared" ref="J86:J117" si="13">IF(H$12=0,0,H86/H$12)</f>
        <v>0.20197642313600722</v>
      </c>
      <c r="K86" s="8"/>
      <c r="L86" s="23">
        <f t="shared" ref="L86:L117" si="14">+D86-H86</f>
        <v>-12056.830000000002</v>
      </c>
      <c r="M86" s="8"/>
      <c r="N86" s="34">
        <f t="shared" ref="N86:N117" si="15">IF(H86=0,0,L86/H86)</f>
        <v>-0.26888805183098241</v>
      </c>
      <c r="O86" s="13"/>
      <c r="P86" s="23" cm="1">
        <f t="array" ref="P86">SUM(OSRRefP22x_0)</f>
        <v>986694.11000000022</v>
      </c>
      <c r="Q86" s="23"/>
      <c r="R86" s="34">
        <f t="shared" ref="R86:R117" si="16">IF(P$12=0,0,P86/P$12)</f>
        <v>0.21056325255111757</v>
      </c>
      <c r="S86" s="23"/>
      <c r="T86" s="23" cm="1">
        <f t="array" ref="T86">SUM(OSRRefT22x_0)</f>
        <v>563016.94999999995</v>
      </c>
      <c r="U86" s="23"/>
      <c r="V86" s="34">
        <f t="shared" ref="V86:V117" si="17">IF(T$12=0,0,T86/T$12)</f>
        <v>0.24988426113372517</v>
      </c>
      <c r="W86" s="8"/>
      <c r="X86" s="23">
        <f t="shared" ref="X86:X117" si="18">+P86-T86</f>
        <v>423677.16000000027</v>
      </c>
      <c r="Y86" s="8"/>
      <c r="Z86" s="34">
        <f t="shared" ref="Z86:Z117" si="19">IF(T86=0,0,X86/T86)</f>
        <v>0.75251226450642439</v>
      </c>
    </row>
    <row r="87" spans="1:26" s="68" customFormat="1" ht="15" customHeight="1" outlineLevel="1" collapsed="1" x14ac:dyDescent="0.3">
      <c r="A87" s="20"/>
      <c r="B87" s="11" t="str">
        <f>CONCATENATE("     ","*Benefits                                         ")</f>
        <v xml:space="preserve">     *Benefits                                         </v>
      </c>
      <c r="C87" s="11"/>
      <c r="D87" s="2">
        <f>SUM(OSRRefD22_0x_0)</f>
        <v>5379.8899999999994</v>
      </c>
      <c r="E87" s="2"/>
      <c r="F87" s="5">
        <f t="shared" si="12"/>
        <v>2.2027060838471071E-2</v>
      </c>
      <c r="G87" s="2"/>
      <c r="H87" s="2">
        <f>SUM(OSRRefH22_0x_0)</f>
        <v>10622.52</v>
      </c>
      <c r="I87" s="2"/>
      <c r="J87" s="5">
        <f t="shared" si="13"/>
        <v>4.7848309814846647E-2</v>
      </c>
      <c r="K87" s="2"/>
      <c r="L87" s="2">
        <f t="shared" si="14"/>
        <v>-5242.630000000001</v>
      </c>
      <c r="M87" s="2"/>
      <c r="N87" s="5">
        <f t="shared" si="15"/>
        <v>-0.49353919785512296</v>
      </c>
      <c r="O87" s="11"/>
      <c r="P87" s="2">
        <f>SUM(OSRRefP22_0x_0)</f>
        <v>150778.91</v>
      </c>
      <c r="Q87" s="2"/>
      <c r="R87" s="5">
        <f t="shared" si="16"/>
        <v>3.2176636491437274E-2</v>
      </c>
      <c r="S87" s="2"/>
      <c r="T87" s="2">
        <f>SUM(OSRRefT22_0x_0)</f>
        <v>123030.05</v>
      </c>
      <c r="U87" s="2"/>
      <c r="V87" s="5">
        <f t="shared" si="17"/>
        <v>5.4604525035161493E-2</v>
      </c>
      <c r="W87" s="2"/>
      <c r="X87" s="2">
        <f t="shared" si="18"/>
        <v>27748.86</v>
      </c>
      <c r="Y87" s="2"/>
      <c r="Z87" s="5">
        <f t="shared" si="19"/>
        <v>0.22554538505023772</v>
      </c>
    </row>
    <row r="88" spans="1:26" s="69" customFormat="1" ht="15" hidden="1" customHeight="1" outlineLevel="2" x14ac:dyDescent="0.3">
      <c r="A88" s="21"/>
      <c r="B88" s="9" t="str">
        <f>CONCATENATE("          ","6111"," - ","F.I.C.A.")</f>
        <v xml:space="preserve">          6111 - F.I.C.A.</v>
      </c>
      <c r="C88" s="9"/>
      <c r="D88" s="6">
        <v>3972.99</v>
      </c>
      <c r="E88" s="3"/>
      <c r="F88" s="7">
        <f t="shared" si="12"/>
        <v>1.6266743825735692E-2</v>
      </c>
      <c r="G88" s="3"/>
      <c r="H88" s="6">
        <v>2709.3</v>
      </c>
      <c r="I88" s="3"/>
      <c r="J88" s="7">
        <f t="shared" si="13"/>
        <v>1.2203829767452922E-2</v>
      </c>
      <c r="K88" s="3"/>
      <c r="L88" s="6">
        <f t="shared" si="14"/>
        <v>1263.6899999999996</v>
      </c>
      <c r="M88" s="3"/>
      <c r="N88" s="7">
        <f t="shared" si="15"/>
        <v>0.4664267522976413</v>
      </c>
      <c r="O88" s="9"/>
      <c r="P88" s="6">
        <v>31663.77</v>
      </c>
      <c r="Q88" s="3"/>
      <c r="R88" s="7">
        <f t="shared" si="16"/>
        <v>6.7571361090120411E-3</v>
      </c>
      <c r="S88" s="3"/>
      <c r="T88" s="6">
        <v>27900.400000000001</v>
      </c>
      <c r="U88" s="3"/>
      <c r="V88" s="7">
        <f t="shared" si="17"/>
        <v>1.2383056743381148E-2</v>
      </c>
      <c r="W88" s="3"/>
      <c r="X88" s="6">
        <f t="shared" si="18"/>
        <v>3763.369999999999</v>
      </c>
      <c r="Y88" s="3"/>
      <c r="Z88" s="7">
        <f t="shared" si="19"/>
        <v>0.13488587977233296</v>
      </c>
    </row>
    <row r="89" spans="1:26" s="69" customFormat="1" ht="15" hidden="1" customHeight="1" outlineLevel="2" x14ac:dyDescent="0.3">
      <c r="A89" s="21"/>
      <c r="B89" s="9" t="str">
        <f>CONCATENATE("          ","6112"," - ","COMPENSATION INSURANCE")</f>
        <v xml:space="preserve">          6112 - COMPENSATION INSURANCE</v>
      </c>
      <c r="C89" s="9"/>
      <c r="D89" s="6">
        <v>-6295.43</v>
      </c>
      <c r="E89" s="3"/>
      <c r="F89" s="7">
        <f t="shared" si="12"/>
        <v>-2.577558641800036E-2</v>
      </c>
      <c r="G89" s="3"/>
      <c r="H89" s="6">
        <v>819.71</v>
      </c>
      <c r="I89" s="3"/>
      <c r="J89" s="7">
        <f t="shared" si="13"/>
        <v>3.6923195285419978E-3</v>
      </c>
      <c r="K89" s="3"/>
      <c r="L89" s="6">
        <f t="shared" si="14"/>
        <v>-7115.14</v>
      </c>
      <c r="M89" s="3"/>
      <c r="N89" s="7">
        <f t="shared" si="15"/>
        <v>-8.6800697807761278</v>
      </c>
      <c r="O89" s="9"/>
      <c r="P89" s="6">
        <v>4052.51</v>
      </c>
      <c r="Q89" s="3"/>
      <c r="R89" s="7">
        <f t="shared" si="16"/>
        <v>8.6481684439763137E-4</v>
      </c>
      <c r="S89" s="3"/>
      <c r="T89" s="6">
        <v>9503.2900000000009</v>
      </c>
      <c r="U89" s="3"/>
      <c r="V89" s="7">
        <f t="shared" si="17"/>
        <v>4.2178527662258113E-3</v>
      </c>
      <c r="W89" s="3"/>
      <c r="X89" s="6">
        <f t="shared" si="18"/>
        <v>-5450.7800000000007</v>
      </c>
      <c r="Y89" s="3"/>
      <c r="Z89" s="7">
        <f t="shared" si="19"/>
        <v>-0.57356768024547289</v>
      </c>
    </row>
    <row r="90" spans="1:26" s="69" customFormat="1" ht="15" hidden="1" customHeight="1" outlineLevel="2" x14ac:dyDescent="0.3">
      <c r="A90" s="21"/>
      <c r="B90" s="9" t="str">
        <f>CONCATENATE("          ","6113"," - ","GROUP INSURANCE")</f>
        <v xml:space="preserve">          6113 - GROUP INSURANCE</v>
      </c>
      <c r="C90" s="9"/>
      <c r="D90" s="6">
        <v>3347.46</v>
      </c>
      <c r="E90" s="3"/>
      <c r="F90" s="7">
        <f t="shared" si="12"/>
        <v>1.3705615742022306E-2</v>
      </c>
      <c r="G90" s="3"/>
      <c r="H90" s="6">
        <v>2823.95</v>
      </c>
      <c r="I90" s="3"/>
      <c r="J90" s="7">
        <f t="shared" si="13"/>
        <v>1.2720261717712573E-2</v>
      </c>
      <c r="K90" s="3"/>
      <c r="L90" s="6">
        <f t="shared" si="14"/>
        <v>523.51000000000022</v>
      </c>
      <c r="M90" s="3"/>
      <c r="N90" s="7">
        <f t="shared" si="15"/>
        <v>0.18538217744648464</v>
      </c>
      <c r="O90" s="9"/>
      <c r="P90" s="6">
        <v>47565.760000000002</v>
      </c>
      <c r="Q90" s="3"/>
      <c r="R90" s="7">
        <f t="shared" si="16"/>
        <v>1.0150664764448472E-2</v>
      </c>
      <c r="S90" s="3"/>
      <c r="T90" s="6">
        <v>34772.75</v>
      </c>
      <c r="U90" s="3"/>
      <c r="V90" s="7">
        <f t="shared" si="17"/>
        <v>1.5433217314927628E-2</v>
      </c>
      <c r="W90" s="3"/>
      <c r="X90" s="6">
        <f t="shared" si="18"/>
        <v>12793.010000000002</v>
      </c>
      <c r="Y90" s="3"/>
      <c r="Z90" s="7">
        <f t="shared" si="19"/>
        <v>0.36790331509587254</v>
      </c>
    </row>
    <row r="91" spans="1:26" s="69" customFormat="1" ht="15" hidden="1" customHeight="1" outlineLevel="2" x14ac:dyDescent="0.3">
      <c r="A91" s="21"/>
      <c r="B91" s="9" t="str">
        <f>CONCATENATE("          ","6114"," - ","STATE UNEMPLOYMENT INSURANCE")</f>
        <v xml:space="preserve">          6114 - STATE UNEMPLOYMENT INSURANCE</v>
      </c>
      <c r="C91" s="9"/>
      <c r="D91" s="6"/>
      <c r="E91" s="3"/>
      <c r="F91" s="7">
        <f t="shared" si="12"/>
        <v>0</v>
      </c>
      <c r="G91" s="3"/>
      <c r="H91" s="6">
        <v>115.2</v>
      </c>
      <c r="I91" s="3"/>
      <c r="J91" s="7">
        <f t="shared" si="13"/>
        <v>5.1890938220594865E-4</v>
      </c>
      <c r="K91" s="3"/>
      <c r="L91" s="6">
        <f t="shared" si="14"/>
        <v>-115.2</v>
      </c>
      <c r="M91" s="3"/>
      <c r="N91" s="7">
        <f t="shared" si="15"/>
        <v>-1</v>
      </c>
      <c r="O91" s="9"/>
      <c r="P91" s="6">
        <v>1819.04</v>
      </c>
      <c r="Q91" s="3"/>
      <c r="R91" s="7">
        <f t="shared" si="16"/>
        <v>3.8818816798306906E-4</v>
      </c>
      <c r="S91" s="3"/>
      <c r="T91" s="6">
        <v>1161.82</v>
      </c>
      <c r="U91" s="3"/>
      <c r="V91" s="7">
        <f t="shared" si="17"/>
        <v>5.1565149551960126E-4</v>
      </c>
      <c r="W91" s="3"/>
      <c r="X91" s="6">
        <f t="shared" si="18"/>
        <v>657.22</v>
      </c>
      <c r="Y91" s="3"/>
      <c r="Z91" s="7">
        <f t="shared" si="19"/>
        <v>0.56568143085848066</v>
      </c>
    </row>
    <row r="92" spans="1:26" s="69" customFormat="1" ht="15" hidden="1" customHeight="1" outlineLevel="2" x14ac:dyDescent="0.3">
      <c r="A92" s="21"/>
      <c r="B92" s="9" t="str">
        <f>CONCATENATE("          ","6115"," - ","P.E.R.S.")</f>
        <v xml:space="preserve">          6115 - P.E.R.S.</v>
      </c>
      <c r="C92" s="9"/>
      <c r="D92" s="6">
        <v>1143.78</v>
      </c>
      <c r="E92" s="3"/>
      <c r="F92" s="7">
        <f t="shared" si="12"/>
        <v>4.6830161296655586E-3</v>
      </c>
      <c r="G92" s="3"/>
      <c r="H92" s="6">
        <v>1982.96</v>
      </c>
      <c r="I92" s="3"/>
      <c r="J92" s="7">
        <f t="shared" si="13"/>
        <v>8.9320880949575344E-3</v>
      </c>
      <c r="K92" s="3"/>
      <c r="L92" s="6">
        <f t="shared" si="14"/>
        <v>-839.18000000000006</v>
      </c>
      <c r="M92" s="3"/>
      <c r="N92" s="7">
        <f t="shared" si="15"/>
        <v>-0.42319562673982331</v>
      </c>
      <c r="O92" s="9"/>
      <c r="P92" s="6">
        <v>17289.39</v>
      </c>
      <c r="Q92" s="3"/>
      <c r="R92" s="7">
        <f t="shared" si="16"/>
        <v>3.6896036533802415E-3</v>
      </c>
      <c r="S92" s="3"/>
      <c r="T92" s="6">
        <v>19687.45</v>
      </c>
      <c r="U92" s="3"/>
      <c r="V92" s="7">
        <f t="shared" si="17"/>
        <v>8.7378966065891229E-3</v>
      </c>
      <c r="W92" s="3"/>
      <c r="X92" s="6">
        <f t="shared" si="18"/>
        <v>-2398.0600000000013</v>
      </c>
      <c r="Y92" s="3"/>
      <c r="Z92" s="7">
        <f t="shared" si="19"/>
        <v>-0.12180653157214373</v>
      </c>
    </row>
    <row r="93" spans="1:26" s="69" customFormat="1" ht="15" hidden="1" customHeight="1" outlineLevel="2" x14ac:dyDescent="0.3">
      <c r="A93" s="21"/>
      <c r="B93" s="9" t="str">
        <f>CONCATENATE("          ","6118"," - ","VACATION")</f>
        <v xml:space="preserve">          6118 - VACATION</v>
      </c>
      <c r="C93" s="9"/>
      <c r="D93" s="6">
        <v>1483.91</v>
      </c>
      <c r="E93" s="3"/>
      <c r="F93" s="7">
        <f t="shared" si="12"/>
        <v>6.0756215924146423E-3</v>
      </c>
      <c r="G93" s="3"/>
      <c r="H93" s="6">
        <v>969.54</v>
      </c>
      <c r="I93" s="3"/>
      <c r="J93" s="7">
        <f t="shared" si="13"/>
        <v>4.3672170349301686E-3</v>
      </c>
      <c r="K93" s="3"/>
      <c r="L93" s="6">
        <f t="shared" si="14"/>
        <v>514.37000000000012</v>
      </c>
      <c r="M93" s="3"/>
      <c r="N93" s="7">
        <f t="shared" si="15"/>
        <v>0.53052994203436699</v>
      </c>
      <c r="O93" s="9"/>
      <c r="P93" s="6">
        <v>21560.46</v>
      </c>
      <c r="Q93" s="3"/>
      <c r="R93" s="7">
        <f t="shared" si="16"/>
        <v>4.6010618063771231E-3</v>
      </c>
      <c r="S93" s="3"/>
      <c r="T93" s="6">
        <v>15189.06</v>
      </c>
      <c r="U93" s="3"/>
      <c r="V93" s="7">
        <f t="shared" si="17"/>
        <v>6.7413725917413675E-3</v>
      </c>
      <c r="W93" s="3"/>
      <c r="X93" s="6">
        <f t="shared" si="18"/>
        <v>6371.4</v>
      </c>
      <c r="Y93" s="3"/>
      <c r="Z93" s="7">
        <f t="shared" si="19"/>
        <v>0.41947296277715673</v>
      </c>
    </row>
    <row r="94" spans="1:26" s="69" customFormat="1" ht="15" hidden="1" customHeight="1" outlineLevel="2" x14ac:dyDescent="0.3">
      <c r="A94" s="21"/>
      <c r="B94" s="9" t="str">
        <f>CONCATENATE("          ","6119"," - ","SICK LEAVE")</f>
        <v xml:space="preserve">          6119 - SICK LEAVE</v>
      </c>
      <c r="C94" s="9"/>
      <c r="D94" s="6">
        <v>1084.74</v>
      </c>
      <c r="E94" s="3"/>
      <c r="F94" s="7">
        <f t="shared" si="12"/>
        <v>4.4412867129110653E-3</v>
      </c>
      <c r="G94" s="3"/>
      <c r="H94" s="6">
        <v>889.58</v>
      </c>
      <c r="I94" s="3"/>
      <c r="J94" s="7">
        <f t="shared" si="13"/>
        <v>4.0070434741559706E-3</v>
      </c>
      <c r="K94" s="3"/>
      <c r="L94" s="6">
        <f t="shared" si="14"/>
        <v>195.15999999999997</v>
      </c>
      <c r="M94" s="3"/>
      <c r="N94" s="7">
        <f t="shared" si="15"/>
        <v>0.21938442860675819</v>
      </c>
      <c r="O94" s="9"/>
      <c r="P94" s="6">
        <v>18880.95</v>
      </c>
      <c r="Q94" s="3"/>
      <c r="R94" s="7">
        <f t="shared" si="16"/>
        <v>4.0292469600887986E-3</v>
      </c>
      <c r="S94" s="3"/>
      <c r="T94" s="6">
        <v>10906.32</v>
      </c>
      <c r="U94" s="3"/>
      <c r="V94" s="7">
        <f t="shared" si="17"/>
        <v>4.8405606880715926E-3</v>
      </c>
      <c r="W94" s="3"/>
      <c r="X94" s="6">
        <f t="shared" si="18"/>
        <v>7974.630000000001</v>
      </c>
      <c r="Y94" s="3"/>
      <c r="Z94" s="7">
        <f t="shared" si="19"/>
        <v>0.7311934731421782</v>
      </c>
    </row>
    <row r="95" spans="1:26" s="69" customFormat="1" ht="15" hidden="1" customHeight="1" outlineLevel="2" x14ac:dyDescent="0.3">
      <c r="A95" s="21"/>
      <c r="B95" s="9" t="str">
        <f>CONCATENATE("          ","6156"," - ","EMPLOYEE MEALS")</f>
        <v xml:space="preserve">          6156 - EMPLOYEE MEALS</v>
      </c>
      <c r="C95" s="9"/>
      <c r="D95" s="6">
        <v>642.44000000000005</v>
      </c>
      <c r="E95" s="3"/>
      <c r="F95" s="7">
        <f t="shared" si="12"/>
        <v>2.6303632537221684E-3</v>
      </c>
      <c r="G95" s="3"/>
      <c r="H95" s="6">
        <v>312.27999999999997</v>
      </c>
      <c r="I95" s="3"/>
      <c r="J95" s="7">
        <f t="shared" si="13"/>
        <v>1.4066408148895278E-3</v>
      </c>
      <c r="K95" s="3"/>
      <c r="L95" s="6">
        <f t="shared" si="14"/>
        <v>330.16000000000008</v>
      </c>
      <c r="M95" s="3"/>
      <c r="N95" s="7">
        <f t="shared" si="15"/>
        <v>1.0572563084411428</v>
      </c>
      <c r="O95" s="9"/>
      <c r="P95" s="6">
        <v>7947.03</v>
      </c>
      <c r="Q95" s="3"/>
      <c r="R95" s="7">
        <f t="shared" si="16"/>
        <v>1.6959181857498953E-3</v>
      </c>
      <c r="S95" s="3"/>
      <c r="T95" s="6">
        <v>3908.96</v>
      </c>
      <c r="U95" s="3"/>
      <c r="V95" s="7">
        <f t="shared" si="17"/>
        <v>1.7349168287052218E-3</v>
      </c>
      <c r="W95" s="3"/>
      <c r="X95" s="6">
        <f t="shared" si="18"/>
        <v>4038.0699999999997</v>
      </c>
      <c r="Y95" s="3"/>
      <c r="Z95" s="7">
        <f t="shared" si="19"/>
        <v>1.0330292456305512</v>
      </c>
    </row>
    <row r="96" spans="1:26" s="68" customFormat="1" ht="15" customHeight="1" outlineLevel="1" collapsed="1" x14ac:dyDescent="0.3">
      <c r="A96" s="20"/>
      <c r="B96" s="11" t="str">
        <f>CONCATENATE("     ","*Payroll                                          ")</f>
        <v xml:space="preserve">     *Payroll                                          </v>
      </c>
      <c r="C96" s="11"/>
      <c r="D96" s="2">
        <f>SUM(OSRRefD22_1x_0)</f>
        <v>53373.48</v>
      </c>
      <c r="E96" s="2"/>
      <c r="F96" s="5">
        <f t="shared" si="12"/>
        <v>0.21852879726554245</v>
      </c>
      <c r="G96" s="2"/>
      <c r="H96" s="2">
        <f>SUM(OSRRefH22_1x_0)</f>
        <v>40971.75</v>
      </c>
      <c r="I96" s="2"/>
      <c r="J96" s="5">
        <f t="shared" si="13"/>
        <v>0.1845540406284425</v>
      </c>
      <c r="K96" s="2"/>
      <c r="L96" s="2">
        <f t="shared" si="14"/>
        <v>12401.730000000003</v>
      </c>
      <c r="M96" s="2"/>
      <c r="N96" s="5">
        <f t="shared" si="15"/>
        <v>0.30268978015339848</v>
      </c>
      <c r="O96" s="11"/>
      <c r="P96" s="2">
        <f>SUM(OSRRefP22_1x_0)</f>
        <v>721970.83</v>
      </c>
      <c r="Q96" s="2"/>
      <c r="R96" s="5">
        <f t="shared" si="16"/>
        <v>0.15407057229907853</v>
      </c>
      <c r="S96" s="2"/>
      <c r="T96" s="2">
        <f>SUM(OSRRefT22_1x_0)</f>
        <v>380754.49</v>
      </c>
      <c r="U96" s="2"/>
      <c r="V96" s="5">
        <f t="shared" si="17"/>
        <v>0.16899056841361232</v>
      </c>
      <c r="W96" s="2"/>
      <c r="X96" s="2">
        <f t="shared" si="18"/>
        <v>341216.33999999997</v>
      </c>
      <c r="Y96" s="2"/>
      <c r="Z96" s="5">
        <f t="shared" si="19"/>
        <v>0.8961584143104917</v>
      </c>
    </row>
    <row r="97" spans="1:26" s="69" customFormat="1" ht="15" hidden="1" customHeight="1" outlineLevel="2" x14ac:dyDescent="0.3">
      <c r="A97" s="21"/>
      <c r="B97" s="9" t="str">
        <f>CONCATENATE("          ","6002"," - ","STAFF SALARIES")</f>
        <v xml:space="preserve">          6002 - STAFF SALARIES</v>
      </c>
      <c r="C97" s="9"/>
      <c r="D97" s="6">
        <v>8085.06</v>
      </c>
      <c r="E97" s="3"/>
      <c r="F97" s="7">
        <f t="shared" si="12"/>
        <v>3.3102927476712153E-2</v>
      </c>
      <c r="G97" s="3"/>
      <c r="H97" s="6">
        <v>11054.49</v>
      </c>
      <c r="I97" s="3"/>
      <c r="J97" s="7">
        <f t="shared" si="13"/>
        <v>4.9794084865467332E-2</v>
      </c>
      <c r="K97" s="3"/>
      <c r="L97" s="6">
        <f t="shared" si="14"/>
        <v>-2969.4299999999994</v>
      </c>
      <c r="M97" s="3"/>
      <c r="N97" s="7">
        <f t="shared" si="15"/>
        <v>-0.26861754816368727</v>
      </c>
      <c r="O97" s="9"/>
      <c r="P97" s="6">
        <v>161905.53</v>
      </c>
      <c r="Q97" s="3"/>
      <c r="R97" s="7">
        <f t="shared" si="16"/>
        <v>3.4551087978839296E-2</v>
      </c>
      <c r="S97" s="3"/>
      <c r="T97" s="6">
        <v>166401.07</v>
      </c>
      <c r="U97" s="3"/>
      <c r="V97" s="7">
        <f t="shared" si="17"/>
        <v>7.3853919369232648E-2</v>
      </c>
      <c r="W97" s="3"/>
      <c r="X97" s="6">
        <f t="shared" si="18"/>
        <v>-4495.5400000000081</v>
      </c>
      <c r="Y97" s="3"/>
      <c r="Z97" s="7">
        <f t="shared" si="19"/>
        <v>-2.7016292623599163E-2</v>
      </c>
    </row>
    <row r="98" spans="1:26" s="69" customFormat="1" ht="15" hidden="1" customHeight="1" outlineLevel="2" x14ac:dyDescent="0.3">
      <c r="A98" s="21"/>
      <c r="B98" s="9" t="str">
        <f>CONCATENATE("          ","6004"," - ","STAFF HOURLY")</f>
        <v xml:space="preserve">          6004 - STAFF HOURLY</v>
      </c>
      <c r="C98" s="9"/>
      <c r="D98" s="6">
        <v>12067.44</v>
      </c>
      <c r="E98" s="3"/>
      <c r="F98" s="7">
        <f t="shared" si="12"/>
        <v>4.9408117088750772E-2</v>
      </c>
      <c r="G98" s="3"/>
      <c r="H98" s="6">
        <v>6874.82</v>
      </c>
      <c r="I98" s="3"/>
      <c r="J98" s="7">
        <f t="shared" si="13"/>
        <v>3.0967088532787321E-2</v>
      </c>
      <c r="K98" s="3"/>
      <c r="L98" s="6">
        <f t="shared" si="14"/>
        <v>5192.6200000000008</v>
      </c>
      <c r="M98" s="3"/>
      <c r="N98" s="7">
        <f t="shared" si="15"/>
        <v>0.75530995720615246</v>
      </c>
      <c r="O98" s="9"/>
      <c r="P98" s="6">
        <v>123913.35</v>
      </c>
      <c r="Q98" s="3"/>
      <c r="R98" s="7">
        <f t="shared" si="16"/>
        <v>2.6443451669641588E-2</v>
      </c>
      <c r="S98" s="3"/>
      <c r="T98" s="6">
        <v>65430.879999999997</v>
      </c>
      <c r="U98" s="3"/>
      <c r="V98" s="7">
        <f t="shared" si="17"/>
        <v>2.9040239559625047E-2</v>
      </c>
      <c r="W98" s="3"/>
      <c r="X98" s="6">
        <f t="shared" si="18"/>
        <v>58482.470000000008</v>
      </c>
      <c r="Y98" s="3"/>
      <c r="Z98" s="7">
        <f t="shared" si="19"/>
        <v>0.89380534084212238</v>
      </c>
    </row>
    <row r="99" spans="1:26" s="69" customFormat="1" ht="15" hidden="1" customHeight="1" outlineLevel="2" x14ac:dyDescent="0.3">
      <c r="A99" s="21"/>
      <c r="B99" s="9" t="str">
        <f>CONCATENATE("          ","6005"," - ","TEMPORARY WAGES-HOURLY")</f>
        <v xml:space="preserve">          6005 - TEMPORARY WAGES-HOURLY</v>
      </c>
      <c r="C99" s="9"/>
      <c r="D99" s="6"/>
      <c r="E99" s="3"/>
      <c r="F99" s="7">
        <f t="shared" si="12"/>
        <v>0</v>
      </c>
      <c r="G99" s="3"/>
      <c r="H99" s="6">
        <v>1611.71</v>
      </c>
      <c r="I99" s="3"/>
      <c r="J99" s="7">
        <f t="shared" si="13"/>
        <v>7.2598215312078941E-3</v>
      </c>
      <c r="K99" s="3"/>
      <c r="L99" s="6">
        <f t="shared" si="14"/>
        <v>-1611.71</v>
      </c>
      <c r="M99" s="3"/>
      <c r="N99" s="7">
        <f t="shared" si="15"/>
        <v>-1</v>
      </c>
      <c r="O99" s="9"/>
      <c r="P99" s="6">
        <v>22430.91</v>
      </c>
      <c r="Q99" s="3"/>
      <c r="R99" s="7">
        <f t="shared" si="16"/>
        <v>4.7868182442899025E-3</v>
      </c>
      <c r="S99" s="3"/>
      <c r="T99" s="6">
        <v>45510.86</v>
      </c>
      <c r="U99" s="3"/>
      <c r="V99" s="7">
        <f t="shared" si="17"/>
        <v>2.0199121224788008E-2</v>
      </c>
      <c r="W99" s="3"/>
      <c r="X99" s="6">
        <f t="shared" si="18"/>
        <v>-23079.95</v>
      </c>
      <c r="Y99" s="3"/>
      <c r="Z99" s="7">
        <f t="shared" si="19"/>
        <v>-0.5071306057499243</v>
      </c>
    </row>
    <row r="100" spans="1:26" s="69" customFormat="1" ht="15" hidden="1" customHeight="1" outlineLevel="2" x14ac:dyDescent="0.3">
      <c r="A100" s="21"/>
      <c r="B100" s="9" t="str">
        <f>CONCATENATE("          ","6006"," - ","TEMPORARY PART TIME")</f>
        <v xml:space="preserve">          6006 - TEMPORARY PART TIME</v>
      </c>
      <c r="C100" s="9"/>
      <c r="D100" s="6"/>
      <c r="E100" s="3"/>
      <c r="F100" s="7">
        <f t="shared" si="12"/>
        <v>0</v>
      </c>
      <c r="G100" s="3"/>
      <c r="H100" s="6">
        <v>306.3</v>
      </c>
      <c r="I100" s="3"/>
      <c r="J100" s="7">
        <f t="shared" si="13"/>
        <v>1.3797043730007124E-3</v>
      </c>
      <c r="K100" s="3"/>
      <c r="L100" s="6">
        <f t="shared" si="14"/>
        <v>-306.3</v>
      </c>
      <c r="M100" s="3"/>
      <c r="N100" s="7">
        <f t="shared" si="15"/>
        <v>-1</v>
      </c>
      <c r="O100" s="9"/>
      <c r="P100" s="6"/>
      <c r="Q100" s="3"/>
      <c r="R100" s="7">
        <f t="shared" si="16"/>
        <v>0</v>
      </c>
      <c r="S100" s="3"/>
      <c r="T100" s="6">
        <v>5887.94</v>
      </c>
      <c r="U100" s="3"/>
      <c r="V100" s="7">
        <f t="shared" si="17"/>
        <v>2.6132490975621708E-3</v>
      </c>
      <c r="W100" s="3"/>
      <c r="X100" s="6">
        <f t="shared" si="18"/>
        <v>-5887.94</v>
      </c>
      <c r="Y100" s="3"/>
      <c r="Z100" s="7">
        <f t="shared" si="19"/>
        <v>-1</v>
      </c>
    </row>
    <row r="101" spans="1:26" s="69" customFormat="1" ht="15" hidden="1" customHeight="1" outlineLevel="2" x14ac:dyDescent="0.3">
      <c r="A101" s="21"/>
      <c r="B101" s="9" t="str">
        <f>CONCATENATE("          ","6007"," - ","STUDENT HOURLY")</f>
        <v xml:space="preserve">          6007 - STUDENT HOURLY</v>
      </c>
      <c r="C101" s="9"/>
      <c r="D101" s="6">
        <v>26316.11</v>
      </c>
      <c r="E101" s="3"/>
      <c r="F101" s="7">
        <f t="shared" si="12"/>
        <v>0.10774691601536407</v>
      </c>
      <c r="G101" s="3"/>
      <c r="H101" s="6">
        <v>15226.82</v>
      </c>
      <c r="I101" s="3"/>
      <c r="J101" s="7">
        <f t="shared" si="13"/>
        <v>6.8588018742718596E-2</v>
      </c>
      <c r="K101" s="3"/>
      <c r="L101" s="6">
        <f t="shared" si="14"/>
        <v>11089.29</v>
      </c>
      <c r="M101" s="3"/>
      <c r="N101" s="7">
        <f t="shared" si="15"/>
        <v>0.72827353314743337</v>
      </c>
      <c r="O101" s="9"/>
      <c r="P101" s="6">
        <v>321801.33</v>
      </c>
      <c r="Q101" s="3"/>
      <c r="R101" s="7">
        <f t="shared" si="16"/>
        <v>6.867329401619264E-2</v>
      </c>
      <c r="S101" s="3"/>
      <c r="T101" s="6">
        <v>82249.47</v>
      </c>
      <c r="U101" s="3"/>
      <c r="V101" s="7">
        <f t="shared" si="17"/>
        <v>3.6504847748527816E-2</v>
      </c>
      <c r="W101" s="3"/>
      <c r="X101" s="6">
        <f t="shared" si="18"/>
        <v>239551.86000000002</v>
      </c>
      <c r="Y101" s="3"/>
      <c r="Z101" s="7">
        <f t="shared" si="19"/>
        <v>2.9125033875598225</v>
      </c>
    </row>
    <row r="102" spans="1:26" s="69" customFormat="1" ht="15" hidden="1" customHeight="1" outlineLevel="2" x14ac:dyDescent="0.3">
      <c r="A102" s="21"/>
      <c r="B102" s="9" t="str">
        <f>CONCATENATE("          ","6008"," - ","STUDENT HOURLY-FICA EXEMPT")</f>
        <v xml:space="preserve">          6008 - STUDENT HOURLY-FICA EXEMPT</v>
      </c>
      <c r="C102" s="9"/>
      <c r="D102" s="6">
        <v>6904.87</v>
      </c>
      <c r="E102" s="3"/>
      <c r="F102" s="7">
        <f t="shared" si="12"/>
        <v>2.8270836684715441E-2</v>
      </c>
      <c r="G102" s="3"/>
      <c r="H102" s="6">
        <v>5897.61</v>
      </c>
      <c r="I102" s="3"/>
      <c r="J102" s="7">
        <f t="shared" si="13"/>
        <v>2.656532258326063E-2</v>
      </c>
      <c r="K102" s="3"/>
      <c r="L102" s="6">
        <f t="shared" si="14"/>
        <v>1007.2600000000002</v>
      </c>
      <c r="M102" s="3"/>
      <c r="N102" s="7">
        <f t="shared" si="15"/>
        <v>0.17079121881575762</v>
      </c>
      <c r="O102" s="9"/>
      <c r="P102" s="6">
        <v>91919.71</v>
      </c>
      <c r="Q102" s="3"/>
      <c r="R102" s="7">
        <f t="shared" si="16"/>
        <v>1.9615920390115116E-2</v>
      </c>
      <c r="S102" s="3"/>
      <c r="T102" s="6">
        <v>15274.27</v>
      </c>
      <c r="U102" s="3"/>
      <c r="V102" s="7">
        <f t="shared" si="17"/>
        <v>6.7791914138766599E-3</v>
      </c>
      <c r="W102" s="3"/>
      <c r="X102" s="6">
        <f t="shared" si="18"/>
        <v>76645.440000000002</v>
      </c>
      <c r="Y102" s="3"/>
      <c r="Z102" s="7">
        <f t="shared" si="19"/>
        <v>5.0179445564337932</v>
      </c>
    </row>
    <row r="103" spans="1:26" s="68" customFormat="1" ht="15" customHeight="1" outlineLevel="1" collapsed="1" x14ac:dyDescent="0.3">
      <c r="A103" s="20"/>
      <c r="B103" s="11" t="str">
        <f>CONCATENATE("     ","Advertising/Promo                                 ")</f>
        <v xml:space="preserve">     Advertising/Promo                                 </v>
      </c>
      <c r="C103" s="11"/>
      <c r="D103" s="2">
        <f>SUM(OSRRefD22_2x_0)</f>
        <v>5741.31</v>
      </c>
      <c r="E103" s="2"/>
      <c r="F103" s="5">
        <f t="shared" si="12"/>
        <v>2.3506834649504427E-2</v>
      </c>
      <c r="G103" s="2"/>
      <c r="H103" s="2">
        <f>SUM(OSRRefH22_2x_0)</f>
        <v>1103.3399999999999</v>
      </c>
      <c r="I103" s="2"/>
      <c r="J103" s="5">
        <f t="shared" si="13"/>
        <v>4.9699086611381185E-3</v>
      </c>
      <c r="K103" s="2"/>
      <c r="L103" s="2">
        <f t="shared" si="14"/>
        <v>4637.97</v>
      </c>
      <c r="M103" s="2"/>
      <c r="N103" s="5">
        <f t="shared" si="15"/>
        <v>4.203572788079831</v>
      </c>
      <c r="O103" s="11"/>
      <c r="P103" s="2">
        <f>SUM(OSRRefP22_2x_0)</f>
        <v>13831.97</v>
      </c>
      <c r="Q103" s="2"/>
      <c r="R103" s="5">
        <f t="shared" si="16"/>
        <v>2.9517806611711519E-3</v>
      </c>
      <c r="S103" s="2"/>
      <c r="T103" s="2">
        <f>SUM(OSRRefT22_2x_0)</f>
        <v>14201.95</v>
      </c>
      <c r="U103" s="2"/>
      <c r="V103" s="5">
        <f t="shared" si="17"/>
        <v>6.3032627746076007E-3</v>
      </c>
      <c r="W103" s="2"/>
      <c r="X103" s="2">
        <f t="shared" si="18"/>
        <v>-369.98000000000138</v>
      </c>
      <c r="Y103" s="2"/>
      <c r="Z103" s="5">
        <f t="shared" si="19"/>
        <v>-2.6051352103056365E-2</v>
      </c>
    </row>
    <row r="104" spans="1:26" s="69" customFormat="1" ht="15" hidden="1" customHeight="1" outlineLevel="2" x14ac:dyDescent="0.3">
      <c r="A104" s="21"/>
      <c r="B104" s="9" t="str">
        <f>CONCATENATE("          ","6362"," - ","ADVERTISING EXPENSE")</f>
        <v xml:space="preserve">          6362 - ADVERTISING EXPENSE</v>
      </c>
      <c r="C104" s="9"/>
      <c r="D104" s="6">
        <v>5741.31</v>
      </c>
      <c r="E104" s="3"/>
      <c r="F104" s="7">
        <f t="shared" si="12"/>
        <v>2.3506834649504427E-2</v>
      </c>
      <c r="G104" s="3"/>
      <c r="H104" s="6">
        <v>1103.3399999999999</v>
      </c>
      <c r="I104" s="3"/>
      <c r="J104" s="7">
        <f t="shared" si="13"/>
        <v>4.9699086611381185E-3</v>
      </c>
      <c r="K104" s="3"/>
      <c r="L104" s="6">
        <f t="shared" si="14"/>
        <v>4637.97</v>
      </c>
      <c r="M104" s="3"/>
      <c r="N104" s="7">
        <f t="shared" si="15"/>
        <v>4.203572788079831</v>
      </c>
      <c r="O104" s="9"/>
      <c r="P104" s="6">
        <v>13831.97</v>
      </c>
      <c r="Q104" s="3"/>
      <c r="R104" s="7">
        <f t="shared" si="16"/>
        <v>2.9517806611711519E-3</v>
      </c>
      <c r="S104" s="3"/>
      <c r="T104" s="6">
        <v>14201.95</v>
      </c>
      <c r="U104" s="3"/>
      <c r="V104" s="7">
        <f t="shared" si="17"/>
        <v>6.3032627746076007E-3</v>
      </c>
      <c r="W104" s="3"/>
      <c r="X104" s="6">
        <f t="shared" si="18"/>
        <v>-369.98000000000138</v>
      </c>
      <c r="Y104" s="3"/>
      <c r="Z104" s="7">
        <f t="shared" si="19"/>
        <v>-2.6051352103056365E-2</v>
      </c>
    </row>
    <row r="105" spans="1:26" s="68" customFormat="1" ht="15" customHeight="1" outlineLevel="1" collapsed="1" x14ac:dyDescent="0.3">
      <c r="A105" s="20"/>
      <c r="B105" s="11" t="str">
        <f>CONCATENATE("     ","Discounts and Markdowns                           ")</f>
        <v xml:space="preserve">     Discounts and Markdowns                           </v>
      </c>
      <c r="C105" s="11"/>
      <c r="D105" s="2">
        <f>SUM(OSRRefD22_3x_0)</f>
        <v>0</v>
      </c>
      <c r="E105" s="2"/>
      <c r="F105" s="5">
        <f t="shared" si="12"/>
        <v>0</v>
      </c>
      <c r="G105" s="2"/>
      <c r="H105" s="2">
        <f>SUM(OSRRefH22_3x_0)</f>
        <v>0</v>
      </c>
      <c r="I105" s="2"/>
      <c r="J105" s="5">
        <f t="shared" si="13"/>
        <v>0</v>
      </c>
      <c r="K105" s="2"/>
      <c r="L105" s="2">
        <f t="shared" si="14"/>
        <v>0</v>
      </c>
      <c r="M105" s="2"/>
      <c r="N105" s="5">
        <f t="shared" si="15"/>
        <v>0</v>
      </c>
      <c r="O105" s="11"/>
      <c r="P105" s="2">
        <f>SUM(OSRRefP22_3x_0)</f>
        <v>0</v>
      </c>
      <c r="Q105" s="2"/>
      <c r="R105" s="5">
        <f t="shared" si="16"/>
        <v>0</v>
      </c>
      <c r="S105" s="2"/>
      <c r="T105" s="2">
        <f>SUM(OSRRefT22_3x_0)</f>
        <v>0</v>
      </c>
      <c r="U105" s="2"/>
      <c r="V105" s="5">
        <f t="shared" si="17"/>
        <v>0</v>
      </c>
      <c r="W105" s="2"/>
      <c r="X105" s="2">
        <f t="shared" si="18"/>
        <v>0</v>
      </c>
      <c r="Y105" s="2"/>
      <c r="Z105" s="5">
        <f t="shared" si="19"/>
        <v>0</v>
      </c>
    </row>
    <row r="106" spans="1:26" s="69" customFormat="1" ht="15" hidden="1" customHeight="1" outlineLevel="2" x14ac:dyDescent="0.3">
      <c r="A106" s="21"/>
      <c r="B106" s="9" t="str">
        <f>CONCATENATE("          ","6382"," - ","DISCOUNTS/MARK DOWNS")</f>
        <v xml:space="preserve">          6382 - DISCOUNTS/MARK DOWNS</v>
      </c>
      <c r="C106" s="9"/>
      <c r="D106" s="6"/>
      <c r="E106" s="3"/>
      <c r="F106" s="7">
        <f t="shared" si="12"/>
        <v>0</v>
      </c>
      <c r="G106" s="3"/>
      <c r="H106" s="6">
        <v>0</v>
      </c>
      <c r="I106" s="3"/>
      <c r="J106" s="7">
        <f t="shared" si="13"/>
        <v>0</v>
      </c>
      <c r="K106" s="3"/>
      <c r="L106" s="6">
        <f t="shared" si="14"/>
        <v>0</v>
      </c>
      <c r="M106" s="3"/>
      <c r="N106" s="7">
        <f t="shared" si="15"/>
        <v>0</v>
      </c>
      <c r="O106" s="9"/>
      <c r="P106" s="6"/>
      <c r="Q106" s="3"/>
      <c r="R106" s="7">
        <f t="shared" si="16"/>
        <v>0</v>
      </c>
      <c r="S106" s="3"/>
      <c r="T106" s="6">
        <v>0</v>
      </c>
      <c r="U106" s="3"/>
      <c r="V106" s="7">
        <f t="shared" si="17"/>
        <v>0</v>
      </c>
      <c r="W106" s="3"/>
      <c r="X106" s="6">
        <f t="shared" si="18"/>
        <v>0</v>
      </c>
      <c r="Y106" s="3"/>
      <c r="Z106" s="7">
        <f t="shared" si="19"/>
        <v>0</v>
      </c>
    </row>
    <row r="107" spans="1:26" s="69" customFormat="1" ht="15" hidden="1" customHeight="1" outlineLevel="2" x14ac:dyDescent="0.3">
      <c r="A107" s="21"/>
      <c r="B107" s="9" t="str">
        <f>CONCATENATE("          ","9175"," - ","EARNED DISCOUNTS")</f>
        <v xml:space="preserve">          9175 - EARNED DISCOUNTS</v>
      </c>
      <c r="C107" s="9"/>
      <c r="D107" s="6"/>
      <c r="E107" s="3"/>
      <c r="F107" s="7">
        <f t="shared" si="12"/>
        <v>0</v>
      </c>
      <c r="G107" s="3"/>
      <c r="H107" s="6">
        <v>0</v>
      </c>
      <c r="I107" s="3"/>
      <c r="J107" s="7">
        <f t="shared" si="13"/>
        <v>0</v>
      </c>
      <c r="K107" s="3"/>
      <c r="L107" s="6">
        <f t="shared" si="14"/>
        <v>0</v>
      </c>
      <c r="M107" s="3"/>
      <c r="N107" s="7">
        <f t="shared" si="15"/>
        <v>0</v>
      </c>
      <c r="O107" s="9"/>
      <c r="P107" s="6">
        <v>0</v>
      </c>
      <c r="Q107" s="3"/>
      <c r="R107" s="7">
        <f t="shared" si="16"/>
        <v>0</v>
      </c>
      <c r="S107" s="3"/>
      <c r="T107" s="6">
        <v>0</v>
      </c>
      <c r="U107" s="3"/>
      <c r="V107" s="7">
        <f t="shared" si="17"/>
        <v>0</v>
      </c>
      <c r="W107" s="3"/>
      <c r="X107" s="6">
        <f t="shared" si="18"/>
        <v>0</v>
      </c>
      <c r="Y107" s="3"/>
      <c r="Z107" s="7">
        <f t="shared" si="19"/>
        <v>0</v>
      </c>
    </row>
    <row r="108" spans="1:26" s="68" customFormat="1" ht="15" customHeight="1" outlineLevel="1" collapsed="1" x14ac:dyDescent="0.3">
      <c r="A108" s="20"/>
      <c r="B108" s="11" t="str">
        <f>CONCATENATE("     ","Employees' Appreciation                           ")</f>
        <v xml:space="preserve">     Employees' Appreciation                           </v>
      </c>
      <c r="C108" s="11"/>
      <c r="D108" s="2">
        <f>SUM(OSRRefD22_4x_0)</f>
        <v>1068.18</v>
      </c>
      <c r="E108" s="2"/>
      <c r="F108" s="5">
        <f t="shared" si="12"/>
        <v>4.3734845594311468E-3</v>
      </c>
      <c r="G108" s="2"/>
      <c r="H108" s="2">
        <f>SUM(OSRRefH22_4x_0)</f>
        <v>0</v>
      </c>
      <c r="I108" s="2"/>
      <c r="J108" s="5">
        <f t="shared" si="13"/>
        <v>0</v>
      </c>
      <c r="K108" s="2"/>
      <c r="L108" s="2">
        <f t="shared" si="14"/>
        <v>1068.18</v>
      </c>
      <c r="M108" s="2"/>
      <c r="N108" s="5">
        <f t="shared" si="15"/>
        <v>0</v>
      </c>
      <c r="O108" s="11"/>
      <c r="P108" s="2">
        <f>SUM(OSRRefP22_4x_0)</f>
        <v>1359.31</v>
      </c>
      <c r="Q108" s="2"/>
      <c r="R108" s="5">
        <f t="shared" si="16"/>
        <v>2.9008051423886537E-4</v>
      </c>
      <c r="S108" s="2"/>
      <c r="T108" s="2">
        <f>SUM(OSRRefT22_4x_0)</f>
        <v>0</v>
      </c>
      <c r="U108" s="2"/>
      <c r="V108" s="5">
        <f t="shared" si="17"/>
        <v>0</v>
      </c>
      <c r="W108" s="2"/>
      <c r="X108" s="2">
        <f t="shared" si="18"/>
        <v>1359.31</v>
      </c>
      <c r="Y108" s="2"/>
      <c r="Z108" s="5">
        <f t="shared" si="19"/>
        <v>0</v>
      </c>
    </row>
    <row r="109" spans="1:26" s="69" customFormat="1" ht="15" hidden="1" customHeight="1" outlineLevel="2" x14ac:dyDescent="0.3">
      <c r="A109" s="21"/>
      <c r="B109" s="9" t="str">
        <f>CONCATENATE("          ","6277"," - ","EMPLOYEE APPRECIATION")</f>
        <v xml:space="preserve">          6277 - EMPLOYEE APPRECIATION</v>
      </c>
      <c r="C109" s="9"/>
      <c r="D109" s="6">
        <v>1068.18</v>
      </c>
      <c r="E109" s="3"/>
      <c r="F109" s="7">
        <f t="shared" si="12"/>
        <v>4.3734845594311468E-3</v>
      </c>
      <c r="G109" s="3"/>
      <c r="H109" s="6"/>
      <c r="I109" s="3"/>
      <c r="J109" s="7">
        <f t="shared" si="13"/>
        <v>0</v>
      </c>
      <c r="K109" s="3"/>
      <c r="L109" s="6">
        <f t="shared" si="14"/>
        <v>1068.18</v>
      </c>
      <c r="M109" s="3"/>
      <c r="N109" s="7">
        <f t="shared" si="15"/>
        <v>0</v>
      </c>
      <c r="O109" s="9"/>
      <c r="P109" s="6">
        <v>1359.31</v>
      </c>
      <c r="Q109" s="3"/>
      <c r="R109" s="7">
        <f t="shared" si="16"/>
        <v>2.9008051423886537E-4</v>
      </c>
      <c r="S109" s="3"/>
      <c r="T109" s="6"/>
      <c r="U109" s="3"/>
      <c r="V109" s="7">
        <f t="shared" si="17"/>
        <v>0</v>
      </c>
      <c r="W109" s="3"/>
      <c r="X109" s="6">
        <f t="shared" si="18"/>
        <v>1359.31</v>
      </c>
      <c r="Y109" s="3"/>
      <c r="Z109" s="7">
        <f t="shared" si="19"/>
        <v>0</v>
      </c>
    </row>
    <row r="110" spans="1:26" s="68" customFormat="1" ht="15" customHeight="1" outlineLevel="1" collapsed="1" x14ac:dyDescent="0.3">
      <c r="A110" s="20"/>
      <c r="B110" s="11" t="str">
        <f>CONCATENATE("     ","Equipment Rental                                  ")</f>
        <v xml:space="preserve">     Equipment Rental                                  </v>
      </c>
      <c r="C110" s="11"/>
      <c r="D110" s="2">
        <f>SUM(OSRRefD22_5x_0)</f>
        <v>96.22</v>
      </c>
      <c r="E110" s="2"/>
      <c r="F110" s="5">
        <f t="shared" si="12"/>
        <v>3.9395671544914236E-4</v>
      </c>
      <c r="G110" s="2"/>
      <c r="H110" s="2">
        <f>SUM(OSRRefH22_5x_0)</f>
        <v>0</v>
      </c>
      <c r="I110" s="2"/>
      <c r="J110" s="5">
        <f t="shared" si="13"/>
        <v>0</v>
      </c>
      <c r="K110" s="2"/>
      <c r="L110" s="2">
        <f t="shared" si="14"/>
        <v>96.22</v>
      </c>
      <c r="M110" s="2"/>
      <c r="N110" s="5">
        <f t="shared" si="15"/>
        <v>0</v>
      </c>
      <c r="O110" s="11"/>
      <c r="P110" s="2">
        <f>SUM(OSRRefP22_5x_0)</f>
        <v>215.13</v>
      </c>
      <c r="Q110" s="2"/>
      <c r="R110" s="5">
        <f t="shared" si="16"/>
        <v>4.5909337110892367E-5</v>
      </c>
      <c r="S110" s="2"/>
      <c r="T110" s="2">
        <f>SUM(OSRRefT22_5x_0)</f>
        <v>0</v>
      </c>
      <c r="U110" s="2"/>
      <c r="V110" s="5">
        <f t="shared" si="17"/>
        <v>0</v>
      </c>
      <c r="W110" s="2"/>
      <c r="X110" s="2">
        <f t="shared" si="18"/>
        <v>215.13</v>
      </c>
      <c r="Y110" s="2"/>
      <c r="Z110" s="5">
        <f t="shared" si="19"/>
        <v>0</v>
      </c>
    </row>
    <row r="111" spans="1:26" s="69" customFormat="1" ht="15" hidden="1" customHeight="1" outlineLevel="2" x14ac:dyDescent="0.3">
      <c r="A111" s="21"/>
      <c r="B111" s="9" t="str">
        <f>CONCATENATE("          ","6351"," - ","EQUIPMENT RENTAL")</f>
        <v xml:space="preserve">          6351 - EQUIPMENT RENTAL</v>
      </c>
      <c r="C111" s="9"/>
      <c r="D111" s="6">
        <v>96.22</v>
      </c>
      <c r="E111" s="3"/>
      <c r="F111" s="7">
        <f t="shared" si="12"/>
        <v>3.9395671544914236E-4</v>
      </c>
      <c r="G111" s="3"/>
      <c r="H111" s="6"/>
      <c r="I111" s="3"/>
      <c r="J111" s="7">
        <f t="shared" si="13"/>
        <v>0</v>
      </c>
      <c r="K111" s="3"/>
      <c r="L111" s="6">
        <f t="shared" si="14"/>
        <v>96.22</v>
      </c>
      <c r="M111" s="3"/>
      <c r="N111" s="7">
        <f t="shared" si="15"/>
        <v>0</v>
      </c>
      <c r="O111" s="9"/>
      <c r="P111" s="6">
        <v>215.13</v>
      </c>
      <c r="Q111" s="3"/>
      <c r="R111" s="7">
        <f t="shared" si="16"/>
        <v>4.5909337110892367E-5</v>
      </c>
      <c r="S111" s="3"/>
      <c r="T111" s="6"/>
      <c r="U111" s="3"/>
      <c r="V111" s="7">
        <f t="shared" si="17"/>
        <v>0</v>
      </c>
      <c r="W111" s="3"/>
      <c r="X111" s="6">
        <f t="shared" si="18"/>
        <v>215.13</v>
      </c>
      <c r="Y111" s="3"/>
      <c r="Z111" s="7">
        <f t="shared" si="19"/>
        <v>0</v>
      </c>
    </row>
    <row r="112" spans="1:26" s="68" customFormat="1" ht="15" customHeight="1" outlineLevel="1" collapsed="1" x14ac:dyDescent="0.3">
      <c r="A112" s="20"/>
      <c r="B112" s="11" t="str">
        <f>CONCATENATE("     ","Freight out/Postage                               ")</f>
        <v xml:space="preserve">     Freight out/Postage                               </v>
      </c>
      <c r="C112" s="11"/>
      <c r="D112" s="2">
        <f>SUM(OSRRefD22_6x_0)</f>
        <v>0</v>
      </c>
      <c r="E112" s="2"/>
      <c r="F112" s="5">
        <f t="shared" si="12"/>
        <v>0</v>
      </c>
      <c r="G112" s="2"/>
      <c r="H112" s="2">
        <f>SUM(OSRRefH22_6x_0)</f>
        <v>9.25</v>
      </c>
      <c r="I112" s="2"/>
      <c r="J112" s="5">
        <f t="shared" si="13"/>
        <v>4.1665900914974175E-5</v>
      </c>
      <c r="K112" s="2"/>
      <c r="L112" s="2">
        <f t="shared" si="14"/>
        <v>-9.25</v>
      </c>
      <c r="M112" s="2"/>
      <c r="N112" s="5">
        <f t="shared" si="15"/>
        <v>-1</v>
      </c>
      <c r="O112" s="11"/>
      <c r="P112" s="2">
        <f>SUM(OSRRefP22_6x_0)</f>
        <v>929.29</v>
      </c>
      <c r="Q112" s="2"/>
      <c r="R112" s="5">
        <f t="shared" si="16"/>
        <v>1.9831305668098901E-4</v>
      </c>
      <c r="S112" s="2"/>
      <c r="T112" s="2">
        <f>SUM(OSRRefT22_6x_0)</f>
        <v>-137.59999999999997</v>
      </c>
      <c r="U112" s="2"/>
      <c r="V112" s="5">
        <f t="shared" si="17"/>
        <v>-6.1071117542732206E-5</v>
      </c>
      <c r="W112" s="2"/>
      <c r="X112" s="2">
        <f t="shared" si="18"/>
        <v>1066.8899999999999</v>
      </c>
      <c r="Y112" s="2"/>
      <c r="Z112" s="5">
        <f t="shared" si="19"/>
        <v>-7.7535610465116287</v>
      </c>
    </row>
    <row r="113" spans="1:26" s="69" customFormat="1" ht="15" hidden="1" customHeight="1" outlineLevel="2" x14ac:dyDescent="0.3">
      <c r="A113" s="21"/>
      <c r="B113" s="9" t="str">
        <f>CONCATENATE("          ","6305"," - ","FREIGHT OUT")</f>
        <v xml:space="preserve">          6305 - FREIGHT OUT</v>
      </c>
      <c r="C113" s="9"/>
      <c r="D113" s="6"/>
      <c r="E113" s="3"/>
      <c r="F113" s="7">
        <f t="shared" si="12"/>
        <v>0</v>
      </c>
      <c r="G113" s="3"/>
      <c r="H113" s="6">
        <v>9.25</v>
      </c>
      <c r="I113" s="3"/>
      <c r="J113" s="7">
        <f t="shared" si="13"/>
        <v>4.1665900914974175E-5</v>
      </c>
      <c r="K113" s="3"/>
      <c r="L113" s="6">
        <f t="shared" si="14"/>
        <v>-9.25</v>
      </c>
      <c r="M113" s="3"/>
      <c r="N113" s="7">
        <f t="shared" si="15"/>
        <v>-1</v>
      </c>
      <c r="O113" s="9"/>
      <c r="P113" s="6">
        <v>893.87</v>
      </c>
      <c r="Q113" s="3"/>
      <c r="R113" s="7">
        <f t="shared" si="16"/>
        <v>1.9075433069917427E-4</v>
      </c>
      <c r="S113" s="3"/>
      <c r="T113" s="6">
        <v>151.74</v>
      </c>
      <c r="U113" s="3"/>
      <c r="V113" s="7">
        <f t="shared" si="17"/>
        <v>6.7346884999521707E-5</v>
      </c>
      <c r="W113" s="3"/>
      <c r="X113" s="6">
        <f t="shared" si="18"/>
        <v>742.13</v>
      </c>
      <c r="Y113" s="3"/>
      <c r="Z113" s="7">
        <f t="shared" si="19"/>
        <v>4.8908000527217608</v>
      </c>
    </row>
    <row r="114" spans="1:26" s="69" customFormat="1" ht="15" hidden="1" customHeight="1" outlineLevel="2" x14ac:dyDescent="0.3">
      <c r="A114" s="21"/>
      <c r="B114" s="9" t="str">
        <f>CONCATENATE("          ","6307"," - ","POSTAGE")</f>
        <v xml:space="preserve">          6307 - POSTAGE</v>
      </c>
      <c r="C114" s="9"/>
      <c r="D114" s="6"/>
      <c r="E114" s="3"/>
      <c r="F114" s="7">
        <f t="shared" si="12"/>
        <v>0</v>
      </c>
      <c r="G114" s="3"/>
      <c r="H114" s="6"/>
      <c r="I114" s="3"/>
      <c r="J114" s="7">
        <f t="shared" si="13"/>
        <v>0</v>
      </c>
      <c r="K114" s="3"/>
      <c r="L114" s="6">
        <f t="shared" si="14"/>
        <v>0</v>
      </c>
      <c r="M114" s="3"/>
      <c r="N114" s="7">
        <f t="shared" si="15"/>
        <v>0</v>
      </c>
      <c r="O114" s="9"/>
      <c r="P114" s="6">
        <v>35.42</v>
      </c>
      <c r="Q114" s="3"/>
      <c r="R114" s="7">
        <f t="shared" si="16"/>
        <v>7.5587259818147528E-6</v>
      </c>
      <c r="S114" s="3"/>
      <c r="T114" s="6">
        <v>-289.33999999999997</v>
      </c>
      <c r="U114" s="3"/>
      <c r="V114" s="7">
        <f t="shared" si="17"/>
        <v>-1.2841800254225391E-4</v>
      </c>
      <c r="W114" s="3"/>
      <c r="X114" s="6">
        <f t="shared" si="18"/>
        <v>324.76</v>
      </c>
      <c r="Y114" s="3"/>
      <c r="Z114" s="7">
        <f t="shared" si="19"/>
        <v>-1.1224165341812402</v>
      </c>
    </row>
    <row r="115" spans="1:26" s="68" customFormat="1" ht="15" customHeight="1" outlineLevel="1" collapsed="1" x14ac:dyDescent="0.3">
      <c r="A115" s="20"/>
      <c r="B115" s="11" t="str">
        <f>CONCATENATE("     ","General                                           ")</f>
        <v xml:space="preserve">     General                                           </v>
      </c>
      <c r="C115" s="11"/>
      <c r="D115" s="2">
        <f>SUM(OSRRefD22_7x_0)</f>
        <v>0</v>
      </c>
      <c r="E115" s="2"/>
      <c r="F115" s="5">
        <f t="shared" si="12"/>
        <v>0</v>
      </c>
      <c r="G115" s="2"/>
      <c r="H115" s="2">
        <f>SUM(OSRRefH22_7x_0)</f>
        <v>0</v>
      </c>
      <c r="I115" s="2"/>
      <c r="J115" s="5">
        <f t="shared" si="13"/>
        <v>0</v>
      </c>
      <c r="K115" s="2"/>
      <c r="L115" s="2">
        <f t="shared" si="14"/>
        <v>0</v>
      </c>
      <c r="M115" s="2"/>
      <c r="N115" s="5">
        <f t="shared" si="15"/>
        <v>0</v>
      </c>
      <c r="O115" s="11"/>
      <c r="P115" s="2">
        <f>SUM(OSRRefP22_7x_0)</f>
        <v>988.17</v>
      </c>
      <c r="Q115" s="2"/>
      <c r="R115" s="5">
        <f t="shared" si="16"/>
        <v>2.1087821155984989E-4</v>
      </c>
      <c r="S115" s="2"/>
      <c r="T115" s="2">
        <f>SUM(OSRRefT22_7x_0)</f>
        <v>0</v>
      </c>
      <c r="U115" s="2"/>
      <c r="V115" s="5">
        <f t="shared" si="17"/>
        <v>0</v>
      </c>
      <c r="W115" s="2"/>
      <c r="X115" s="2">
        <f t="shared" si="18"/>
        <v>988.17</v>
      </c>
      <c r="Y115" s="2"/>
      <c r="Z115" s="5">
        <f t="shared" si="19"/>
        <v>0</v>
      </c>
    </row>
    <row r="116" spans="1:26" s="69" customFormat="1" ht="15" hidden="1" customHeight="1" outlineLevel="2" x14ac:dyDescent="0.3">
      <c r="A116" s="21"/>
      <c r="B116" s="9" t="str">
        <f>CONCATENATE("          ","6279"," - ","GENERAL EXPENSE")</f>
        <v xml:space="preserve">          6279 - GENERAL EXPENSE</v>
      </c>
      <c r="C116" s="9"/>
      <c r="D116" s="6"/>
      <c r="E116" s="3"/>
      <c r="F116" s="7">
        <f t="shared" si="12"/>
        <v>0</v>
      </c>
      <c r="G116" s="3"/>
      <c r="H116" s="6"/>
      <c r="I116" s="3"/>
      <c r="J116" s="7">
        <f t="shared" si="13"/>
        <v>0</v>
      </c>
      <c r="K116" s="3"/>
      <c r="L116" s="6">
        <f t="shared" si="14"/>
        <v>0</v>
      </c>
      <c r="M116" s="3"/>
      <c r="N116" s="7">
        <f t="shared" si="15"/>
        <v>0</v>
      </c>
      <c r="O116" s="9"/>
      <c r="P116" s="6">
        <v>988.17</v>
      </c>
      <c r="Q116" s="3"/>
      <c r="R116" s="7">
        <f t="shared" si="16"/>
        <v>2.1087821155984989E-4</v>
      </c>
      <c r="S116" s="3"/>
      <c r="T116" s="6"/>
      <c r="U116" s="3"/>
      <c r="V116" s="7">
        <f t="shared" si="17"/>
        <v>0</v>
      </c>
      <c r="W116" s="3"/>
      <c r="X116" s="6">
        <f t="shared" si="18"/>
        <v>988.17</v>
      </c>
      <c r="Y116" s="3"/>
      <c r="Z116" s="7">
        <f t="shared" si="19"/>
        <v>0</v>
      </c>
    </row>
    <row r="117" spans="1:26" s="68" customFormat="1" ht="15" customHeight="1" outlineLevel="1" collapsed="1" x14ac:dyDescent="0.3">
      <c r="A117" s="20"/>
      <c r="B117" s="11" t="str">
        <f>CONCATENATE("     ","Inventory Adjustment                              ")</f>
        <v xml:space="preserve">     Inventory Adjustment                              </v>
      </c>
      <c r="C117" s="11"/>
      <c r="D117" s="2">
        <f>SUM(OSRRefD22_8x_0)</f>
        <v>-36850</v>
      </c>
      <c r="E117" s="2"/>
      <c r="F117" s="5">
        <f t="shared" si="12"/>
        <v>-0.15087616882457802</v>
      </c>
      <c r="G117" s="2"/>
      <c r="H117" s="2">
        <f>SUM(OSRRefH22_8x_0)</f>
        <v>-11000</v>
      </c>
      <c r="I117" s="2"/>
      <c r="J117" s="5">
        <f t="shared" si="13"/>
        <v>-4.9548638925915232E-2</v>
      </c>
      <c r="K117" s="2"/>
      <c r="L117" s="2">
        <f t="shared" si="14"/>
        <v>-25850</v>
      </c>
      <c r="M117" s="2"/>
      <c r="N117" s="5">
        <f t="shared" si="15"/>
        <v>2.35</v>
      </c>
      <c r="O117" s="11"/>
      <c r="P117" s="2">
        <f>SUM(OSRRefP22_8x_0)</f>
        <v>0</v>
      </c>
      <c r="Q117" s="2"/>
      <c r="R117" s="5">
        <f t="shared" si="16"/>
        <v>0</v>
      </c>
      <c r="S117" s="2"/>
      <c r="T117" s="2">
        <f>SUM(OSRRefT22_8x_0)</f>
        <v>0</v>
      </c>
      <c r="U117" s="2"/>
      <c r="V117" s="5">
        <f t="shared" si="17"/>
        <v>0</v>
      </c>
      <c r="W117" s="2"/>
      <c r="X117" s="2">
        <f t="shared" si="18"/>
        <v>0</v>
      </c>
      <c r="Y117" s="2"/>
      <c r="Z117" s="5">
        <f t="shared" si="19"/>
        <v>0</v>
      </c>
    </row>
    <row r="118" spans="1:26" s="69" customFormat="1" ht="15" hidden="1" customHeight="1" outlineLevel="2" x14ac:dyDescent="0.3">
      <c r="A118" s="21"/>
      <c r="B118" s="9" t="str">
        <f>CONCATENATE("          ","6408"," - ","INVENTORY ADJUSTMENT")</f>
        <v xml:space="preserve">          6408 - INVENTORY ADJUSTMENT</v>
      </c>
      <c r="C118" s="9"/>
      <c r="D118" s="6">
        <v>-36850</v>
      </c>
      <c r="E118" s="3"/>
      <c r="F118" s="7">
        <f t="shared" ref="F118:F142" si="20">IF(D$12=0,0,D118/D$12)</f>
        <v>-0.15087616882457802</v>
      </c>
      <c r="G118" s="3"/>
      <c r="H118" s="6">
        <v>-11000</v>
      </c>
      <c r="I118" s="3"/>
      <c r="J118" s="7">
        <f t="shared" ref="J118:J142" si="21">IF(H$12=0,0,H118/H$12)</f>
        <v>-4.9548638925915232E-2</v>
      </c>
      <c r="K118" s="3"/>
      <c r="L118" s="6">
        <f t="shared" ref="L118:L142" si="22">+D118-H118</f>
        <v>-25850</v>
      </c>
      <c r="M118" s="3"/>
      <c r="N118" s="7">
        <f t="shared" ref="N118:N142" si="23">IF(H118=0,0,L118/H118)</f>
        <v>2.35</v>
      </c>
      <c r="O118" s="9"/>
      <c r="P118" s="6">
        <v>0</v>
      </c>
      <c r="Q118" s="3"/>
      <c r="R118" s="7">
        <f t="shared" ref="R118:R142" si="24">IF(P$12=0,0,P118/P$12)</f>
        <v>0</v>
      </c>
      <c r="S118" s="3"/>
      <c r="T118" s="6">
        <v>0</v>
      </c>
      <c r="U118" s="3"/>
      <c r="V118" s="7">
        <f t="shared" ref="V118:V142" si="25">IF(T$12=0,0,T118/T$12)</f>
        <v>0</v>
      </c>
      <c r="W118" s="3"/>
      <c r="X118" s="6">
        <f t="shared" ref="X118:X142" si="26">+P118-T118</f>
        <v>0</v>
      </c>
      <c r="Y118" s="3"/>
      <c r="Z118" s="7">
        <f t="shared" ref="Z118:Z142" si="27">IF(T118=0,0,X118/T118)</f>
        <v>0</v>
      </c>
    </row>
    <row r="119" spans="1:26" s="69" customFormat="1" ht="15" hidden="1" customHeight="1" outlineLevel="2" x14ac:dyDescent="0.3">
      <c r="A119" s="21"/>
      <c r="B119" s="9" t="str">
        <f>CONCATENATE("          ","7741"," - ","INV. SHRINKAGE-LOGO GIFTS")</f>
        <v xml:space="preserve">          7741 - INV. SHRINKAGE-LOGO GIFTS</v>
      </c>
      <c r="C119" s="9"/>
      <c r="D119" s="6"/>
      <c r="E119" s="3"/>
      <c r="F119" s="7">
        <f t="shared" si="20"/>
        <v>0</v>
      </c>
      <c r="G119" s="3"/>
      <c r="H119" s="6"/>
      <c r="I119" s="3"/>
      <c r="J119" s="7">
        <f t="shared" si="21"/>
        <v>0</v>
      </c>
      <c r="K119" s="3"/>
      <c r="L119" s="6">
        <f t="shared" si="22"/>
        <v>0</v>
      </c>
      <c r="M119" s="3"/>
      <c r="N119" s="7">
        <f t="shared" si="23"/>
        <v>0</v>
      </c>
      <c r="O119" s="9"/>
      <c r="P119" s="6"/>
      <c r="Q119" s="3"/>
      <c r="R119" s="7">
        <f t="shared" si="24"/>
        <v>0</v>
      </c>
      <c r="S119" s="3"/>
      <c r="T119" s="6">
        <v>0</v>
      </c>
      <c r="U119" s="3"/>
      <c r="V119" s="7">
        <f t="shared" si="25"/>
        <v>0</v>
      </c>
      <c r="W119" s="3"/>
      <c r="X119" s="6">
        <f t="shared" si="26"/>
        <v>0</v>
      </c>
      <c r="Y119" s="3"/>
      <c r="Z119" s="7">
        <f t="shared" si="27"/>
        <v>0</v>
      </c>
    </row>
    <row r="120" spans="1:26" s="68" customFormat="1" ht="15" customHeight="1" outlineLevel="1" collapsed="1" x14ac:dyDescent="0.3">
      <c r="A120" s="20"/>
      <c r="B120" s="11" t="str">
        <f>CONCATENATE("     ","Professional Services                             ")</f>
        <v xml:space="preserve">     Professional Services                             </v>
      </c>
      <c r="C120" s="11"/>
      <c r="D120" s="2">
        <f>SUM(OSRRefD22_9x_0)</f>
        <v>1401.33</v>
      </c>
      <c r="E120" s="2"/>
      <c r="F120" s="5">
        <f t="shared" si="20"/>
        <v>5.7375115782617612E-3</v>
      </c>
      <c r="G120" s="2"/>
      <c r="H120" s="2">
        <f>SUM(OSRRefH22_9x_0)</f>
        <v>1966.87</v>
      </c>
      <c r="I120" s="2"/>
      <c r="J120" s="5">
        <f t="shared" si="21"/>
        <v>8.8596119494740808E-3</v>
      </c>
      <c r="K120" s="2"/>
      <c r="L120" s="2">
        <f t="shared" si="22"/>
        <v>-565.54</v>
      </c>
      <c r="M120" s="2"/>
      <c r="N120" s="5">
        <f t="shared" si="23"/>
        <v>-0.28753298387793802</v>
      </c>
      <c r="O120" s="11"/>
      <c r="P120" s="2">
        <f>SUM(OSRRefP22_9x_0)</f>
        <v>3348.97</v>
      </c>
      <c r="Q120" s="2"/>
      <c r="R120" s="5">
        <f t="shared" si="24"/>
        <v>7.1467946220548132E-4</v>
      </c>
      <c r="S120" s="2"/>
      <c r="T120" s="2">
        <f>SUM(OSRRefT22_9x_0)</f>
        <v>1966.87</v>
      </c>
      <c r="U120" s="2"/>
      <c r="V120" s="5">
        <f t="shared" si="25"/>
        <v>8.7295747791623333E-4</v>
      </c>
      <c r="W120" s="2"/>
      <c r="X120" s="2">
        <f t="shared" si="26"/>
        <v>1382.1</v>
      </c>
      <c r="Y120" s="2"/>
      <c r="Z120" s="5">
        <f t="shared" si="27"/>
        <v>0.7026900608581147</v>
      </c>
    </row>
    <row r="121" spans="1:26" s="69" customFormat="1" ht="15" hidden="1" customHeight="1" outlineLevel="2" x14ac:dyDescent="0.3">
      <c r="A121" s="21"/>
      <c r="B121" s="9" t="str">
        <f>CONCATENATE("          ","6336"," - ","PROFESSIONAL SERVICES")</f>
        <v xml:space="preserve">          6336 - PROFESSIONAL SERVICES</v>
      </c>
      <c r="C121" s="9"/>
      <c r="D121" s="6">
        <v>1401.33</v>
      </c>
      <c r="E121" s="3"/>
      <c r="F121" s="7">
        <f t="shared" si="20"/>
        <v>5.7375115782617612E-3</v>
      </c>
      <c r="G121" s="3"/>
      <c r="H121" s="6">
        <v>1966.87</v>
      </c>
      <c r="I121" s="3"/>
      <c r="J121" s="7">
        <f t="shared" si="21"/>
        <v>8.8596119494740808E-3</v>
      </c>
      <c r="K121" s="3"/>
      <c r="L121" s="6">
        <f t="shared" si="22"/>
        <v>-565.54</v>
      </c>
      <c r="M121" s="3"/>
      <c r="N121" s="7">
        <f t="shared" si="23"/>
        <v>-0.28753298387793802</v>
      </c>
      <c r="O121" s="9"/>
      <c r="P121" s="6">
        <v>3348.97</v>
      </c>
      <c r="Q121" s="3"/>
      <c r="R121" s="7">
        <f t="shared" si="24"/>
        <v>7.1467946220548132E-4</v>
      </c>
      <c r="S121" s="3"/>
      <c r="T121" s="6">
        <v>1966.87</v>
      </c>
      <c r="U121" s="3"/>
      <c r="V121" s="7">
        <f t="shared" si="25"/>
        <v>8.7295747791623333E-4</v>
      </c>
      <c r="W121" s="3"/>
      <c r="X121" s="6">
        <f t="shared" si="26"/>
        <v>1382.1</v>
      </c>
      <c r="Y121" s="3"/>
      <c r="Z121" s="7">
        <f t="shared" si="27"/>
        <v>0.7026900608581147</v>
      </c>
    </row>
    <row r="122" spans="1:26" s="68" customFormat="1" ht="15" customHeight="1" outlineLevel="1" collapsed="1" x14ac:dyDescent="0.3">
      <c r="A122" s="20"/>
      <c r="B122" s="11" t="str">
        <f>CONCATENATE("     ","Repair and Maintenance                            ")</f>
        <v xml:space="preserve">     Repair and Maintenance                            </v>
      </c>
      <c r="C122" s="11"/>
      <c r="D122" s="2">
        <f>SUM(OSRRefD22_10x_0)</f>
        <v>0</v>
      </c>
      <c r="E122" s="2"/>
      <c r="F122" s="5">
        <f t="shared" si="20"/>
        <v>0</v>
      </c>
      <c r="G122" s="2"/>
      <c r="H122" s="2">
        <f>SUM(OSRRefH22_10x_0)</f>
        <v>0</v>
      </c>
      <c r="I122" s="2"/>
      <c r="J122" s="5">
        <f t="shared" si="21"/>
        <v>0</v>
      </c>
      <c r="K122" s="2"/>
      <c r="L122" s="2">
        <f t="shared" si="22"/>
        <v>0</v>
      </c>
      <c r="M122" s="2"/>
      <c r="N122" s="5">
        <f t="shared" si="23"/>
        <v>0</v>
      </c>
      <c r="O122" s="11"/>
      <c r="P122" s="2">
        <f>SUM(OSRRefP22_10x_0)</f>
        <v>3859.0499999999997</v>
      </c>
      <c r="Q122" s="2"/>
      <c r="R122" s="5">
        <f t="shared" si="24"/>
        <v>8.2353194523213493E-4</v>
      </c>
      <c r="S122" s="2"/>
      <c r="T122" s="2">
        <f>SUM(OSRRefT22_10x_0)</f>
        <v>0</v>
      </c>
      <c r="U122" s="2"/>
      <c r="V122" s="5">
        <f t="shared" si="25"/>
        <v>0</v>
      </c>
      <c r="W122" s="2"/>
      <c r="X122" s="2">
        <f t="shared" si="26"/>
        <v>3859.0499999999997</v>
      </c>
      <c r="Y122" s="2"/>
      <c r="Z122" s="5">
        <f t="shared" si="27"/>
        <v>0</v>
      </c>
    </row>
    <row r="123" spans="1:26" s="69" customFormat="1" ht="15" hidden="1" customHeight="1" outlineLevel="2" x14ac:dyDescent="0.3">
      <c r="A123" s="21"/>
      <c r="B123" s="9" t="str">
        <f>CONCATENATE("          ","6373"," - ","MAINTENANCE CONTRACTS")</f>
        <v xml:space="preserve">          6373 - MAINTENANCE CONTRACTS</v>
      </c>
      <c r="C123" s="9"/>
      <c r="D123" s="6"/>
      <c r="E123" s="3"/>
      <c r="F123" s="7">
        <f t="shared" si="20"/>
        <v>0</v>
      </c>
      <c r="G123" s="3"/>
      <c r="H123" s="6"/>
      <c r="I123" s="3"/>
      <c r="J123" s="7">
        <f t="shared" si="21"/>
        <v>0</v>
      </c>
      <c r="K123" s="3"/>
      <c r="L123" s="6">
        <f t="shared" si="22"/>
        <v>0</v>
      </c>
      <c r="M123" s="3"/>
      <c r="N123" s="7">
        <f t="shared" si="23"/>
        <v>0</v>
      </c>
      <c r="O123" s="9"/>
      <c r="P123" s="6">
        <v>17.739999999999998</v>
      </c>
      <c r="Q123" s="3"/>
      <c r="R123" s="7">
        <f t="shared" si="24"/>
        <v>3.7857650738959259E-6</v>
      </c>
      <c r="S123" s="3"/>
      <c r="T123" s="6"/>
      <c r="U123" s="3"/>
      <c r="V123" s="7">
        <f t="shared" si="25"/>
        <v>0</v>
      </c>
      <c r="W123" s="3"/>
      <c r="X123" s="6">
        <f t="shared" si="26"/>
        <v>17.739999999999998</v>
      </c>
      <c r="Y123" s="3"/>
      <c r="Z123" s="7">
        <f t="shared" si="27"/>
        <v>0</v>
      </c>
    </row>
    <row r="124" spans="1:26" s="69" customFormat="1" ht="15" hidden="1" customHeight="1" outlineLevel="2" x14ac:dyDescent="0.3">
      <c r="A124" s="21"/>
      <c r="B124" s="9" t="str">
        <f>CONCATENATE("          ","6375"," - ","OUTSIDE REPAIRS &amp; MAINTENANCE")</f>
        <v xml:space="preserve">          6375 - OUTSIDE REPAIRS &amp; MAINTENANCE</v>
      </c>
      <c r="C124" s="9"/>
      <c r="D124" s="6"/>
      <c r="E124" s="3"/>
      <c r="F124" s="7">
        <f t="shared" si="20"/>
        <v>0</v>
      </c>
      <c r="G124" s="3"/>
      <c r="H124" s="6"/>
      <c r="I124" s="3"/>
      <c r="J124" s="7">
        <f t="shared" si="21"/>
        <v>0</v>
      </c>
      <c r="K124" s="3"/>
      <c r="L124" s="6">
        <f t="shared" si="22"/>
        <v>0</v>
      </c>
      <c r="M124" s="3"/>
      <c r="N124" s="7">
        <f t="shared" si="23"/>
        <v>0</v>
      </c>
      <c r="O124" s="9"/>
      <c r="P124" s="6">
        <v>3841.31</v>
      </c>
      <c r="Q124" s="3"/>
      <c r="R124" s="7">
        <f t="shared" si="24"/>
        <v>8.1974618015823902E-4</v>
      </c>
      <c r="S124" s="3"/>
      <c r="T124" s="6"/>
      <c r="U124" s="3"/>
      <c r="V124" s="7">
        <f t="shared" si="25"/>
        <v>0</v>
      </c>
      <c r="W124" s="3"/>
      <c r="X124" s="6">
        <f t="shared" si="26"/>
        <v>3841.31</v>
      </c>
      <c r="Y124" s="3"/>
      <c r="Z124" s="7">
        <f t="shared" si="27"/>
        <v>0</v>
      </c>
    </row>
    <row r="125" spans="1:26" s="68" customFormat="1" ht="15" customHeight="1" outlineLevel="1" collapsed="1" x14ac:dyDescent="0.3">
      <c r="A125" s="20"/>
      <c r="B125" s="11" t="str">
        <f>CONCATENATE("     ","Royalty &amp; Commissions                             ")</f>
        <v xml:space="preserve">     Royalty &amp; Commissions                             </v>
      </c>
      <c r="C125" s="11"/>
      <c r="D125" s="2">
        <f>SUM(OSRRefD22_11x_0)</f>
        <v>108</v>
      </c>
      <c r="E125" s="2"/>
      <c r="F125" s="5">
        <f t="shared" si="20"/>
        <v>4.4218795747773206E-4</v>
      </c>
      <c r="G125" s="2"/>
      <c r="H125" s="2">
        <f>SUM(OSRRefH22_11x_0)</f>
        <v>0</v>
      </c>
      <c r="I125" s="2"/>
      <c r="J125" s="5">
        <f t="shared" si="21"/>
        <v>0</v>
      </c>
      <c r="K125" s="2"/>
      <c r="L125" s="2">
        <f t="shared" si="22"/>
        <v>108</v>
      </c>
      <c r="M125" s="2"/>
      <c r="N125" s="5">
        <f t="shared" si="23"/>
        <v>0</v>
      </c>
      <c r="O125" s="11"/>
      <c r="P125" s="2">
        <f>SUM(OSRRefP22_11x_0)</f>
        <v>72264.009999999995</v>
      </c>
      <c r="Q125" s="2"/>
      <c r="R125" s="5">
        <f t="shared" si="24"/>
        <v>1.5421339636847008E-2</v>
      </c>
      <c r="S125" s="2"/>
      <c r="T125" s="2">
        <f>SUM(OSRRefT22_11x_0)</f>
        <v>35159.06</v>
      </c>
      <c r="U125" s="2"/>
      <c r="V125" s="5">
        <f t="shared" si="25"/>
        <v>1.5604673589767255E-2</v>
      </c>
      <c r="W125" s="2"/>
      <c r="X125" s="2">
        <f t="shared" si="26"/>
        <v>37104.949999999997</v>
      </c>
      <c r="Y125" s="2"/>
      <c r="Z125" s="5">
        <f t="shared" si="27"/>
        <v>1.0553453363087637</v>
      </c>
    </row>
    <row r="126" spans="1:26" s="69" customFormat="1" ht="15" hidden="1" customHeight="1" outlineLevel="2" x14ac:dyDescent="0.3">
      <c r="A126" s="21"/>
      <c r="B126" s="9" t="str">
        <f>CONCATENATE("          ","6253"," - ","ROYALTY DUE ATHLETICS-LRG")</f>
        <v xml:space="preserve">          6253 - ROYALTY DUE ATHLETICS-LRG</v>
      </c>
      <c r="C126" s="9"/>
      <c r="D126" s="6"/>
      <c r="E126" s="3"/>
      <c r="F126" s="7">
        <f t="shared" si="20"/>
        <v>0</v>
      </c>
      <c r="G126" s="3"/>
      <c r="H126" s="6"/>
      <c r="I126" s="3"/>
      <c r="J126" s="7">
        <f t="shared" si="21"/>
        <v>0</v>
      </c>
      <c r="K126" s="3"/>
      <c r="L126" s="6">
        <f t="shared" si="22"/>
        <v>0</v>
      </c>
      <c r="M126" s="3"/>
      <c r="N126" s="7">
        <f t="shared" si="23"/>
        <v>0</v>
      </c>
      <c r="O126" s="9"/>
      <c r="P126" s="6">
        <v>51456.52</v>
      </c>
      <c r="Q126" s="3"/>
      <c r="R126" s="7">
        <f t="shared" si="24"/>
        <v>1.0980963711399503E-2</v>
      </c>
      <c r="S126" s="3"/>
      <c r="T126" s="6">
        <v>35159.06</v>
      </c>
      <c r="U126" s="3"/>
      <c r="V126" s="7">
        <f t="shared" si="25"/>
        <v>1.5604673589767255E-2</v>
      </c>
      <c r="W126" s="3"/>
      <c r="X126" s="6">
        <f t="shared" si="26"/>
        <v>16297.46</v>
      </c>
      <c r="Y126" s="3"/>
      <c r="Z126" s="7">
        <f t="shared" si="27"/>
        <v>0.46353514570639831</v>
      </c>
    </row>
    <row r="127" spans="1:26" s="69" customFormat="1" ht="15" hidden="1" customHeight="1" outlineLevel="2" x14ac:dyDescent="0.3">
      <c r="A127" s="21"/>
      <c r="B127" s="9" t="str">
        <f>CONCATENATE("          ","6254"," - ","ROYALTY &amp; COMMISSIONS")</f>
        <v xml:space="preserve">          6254 - ROYALTY &amp; COMMISSIONS</v>
      </c>
      <c r="C127" s="9"/>
      <c r="D127" s="6">
        <v>108</v>
      </c>
      <c r="E127" s="3"/>
      <c r="F127" s="7">
        <f t="shared" si="20"/>
        <v>4.4218795747773206E-4</v>
      </c>
      <c r="G127" s="3"/>
      <c r="H127" s="6"/>
      <c r="I127" s="3"/>
      <c r="J127" s="7">
        <f t="shared" si="21"/>
        <v>0</v>
      </c>
      <c r="K127" s="3"/>
      <c r="L127" s="6">
        <f t="shared" si="22"/>
        <v>108</v>
      </c>
      <c r="M127" s="3"/>
      <c r="N127" s="7">
        <f t="shared" si="23"/>
        <v>0</v>
      </c>
      <c r="O127" s="9"/>
      <c r="P127" s="6">
        <v>20807.490000000002</v>
      </c>
      <c r="Q127" s="3"/>
      <c r="R127" s="7">
        <f t="shared" si="24"/>
        <v>4.4403759254475058E-3</v>
      </c>
      <c r="S127" s="3"/>
      <c r="T127" s="6"/>
      <c r="U127" s="3"/>
      <c r="V127" s="7">
        <f t="shared" si="25"/>
        <v>0</v>
      </c>
      <c r="W127" s="3"/>
      <c r="X127" s="6">
        <f t="shared" si="26"/>
        <v>20807.490000000002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0"/>
      <c r="B128" s="11" t="str">
        <f>CONCATENATE("     ","Subscriptions &amp; Dues                              ")</f>
        <v xml:space="preserve">     Subscriptions &amp; Dues                              </v>
      </c>
      <c r="C128" s="11"/>
      <c r="D128" s="2">
        <f>SUM(OSRRefD22_12x_0)</f>
        <v>0</v>
      </c>
      <c r="E128" s="2"/>
      <c r="F128" s="5">
        <f t="shared" si="20"/>
        <v>0</v>
      </c>
      <c r="G128" s="2"/>
      <c r="H128" s="2">
        <f>SUM(OSRRefH22_12x_0)</f>
        <v>0</v>
      </c>
      <c r="I128" s="2"/>
      <c r="J128" s="5">
        <f t="shared" si="21"/>
        <v>0</v>
      </c>
      <c r="K128" s="2"/>
      <c r="L128" s="2">
        <f t="shared" si="22"/>
        <v>0</v>
      </c>
      <c r="M128" s="2"/>
      <c r="N128" s="5">
        <f t="shared" si="23"/>
        <v>0</v>
      </c>
      <c r="O128" s="11"/>
      <c r="P128" s="2">
        <f>SUM(OSRRefP22_12x_0)</f>
        <v>125</v>
      </c>
      <c r="Q128" s="2"/>
      <c r="R128" s="5">
        <f t="shared" si="24"/>
        <v>2.6675345785625185E-5</v>
      </c>
      <c r="S128" s="2"/>
      <c r="T128" s="2">
        <f>SUM(OSRRefT22_12x_0)</f>
        <v>-206.41999999999996</v>
      </c>
      <c r="U128" s="2"/>
      <c r="V128" s="5">
        <f t="shared" si="25"/>
        <v>-9.1615552930020207E-5</v>
      </c>
      <c r="W128" s="2"/>
      <c r="X128" s="2">
        <f t="shared" si="26"/>
        <v>331.41999999999996</v>
      </c>
      <c r="Y128" s="2"/>
      <c r="Z128" s="5">
        <f t="shared" si="27"/>
        <v>-1.6055614766011046</v>
      </c>
    </row>
    <row r="129" spans="1:26" s="69" customFormat="1" ht="15" hidden="1" customHeight="1" outlineLevel="2" x14ac:dyDescent="0.3">
      <c r="A129" s="21"/>
      <c r="B129" s="9" t="str">
        <f>CONCATENATE("          ","6258"," - ","MEMBERSHIP DUES")</f>
        <v xml:space="preserve">          6258 - MEMBERSHIP DUES</v>
      </c>
      <c r="C129" s="9"/>
      <c r="D129" s="6"/>
      <c r="E129" s="3"/>
      <c r="F129" s="7">
        <f t="shared" si="20"/>
        <v>0</v>
      </c>
      <c r="G129" s="3"/>
      <c r="H129" s="6"/>
      <c r="I129" s="3"/>
      <c r="J129" s="7">
        <f t="shared" si="21"/>
        <v>0</v>
      </c>
      <c r="K129" s="3"/>
      <c r="L129" s="6">
        <f t="shared" si="22"/>
        <v>0</v>
      </c>
      <c r="M129" s="3"/>
      <c r="N129" s="7">
        <f t="shared" si="23"/>
        <v>0</v>
      </c>
      <c r="O129" s="9"/>
      <c r="P129" s="6">
        <v>125</v>
      </c>
      <c r="Q129" s="3"/>
      <c r="R129" s="7">
        <f t="shared" si="24"/>
        <v>2.6675345785625185E-5</v>
      </c>
      <c r="S129" s="3"/>
      <c r="T129" s="6">
        <v>-282.14999999999998</v>
      </c>
      <c r="U129" s="3"/>
      <c r="V129" s="7">
        <f t="shared" si="25"/>
        <v>-1.252268591183277E-4</v>
      </c>
      <c r="W129" s="3"/>
      <c r="X129" s="6">
        <f t="shared" si="26"/>
        <v>407.15</v>
      </c>
      <c r="Y129" s="3"/>
      <c r="Z129" s="7">
        <f t="shared" si="27"/>
        <v>-1.4430267588162324</v>
      </c>
    </row>
    <row r="130" spans="1:26" s="69" customFormat="1" ht="15" hidden="1" customHeight="1" outlineLevel="2" x14ac:dyDescent="0.3">
      <c r="A130" s="21"/>
      <c r="B130" s="9" t="str">
        <f>CONCATENATE("          ","6275"," - ","SUBSCRIPTIONS")</f>
        <v xml:space="preserve">          6275 - SUBSCRIPTIONS</v>
      </c>
      <c r="C130" s="9"/>
      <c r="D130" s="6"/>
      <c r="E130" s="3"/>
      <c r="F130" s="7">
        <f t="shared" si="20"/>
        <v>0</v>
      </c>
      <c r="G130" s="3"/>
      <c r="H130" s="6"/>
      <c r="I130" s="3"/>
      <c r="J130" s="7">
        <f t="shared" si="21"/>
        <v>0</v>
      </c>
      <c r="K130" s="3"/>
      <c r="L130" s="6">
        <f t="shared" si="22"/>
        <v>0</v>
      </c>
      <c r="M130" s="3"/>
      <c r="N130" s="7">
        <f t="shared" si="23"/>
        <v>0</v>
      </c>
      <c r="O130" s="9"/>
      <c r="P130" s="6"/>
      <c r="Q130" s="3"/>
      <c r="R130" s="7">
        <f t="shared" si="24"/>
        <v>0</v>
      </c>
      <c r="S130" s="3"/>
      <c r="T130" s="6">
        <v>75.73</v>
      </c>
      <c r="U130" s="3"/>
      <c r="V130" s="7">
        <f t="shared" si="25"/>
        <v>3.361130618830749E-5</v>
      </c>
      <c r="W130" s="3"/>
      <c r="X130" s="6">
        <f t="shared" si="26"/>
        <v>-75.73</v>
      </c>
      <c r="Y130" s="3"/>
      <c r="Z130" s="7">
        <f t="shared" si="27"/>
        <v>-1</v>
      </c>
    </row>
    <row r="131" spans="1:26" s="68" customFormat="1" ht="15" customHeight="1" outlineLevel="1" collapsed="1" x14ac:dyDescent="0.3">
      <c r="A131" s="20"/>
      <c r="B131" s="11" t="str">
        <f>CONCATENATE("     ","Supplies                                          ")</f>
        <v xml:space="preserve">     Supplies                                          </v>
      </c>
      <c r="C131" s="11"/>
      <c r="D131" s="2">
        <f>SUM(OSRRefD22_13x_0)</f>
        <v>1250.27</v>
      </c>
      <c r="E131" s="2"/>
      <c r="F131" s="5">
        <f t="shared" si="20"/>
        <v>5.1190216444044817E-3</v>
      </c>
      <c r="G131" s="2"/>
      <c r="H131" s="2">
        <f>SUM(OSRRefH22_13x_0)</f>
        <v>910.76</v>
      </c>
      <c r="I131" s="2"/>
      <c r="J131" s="5">
        <f t="shared" si="21"/>
        <v>4.1024471261969595E-3</v>
      </c>
      <c r="K131" s="2"/>
      <c r="L131" s="2">
        <f t="shared" si="22"/>
        <v>339.51</v>
      </c>
      <c r="M131" s="2"/>
      <c r="N131" s="5">
        <f t="shared" si="23"/>
        <v>0.3727765821950898</v>
      </c>
      <c r="O131" s="11"/>
      <c r="P131" s="2">
        <f>SUM(OSRRefP22_13x_0)</f>
        <v>12696.410000000002</v>
      </c>
      <c r="Q131" s="2"/>
      <c r="R131" s="5">
        <f t="shared" si="24"/>
        <v>2.7094490158885562E-3</v>
      </c>
      <c r="S131" s="2"/>
      <c r="T131" s="2">
        <f>SUM(OSRRefT22_13x_0)</f>
        <v>4722.29</v>
      </c>
      <c r="U131" s="2"/>
      <c r="V131" s="5">
        <f t="shared" si="25"/>
        <v>2.095897730093524E-3</v>
      </c>
      <c r="W131" s="2"/>
      <c r="X131" s="2">
        <f t="shared" si="26"/>
        <v>7974.1200000000017</v>
      </c>
      <c r="Y131" s="2"/>
      <c r="Z131" s="5">
        <f t="shared" si="27"/>
        <v>1.6886129399083922</v>
      </c>
    </row>
    <row r="132" spans="1:26" s="69" customFormat="1" ht="15" hidden="1" customHeight="1" outlineLevel="2" x14ac:dyDescent="0.3">
      <c r="A132" s="21"/>
      <c r="B132" s="9" t="str">
        <f>CONCATENATE("          ","6234"," - ","EXPENDABLE SUPPLIES &amp; EQUIPMEN")</f>
        <v xml:space="preserve">          6234 - EXPENDABLE SUPPLIES &amp; EQUIPMEN</v>
      </c>
      <c r="C132" s="9"/>
      <c r="D132" s="6"/>
      <c r="E132" s="3"/>
      <c r="F132" s="7">
        <f t="shared" si="20"/>
        <v>0</v>
      </c>
      <c r="G132" s="3"/>
      <c r="H132" s="6"/>
      <c r="I132" s="3"/>
      <c r="J132" s="7">
        <f t="shared" si="21"/>
        <v>0</v>
      </c>
      <c r="K132" s="3"/>
      <c r="L132" s="6">
        <f t="shared" si="22"/>
        <v>0</v>
      </c>
      <c r="M132" s="3"/>
      <c r="N132" s="7">
        <f t="shared" si="23"/>
        <v>0</v>
      </c>
      <c r="O132" s="9"/>
      <c r="P132" s="6"/>
      <c r="Q132" s="3"/>
      <c r="R132" s="7">
        <f t="shared" si="24"/>
        <v>0</v>
      </c>
      <c r="S132" s="3"/>
      <c r="T132" s="6">
        <v>449.5</v>
      </c>
      <c r="U132" s="3"/>
      <c r="V132" s="7">
        <f t="shared" si="25"/>
        <v>1.995019428448992E-4</v>
      </c>
      <c r="W132" s="3"/>
      <c r="X132" s="6">
        <f t="shared" si="26"/>
        <v>-449.5</v>
      </c>
      <c r="Y132" s="3"/>
      <c r="Z132" s="7">
        <f t="shared" si="27"/>
        <v>-1</v>
      </c>
    </row>
    <row r="133" spans="1:26" s="69" customFormat="1" ht="15" hidden="1" customHeight="1" outlineLevel="2" x14ac:dyDescent="0.3">
      <c r="A133" s="21"/>
      <c r="B133" s="9" t="str">
        <f>CONCATENATE("          ","6235"," - ","COVID-19 EXPENSES")</f>
        <v xml:space="preserve">          6235 - COVID-19 EXPENSES</v>
      </c>
      <c r="C133" s="9"/>
      <c r="D133" s="6"/>
      <c r="E133" s="3"/>
      <c r="F133" s="7">
        <f t="shared" si="20"/>
        <v>0</v>
      </c>
      <c r="G133" s="3"/>
      <c r="H133" s="6"/>
      <c r="I133" s="3"/>
      <c r="J133" s="7">
        <f t="shared" si="21"/>
        <v>0</v>
      </c>
      <c r="K133" s="3"/>
      <c r="L133" s="6">
        <f t="shared" si="22"/>
        <v>0</v>
      </c>
      <c r="M133" s="3"/>
      <c r="N133" s="7">
        <f t="shared" si="23"/>
        <v>0</v>
      </c>
      <c r="O133" s="9"/>
      <c r="P133" s="6"/>
      <c r="Q133" s="3"/>
      <c r="R133" s="7">
        <f t="shared" si="24"/>
        <v>0</v>
      </c>
      <c r="S133" s="3"/>
      <c r="T133" s="6">
        <v>1026.43</v>
      </c>
      <c r="U133" s="3"/>
      <c r="V133" s="7">
        <f t="shared" si="25"/>
        <v>4.5556124403624005E-4</v>
      </c>
      <c r="W133" s="3"/>
      <c r="X133" s="6">
        <f t="shared" si="26"/>
        <v>-1026.43</v>
      </c>
      <c r="Y133" s="3"/>
      <c r="Z133" s="7">
        <f t="shared" si="27"/>
        <v>-1</v>
      </c>
    </row>
    <row r="134" spans="1:26" s="69" customFormat="1" ht="15" hidden="1" customHeight="1" outlineLevel="2" x14ac:dyDescent="0.3">
      <c r="A134" s="21"/>
      <c r="B134" s="9" t="str">
        <f>CONCATENATE("          ","6241"," - ","OFFICE EXPENSE")</f>
        <v xml:space="preserve">          6241 - OFFICE EXPENSE</v>
      </c>
      <c r="C134" s="9"/>
      <c r="D134" s="6">
        <v>360.24</v>
      </c>
      <c r="E134" s="3"/>
      <c r="F134" s="7">
        <f t="shared" si="20"/>
        <v>1.474942498164613E-3</v>
      </c>
      <c r="G134" s="3"/>
      <c r="H134" s="6">
        <v>432.21</v>
      </c>
      <c r="I134" s="3"/>
      <c r="J134" s="7">
        <f t="shared" si="21"/>
        <v>1.9468561118336201E-3</v>
      </c>
      <c r="K134" s="3"/>
      <c r="L134" s="6">
        <f t="shared" si="22"/>
        <v>-71.96999999999997</v>
      </c>
      <c r="M134" s="3"/>
      <c r="N134" s="7">
        <f t="shared" si="23"/>
        <v>-0.16651627680988401</v>
      </c>
      <c r="O134" s="9"/>
      <c r="P134" s="6">
        <v>2442.3200000000002</v>
      </c>
      <c r="Q134" s="3"/>
      <c r="R134" s="7">
        <f t="shared" si="24"/>
        <v>5.2119784415318479E-4</v>
      </c>
      <c r="S134" s="3"/>
      <c r="T134" s="6">
        <v>1657.58</v>
      </c>
      <c r="U134" s="3"/>
      <c r="V134" s="7">
        <f t="shared" si="25"/>
        <v>7.3568505099187546E-4</v>
      </c>
      <c r="W134" s="3"/>
      <c r="X134" s="6">
        <f t="shared" si="26"/>
        <v>784.74000000000024</v>
      </c>
      <c r="Y134" s="3"/>
      <c r="Z134" s="7">
        <f t="shared" si="27"/>
        <v>0.47342511372000162</v>
      </c>
    </row>
    <row r="135" spans="1:26" s="69" customFormat="1" ht="15" hidden="1" customHeight="1" outlineLevel="2" x14ac:dyDescent="0.3">
      <c r="A135" s="21"/>
      <c r="B135" s="9" t="str">
        <f>CONCATENATE("          ","6245"," - ","PRINTING")</f>
        <v xml:space="preserve">          6245 - PRINTING</v>
      </c>
      <c r="C135" s="9"/>
      <c r="D135" s="6"/>
      <c r="E135" s="3"/>
      <c r="F135" s="7">
        <f t="shared" si="20"/>
        <v>0</v>
      </c>
      <c r="G135" s="3"/>
      <c r="H135" s="6">
        <v>0</v>
      </c>
      <c r="I135" s="3"/>
      <c r="J135" s="7">
        <f t="shared" si="21"/>
        <v>0</v>
      </c>
      <c r="K135" s="3"/>
      <c r="L135" s="6">
        <f t="shared" si="22"/>
        <v>0</v>
      </c>
      <c r="M135" s="3"/>
      <c r="N135" s="7">
        <f t="shared" si="23"/>
        <v>0</v>
      </c>
      <c r="O135" s="9"/>
      <c r="P135" s="6">
        <v>35.549999999999997</v>
      </c>
      <c r="Q135" s="3"/>
      <c r="R135" s="7">
        <f t="shared" si="24"/>
        <v>7.5864683414318017E-6</v>
      </c>
      <c r="S135" s="3"/>
      <c r="T135" s="6">
        <v>0</v>
      </c>
      <c r="U135" s="3"/>
      <c r="V135" s="7">
        <f t="shared" si="25"/>
        <v>0</v>
      </c>
      <c r="W135" s="3"/>
      <c r="X135" s="6">
        <f t="shared" si="26"/>
        <v>35.549999999999997</v>
      </c>
      <c r="Y135" s="3"/>
      <c r="Z135" s="7">
        <f t="shared" si="27"/>
        <v>0</v>
      </c>
    </row>
    <row r="136" spans="1:26" s="69" customFormat="1" ht="15" hidden="1" customHeight="1" outlineLevel="2" x14ac:dyDescent="0.3">
      <c r="A136" s="21"/>
      <c r="B136" s="9" t="str">
        <f>CONCATENATE("          ","6247"," - ","STORE SUPPLIES")</f>
        <v xml:space="preserve">          6247 - STORE SUPPLIES</v>
      </c>
      <c r="C136" s="9"/>
      <c r="D136" s="6">
        <v>890.03</v>
      </c>
      <c r="E136" s="3"/>
      <c r="F136" s="7">
        <f t="shared" si="20"/>
        <v>3.6440791462398689E-3</v>
      </c>
      <c r="G136" s="3"/>
      <c r="H136" s="6">
        <v>478.55</v>
      </c>
      <c r="I136" s="3"/>
      <c r="J136" s="7">
        <f t="shared" si="21"/>
        <v>2.1555910143633396E-3</v>
      </c>
      <c r="K136" s="3"/>
      <c r="L136" s="6">
        <f t="shared" si="22"/>
        <v>411.47999999999996</v>
      </c>
      <c r="M136" s="3"/>
      <c r="N136" s="7">
        <f t="shared" si="23"/>
        <v>0.85984745585623223</v>
      </c>
      <c r="O136" s="9"/>
      <c r="P136" s="6">
        <v>10218.540000000001</v>
      </c>
      <c r="Q136" s="3"/>
      <c r="R136" s="7">
        <f t="shared" si="24"/>
        <v>2.1806647033939391E-3</v>
      </c>
      <c r="S136" s="3"/>
      <c r="T136" s="6">
        <v>1588.78</v>
      </c>
      <c r="U136" s="3"/>
      <c r="V136" s="7">
        <f t="shared" si="25"/>
        <v>7.0514949222050933E-4</v>
      </c>
      <c r="W136" s="3"/>
      <c r="X136" s="6">
        <f t="shared" si="26"/>
        <v>8629.76</v>
      </c>
      <c r="Y136" s="3"/>
      <c r="Z136" s="7">
        <f t="shared" si="27"/>
        <v>5.431689724190889</v>
      </c>
    </row>
    <row r="137" spans="1:26" s="68" customFormat="1" ht="15" customHeight="1" outlineLevel="1" collapsed="1" x14ac:dyDescent="0.3">
      <c r="A137" s="20"/>
      <c r="B137" s="11" t="str">
        <f>CONCATENATE("     ","Telephone/Data Lines                              ")</f>
        <v xml:space="preserve">     Telephone/Data Lines                              </v>
      </c>
      <c r="C137" s="11"/>
      <c r="D137" s="2">
        <f>SUM(OSRRefD22_14x_0)</f>
        <v>228.25</v>
      </c>
      <c r="E137" s="2"/>
      <c r="F137" s="5">
        <f t="shared" si="20"/>
        <v>9.3453149346566986E-4</v>
      </c>
      <c r="G137" s="2"/>
      <c r="H137" s="2">
        <f>SUM(OSRRefH22_14x_0)</f>
        <v>255.1</v>
      </c>
      <c r="I137" s="2"/>
      <c r="J137" s="5">
        <f t="shared" si="21"/>
        <v>1.1490779809091795E-3</v>
      </c>
      <c r="K137" s="2"/>
      <c r="L137" s="2">
        <f t="shared" si="22"/>
        <v>-26.849999999999994</v>
      </c>
      <c r="M137" s="2"/>
      <c r="N137" s="5">
        <f t="shared" si="23"/>
        <v>-0.10525284202273616</v>
      </c>
      <c r="O137" s="11"/>
      <c r="P137" s="2">
        <f>SUM(OSRRefP22_14x_0)</f>
        <v>2795.4</v>
      </c>
      <c r="Q137" s="2"/>
      <c r="R137" s="5">
        <f t="shared" si="24"/>
        <v>5.965460928730931E-4</v>
      </c>
      <c r="S137" s="2"/>
      <c r="T137" s="2">
        <f>SUM(OSRRefT22_14x_0)</f>
        <v>3412.44</v>
      </c>
      <c r="U137" s="2"/>
      <c r="V137" s="5">
        <f t="shared" si="25"/>
        <v>1.514545961827915E-3</v>
      </c>
      <c r="W137" s="2"/>
      <c r="X137" s="2">
        <f t="shared" si="26"/>
        <v>-617.04</v>
      </c>
      <c r="Y137" s="2"/>
      <c r="Z137" s="5">
        <f t="shared" si="27"/>
        <v>-0.18082076168372191</v>
      </c>
    </row>
    <row r="138" spans="1:26" s="69" customFormat="1" ht="15" hidden="1" customHeight="1" outlineLevel="2" x14ac:dyDescent="0.3">
      <c r="A138" s="21"/>
      <c r="B138" s="9" t="str">
        <f>CONCATENATE("          ","6309"," - ","TELEPHONE")</f>
        <v xml:space="preserve">          6309 - TELEPHONE</v>
      </c>
      <c r="C138" s="9"/>
      <c r="D138" s="6">
        <v>228.25</v>
      </c>
      <c r="E138" s="3"/>
      <c r="F138" s="7">
        <f t="shared" si="20"/>
        <v>9.3453149346566986E-4</v>
      </c>
      <c r="G138" s="3"/>
      <c r="H138" s="6">
        <v>255.1</v>
      </c>
      <c r="I138" s="3"/>
      <c r="J138" s="7">
        <f t="shared" si="21"/>
        <v>1.1490779809091795E-3</v>
      </c>
      <c r="K138" s="3"/>
      <c r="L138" s="6">
        <f t="shared" si="22"/>
        <v>-26.849999999999994</v>
      </c>
      <c r="M138" s="3"/>
      <c r="N138" s="7">
        <f t="shared" si="23"/>
        <v>-0.10525284202273616</v>
      </c>
      <c r="O138" s="9"/>
      <c r="P138" s="6">
        <v>2795.4</v>
      </c>
      <c r="Q138" s="3"/>
      <c r="R138" s="7">
        <f t="shared" si="24"/>
        <v>5.965460928730931E-4</v>
      </c>
      <c r="S138" s="3"/>
      <c r="T138" s="6">
        <v>3412.44</v>
      </c>
      <c r="U138" s="3"/>
      <c r="V138" s="7">
        <f t="shared" si="25"/>
        <v>1.514545961827915E-3</v>
      </c>
      <c r="W138" s="3"/>
      <c r="X138" s="6">
        <f t="shared" si="26"/>
        <v>-617.04</v>
      </c>
      <c r="Y138" s="3"/>
      <c r="Z138" s="7">
        <f t="shared" si="27"/>
        <v>-0.18082076168372191</v>
      </c>
    </row>
    <row r="139" spans="1:26" s="68" customFormat="1" ht="15" customHeight="1" outlineLevel="1" collapsed="1" x14ac:dyDescent="0.3">
      <c r="A139" s="20"/>
      <c r="B139" s="11" t="str">
        <f>CONCATENATE("     ","Training                                          ")</f>
        <v xml:space="preserve">     Training                                          </v>
      </c>
      <c r="C139" s="11"/>
      <c r="D139" s="2">
        <f>SUM(OSRRefD22_15x_0)</f>
        <v>0</v>
      </c>
      <c r="E139" s="2"/>
      <c r="F139" s="5">
        <f t="shared" si="20"/>
        <v>0</v>
      </c>
      <c r="G139" s="2"/>
      <c r="H139" s="2">
        <f>SUM(OSRRefH22_15x_0)</f>
        <v>0</v>
      </c>
      <c r="I139" s="2"/>
      <c r="J139" s="5">
        <f t="shared" si="21"/>
        <v>0</v>
      </c>
      <c r="K139" s="2"/>
      <c r="L139" s="2">
        <f t="shared" si="22"/>
        <v>0</v>
      </c>
      <c r="M139" s="2"/>
      <c r="N139" s="5">
        <f t="shared" si="23"/>
        <v>0</v>
      </c>
      <c r="O139" s="11"/>
      <c r="P139" s="2">
        <f>SUM(OSRRefP22_15x_0)</f>
        <v>300</v>
      </c>
      <c r="Q139" s="2"/>
      <c r="R139" s="5">
        <f t="shared" si="24"/>
        <v>6.4020829885500448E-5</v>
      </c>
      <c r="S139" s="2"/>
      <c r="T139" s="2">
        <f>SUM(OSRRefT22_15x_0)</f>
        <v>0</v>
      </c>
      <c r="U139" s="2"/>
      <c r="V139" s="5">
        <f t="shared" si="25"/>
        <v>0</v>
      </c>
      <c r="W139" s="2"/>
      <c r="X139" s="2">
        <f t="shared" si="26"/>
        <v>300</v>
      </c>
      <c r="Y139" s="2"/>
      <c r="Z139" s="5">
        <f t="shared" si="27"/>
        <v>0</v>
      </c>
    </row>
    <row r="140" spans="1:26" s="69" customFormat="1" ht="15" hidden="1" customHeight="1" outlineLevel="2" x14ac:dyDescent="0.3">
      <c r="A140" s="21"/>
      <c r="B140" s="9" t="str">
        <f>CONCATENATE("          ","6376"," - ","TRAINING")</f>
        <v xml:space="preserve">          6376 - TRAINING</v>
      </c>
      <c r="C140" s="9"/>
      <c r="D140" s="6"/>
      <c r="E140" s="3"/>
      <c r="F140" s="7">
        <f t="shared" si="20"/>
        <v>0</v>
      </c>
      <c r="G140" s="3"/>
      <c r="H140" s="6"/>
      <c r="I140" s="3"/>
      <c r="J140" s="7">
        <f t="shared" si="21"/>
        <v>0</v>
      </c>
      <c r="K140" s="3"/>
      <c r="L140" s="6">
        <f t="shared" si="22"/>
        <v>0</v>
      </c>
      <c r="M140" s="3"/>
      <c r="N140" s="7">
        <f t="shared" si="23"/>
        <v>0</v>
      </c>
      <c r="O140" s="9"/>
      <c r="P140" s="6">
        <v>300</v>
      </c>
      <c r="Q140" s="3"/>
      <c r="R140" s="7">
        <f t="shared" si="24"/>
        <v>6.4020829885500448E-5</v>
      </c>
      <c r="S140" s="3"/>
      <c r="T140" s="6"/>
      <c r="U140" s="3"/>
      <c r="V140" s="7">
        <f t="shared" si="25"/>
        <v>0</v>
      </c>
      <c r="W140" s="3"/>
      <c r="X140" s="6">
        <f t="shared" si="26"/>
        <v>300</v>
      </c>
      <c r="Y140" s="3"/>
      <c r="Z140" s="7">
        <f t="shared" si="27"/>
        <v>0</v>
      </c>
    </row>
    <row r="141" spans="1:26" s="68" customFormat="1" ht="15" customHeight="1" outlineLevel="1" collapsed="1" x14ac:dyDescent="0.3">
      <c r="A141" s="20"/>
      <c r="B141" s="11" t="str">
        <f>CONCATENATE("     ","Travel                                            ")</f>
        <v xml:space="preserve">     Travel                                            </v>
      </c>
      <c r="C141" s="11"/>
      <c r="D141" s="2">
        <f>SUM(OSRRefD22_16x_0)</f>
        <v>985.83</v>
      </c>
      <c r="E141" s="2"/>
      <c r="F141" s="5">
        <f t="shared" si="20"/>
        <v>4.0363162418543758E-3</v>
      </c>
      <c r="G141" s="2"/>
      <c r="H141" s="2">
        <f>SUM(OSRRefH22_16x_0)</f>
        <v>0</v>
      </c>
      <c r="I141" s="2"/>
      <c r="J141" s="5">
        <f t="shared" si="21"/>
        <v>0</v>
      </c>
      <c r="K141" s="2"/>
      <c r="L141" s="2">
        <f t="shared" si="22"/>
        <v>985.83</v>
      </c>
      <c r="M141" s="2"/>
      <c r="N141" s="5">
        <f t="shared" si="23"/>
        <v>0</v>
      </c>
      <c r="O141" s="11"/>
      <c r="P141" s="2">
        <f>SUM(OSRRefP22_16x_0)</f>
        <v>1231.6600000000001</v>
      </c>
      <c r="Q141" s="2"/>
      <c r="R141" s="5">
        <f t="shared" si="24"/>
        <v>2.6283965112258495E-4</v>
      </c>
      <c r="S141" s="2"/>
      <c r="T141" s="2">
        <f>SUM(OSRRefT22_16x_0)</f>
        <v>113.82</v>
      </c>
      <c r="U141" s="2"/>
      <c r="V141" s="5">
        <f t="shared" si="25"/>
        <v>5.0516821211582706E-5</v>
      </c>
      <c r="W141" s="2"/>
      <c r="X141" s="2">
        <f t="shared" si="26"/>
        <v>1117.8400000000001</v>
      </c>
      <c r="Y141" s="2"/>
      <c r="Z141" s="5">
        <f t="shared" si="27"/>
        <v>9.821121068353543</v>
      </c>
    </row>
    <row r="142" spans="1:26" s="69" customFormat="1" ht="15" hidden="1" customHeight="1" outlineLevel="2" x14ac:dyDescent="0.3">
      <c r="A142" s="21"/>
      <c r="B142" s="9" t="str">
        <f>CONCATENATE("          ","6294"," - ","TRAVEL OPERATIONAL")</f>
        <v xml:space="preserve">          6294 - TRAVEL OPERATIONAL</v>
      </c>
      <c r="C142" s="9"/>
      <c r="D142" s="6">
        <v>985.83</v>
      </c>
      <c r="E142" s="3"/>
      <c r="F142" s="7">
        <f t="shared" si="20"/>
        <v>4.0363162418543758E-3</v>
      </c>
      <c r="G142" s="3"/>
      <c r="H142" s="6"/>
      <c r="I142" s="3"/>
      <c r="J142" s="7">
        <f t="shared" si="21"/>
        <v>0</v>
      </c>
      <c r="K142" s="3"/>
      <c r="L142" s="6">
        <f t="shared" si="22"/>
        <v>985.83</v>
      </c>
      <c r="M142" s="3"/>
      <c r="N142" s="7">
        <f t="shared" si="23"/>
        <v>0</v>
      </c>
      <c r="O142" s="9"/>
      <c r="P142" s="6">
        <v>1231.6600000000001</v>
      </c>
      <c r="Q142" s="3"/>
      <c r="R142" s="7">
        <f t="shared" si="24"/>
        <v>2.6283965112258495E-4</v>
      </c>
      <c r="S142" s="3"/>
      <c r="T142" s="6">
        <v>113.82</v>
      </c>
      <c r="U142" s="3"/>
      <c r="V142" s="7">
        <f t="shared" si="25"/>
        <v>5.0516821211582706E-5</v>
      </c>
      <c r="W142" s="3"/>
      <c r="X142" s="6">
        <f t="shared" si="26"/>
        <v>1117.8400000000001</v>
      </c>
      <c r="Y142" s="3"/>
      <c r="Z142" s="7">
        <f t="shared" si="27"/>
        <v>9.821121068353543</v>
      </c>
    </row>
    <row r="143" spans="1:26" s="64" customFormat="1" ht="15" customHeight="1" x14ac:dyDescent="0.3">
      <c r="A143" s="37"/>
      <c r="B143" s="37"/>
      <c r="C143" s="37"/>
      <c r="D143" s="2"/>
      <c r="E143" s="2"/>
      <c r="F143" s="5"/>
      <c r="G143" s="2"/>
      <c r="H143" s="2"/>
      <c r="I143" s="2"/>
      <c r="J143" s="5"/>
      <c r="K143" s="2"/>
      <c r="L143" s="2"/>
      <c r="M143" s="2"/>
      <c r="N143" s="5"/>
      <c r="O143" s="37"/>
      <c r="P143" s="2"/>
      <c r="Q143" s="2"/>
      <c r="R143" s="5"/>
      <c r="S143" s="2"/>
      <c r="T143" s="2"/>
      <c r="U143" s="2"/>
      <c r="V143" s="5"/>
      <c r="W143" s="2"/>
      <c r="X143" s="2"/>
      <c r="Y143" s="2"/>
      <c r="Z143" s="5"/>
    </row>
    <row r="144" spans="1:26" s="62" customFormat="1" ht="15" customHeight="1" collapsed="1" x14ac:dyDescent="0.3">
      <c r="A144" s="13"/>
      <c r="B144" s="27" t="s">
        <v>290</v>
      </c>
      <c r="C144" s="13"/>
      <c r="D144" s="8">
        <f>SUM(OSRRefD25x_0)</f>
        <v>18080.689999999999</v>
      </c>
      <c r="E144" s="8"/>
      <c r="F144" s="14">
        <f>IF(D$12=0,0,D144/D$12)</f>
        <v>7.4028364637852354E-2</v>
      </c>
      <c r="G144" s="8"/>
      <c r="H144" s="8">
        <f>SUM(OSRRefH25x_0)</f>
        <v>381445.06</v>
      </c>
      <c r="I144" s="8"/>
      <c r="J144" s="14">
        <f>IF(H$12=0,0,H144/H$12)</f>
        <v>1.7181894134558247</v>
      </c>
      <c r="K144" s="8"/>
      <c r="L144" s="8">
        <f>+D144-H144</f>
        <v>-363364.37</v>
      </c>
      <c r="M144" s="8"/>
      <c r="N144" s="14">
        <f>IF(H144=0,0,L144/H144)</f>
        <v>-0.95259949099878238</v>
      </c>
      <c r="O144" s="13"/>
      <c r="P144" s="8">
        <f>SUM(OSRRefP25x_0)</f>
        <v>770455.72</v>
      </c>
      <c r="Q144" s="8"/>
      <c r="R144" s="14">
        <f>IF(P$12=0,0,P144/P$12)</f>
        <v>0.16441738194810254</v>
      </c>
      <c r="S144" s="8"/>
      <c r="T144" s="8">
        <f>SUM(OSRRefT25x_0)</f>
        <v>794131.84000000008</v>
      </c>
      <c r="U144" s="8"/>
      <c r="V144" s="14">
        <f>IF(T$12=0,0,T144/T$12)</f>
        <v>0.3524601667519347</v>
      </c>
      <c r="W144" s="8"/>
      <c r="X144" s="8">
        <f>+P144-T144</f>
        <v>-23676.120000000112</v>
      </c>
      <c r="Y144" s="8"/>
      <c r="Z144" s="14">
        <f>IF(T144=0,0,X144/T144)</f>
        <v>-2.9813840482708902E-2</v>
      </c>
    </row>
    <row r="145" spans="1:26" s="69" customFormat="1" ht="15" hidden="1" customHeight="1" outlineLevel="1" x14ac:dyDescent="0.3">
      <c r="A145" s="47"/>
      <c r="B145" s="9" t="str">
        <f>CONCATENATE("          ","4098"," - ","TAXABLE SALES-GRAD RENTALS")</f>
        <v xml:space="preserve">          4098 - TAXABLE SALES-GRAD RENTALS</v>
      </c>
      <c r="C145" s="9"/>
      <c r="D145" s="3">
        <f>0</f>
        <v>0</v>
      </c>
      <c r="E145" s="3"/>
      <c r="F145" s="26">
        <f>IF(D$12=0,0,D145/D$12)</f>
        <v>0</v>
      </c>
      <c r="G145" s="3"/>
      <c r="H145" s="3">
        <f>--1017.7</f>
        <v>1017.7</v>
      </c>
      <c r="I145" s="3"/>
      <c r="J145" s="26">
        <f>IF(H$12=0,0,H145/H$12)</f>
        <v>4.5841499849912665E-3</v>
      </c>
      <c r="K145" s="3"/>
      <c r="L145" s="3">
        <f>+D145-H145</f>
        <v>-1017.7</v>
      </c>
      <c r="M145" s="3"/>
      <c r="N145" s="26">
        <f>IF(H145=0,0,L145/H145)</f>
        <v>-1</v>
      </c>
      <c r="O145" s="9"/>
      <c r="P145" s="3">
        <f>0</f>
        <v>0</v>
      </c>
      <c r="Q145" s="3"/>
      <c r="R145" s="26">
        <f>IF(P$12=0,0,P145/P$12)</f>
        <v>0</v>
      </c>
      <c r="S145" s="3"/>
      <c r="T145" s="3">
        <f>--1067.65</f>
        <v>1067.6500000000001</v>
      </c>
      <c r="U145" s="3"/>
      <c r="V145" s="26">
        <f>IF(T$12=0,0,T145/T$12)</f>
        <v>4.7385594945129398E-4</v>
      </c>
      <c r="W145" s="3"/>
      <c r="X145" s="3">
        <f>+P145-T145</f>
        <v>-1067.6500000000001</v>
      </c>
      <c r="Y145" s="3"/>
      <c r="Z145" s="26">
        <f>IF(T145=0,0,X145/T145)</f>
        <v>-1</v>
      </c>
    </row>
    <row r="146" spans="1:26" s="69" customFormat="1" ht="15" hidden="1" customHeight="1" outlineLevel="1" x14ac:dyDescent="0.3">
      <c r="A146" s="47"/>
      <c r="B146" s="9" t="str">
        <f>CONCATENATE("          ","9150"," - ","MISC. INCOME")</f>
        <v xml:space="preserve">          9150 - MISC. INCOME</v>
      </c>
      <c r="C146" s="9"/>
      <c r="D146" s="3">
        <f>--78.19</f>
        <v>78.19</v>
      </c>
      <c r="E146" s="3"/>
      <c r="F146" s="26">
        <f>IF(D$12=0,0,D146/D$12)</f>
        <v>3.2013589254799876E-4</v>
      </c>
      <c r="G146" s="3"/>
      <c r="H146" s="3">
        <f>--1666.87</f>
        <v>1666.87</v>
      </c>
      <c r="I146" s="3"/>
      <c r="J146" s="26">
        <f>IF(H$12=0,0,H146/H$12)</f>
        <v>7.5082854333127563E-3</v>
      </c>
      <c r="K146" s="3"/>
      <c r="L146" s="3">
        <f>+D146-H146</f>
        <v>-1588.6799999999998</v>
      </c>
      <c r="M146" s="3"/>
      <c r="N146" s="26">
        <f>IF(H146=0,0,L146/H146)</f>
        <v>-0.95309172280981713</v>
      </c>
      <c r="O146" s="9"/>
      <c r="P146" s="3">
        <f>--110983.52</f>
        <v>110983.52</v>
      </c>
      <c r="Q146" s="3"/>
      <c r="R146" s="26">
        <f>IF(P$12=0,0,P146/P$12)</f>
        <v>2.3684190180046787E-2</v>
      </c>
      <c r="S146" s="3"/>
      <c r="T146" s="3">
        <f>--65963.14</f>
        <v>65963.14</v>
      </c>
      <c r="U146" s="3"/>
      <c r="V146" s="26">
        <f>IF(T$12=0,0,T146/T$12)</f>
        <v>2.9276472939154804E-2</v>
      </c>
      <c r="W146" s="3"/>
      <c r="X146" s="3">
        <f>+P146-T146</f>
        <v>45020.380000000005</v>
      </c>
      <c r="Y146" s="3"/>
      <c r="Z146" s="26">
        <f>IF(T146=0,0,X146/T146)</f>
        <v>0.68250814015221239</v>
      </c>
    </row>
    <row r="147" spans="1:26" s="69" customFormat="1" ht="15" hidden="1" customHeight="1" outlineLevel="1" x14ac:dyDescent="0.3">
      <c r="A147" s="47"/>
      <c r="B147" s="9" t="str">
        <f>CONCATENATE("          ","9163"," - ","MISC. INCOME")</f>
        <v xml:space="preserve">          9163 - MISC. INCOME</v>
      </c>
      <c r="C147" s="9"/>
      <c r="D147" s="3">
        <f>--18002.5</f>
        <v>18002.5</v>
      </c>
      <c r="E147" s="3"/>
      <c r="F147" s="26">
        <f>IF(D$12=0,0,D147/D$12)</f>
        <v>7.3708228745304361E-2</v>
      </c>
      <c r="G147" s="3"/>
      <c r="H147" s="3">
        <f>--378760.49</f>
        <v>378760.49</v>
      </c>
      <c r="I147" s="3"/>
      <c r="J147" s="26">
        <f>IF(H$12=0,0,H147/H$12)</f>
        <v>1.7060969780375206</v>
      </c>
      <c r="K147" s="3"/>
      <c r="L147" s="3">
        <f>+D147-H147</f>
        <v>-360757.99</v>
      </c>
      <c r="M147" s="3"/>
      <c r="N147" s="26">
        <f>IF(H147=0,0,L147/H147)</f>
        <v>-0.95246996327415245</v>
      </c>
      <c r="O147" s="9"/>
      <c r="P147" s="3">
        <f>--659472.2</f>
        <v>659472.19999999995</v>
      </c>
      <c r="Q147" s="3"/>
      <c r="R147" s="26">
        <f>IF(P$12=0,0,P147/P$12)</f>
        <v>0.14073319176805574</v>
      </c>
      <c r="S147" s="3"/>
      <c r="T147" s="3">
        <f>--727101.05</f>
        <v>727101.05</v>
      </c>
      <c r="U147" s="3"/>
      <c r="V147" s="26">
        <f>IF(T$12=0,0,T147/T$12)</f>
        <v>0.32270983786332857</v>
      </c>
      <c r="W147" s="3"/>
      <c r="X147" s="3">
        <f>+P147-T147</f>
        <v>-67628.850000000093</v>
      </c>
      <c r="Y147" s="3"/>
      <c r="Z147" s="26">
        <f>IF(T147=0,0,X147/T147)</f>
        <v>-9.3011624725339193E-2</v>
      </c>
    </row>
    <row r="148" spans="1:26" ht="15" customHeight="1" x14ac:dyDescent="0.3">
      <c r="A148" s="12"/>
      <c r="B148" s="13"/>
      <c r="C148" s="13"/>
      <c r="D148" s="4"/>
      <c r="E148" s="4"/>
      <c r="F148" s="10"/>
      <c r="G148" s="4"/>
      <c r="H148" s="4"/>
      <c r="I148" s="4"/>
      <c r="J148" s="10"/>
      <c r="K148" s="4"/>
      <c r="L148" s="4"/>
      <c r="M148" s="4"/>
      <c r="N148" s="10"/>
      <c r="O148" s="13"/>
      <c r="P148" s="4"/>
      <c r="Q148" s="4"/>
      <c r="R148" s="10"/>
      <c r="S148" s="4"/>
      <c r="T148" s="4"/>
      <c r="U148" s="4"/>
      <c r="V148" s="10"/>
      <c r="W148" s="4"/>
      <c r="X148" s="4"/>
      <c r="Y148" s="4"/>
      <c r="Z148" s="10"/>
    </row>
    <row r="149" spans="1:26" s="62" customFormat="1" ht="15" customHeight="1" x14ac:dyDescent="0.3">
      <c r="A149" s="13"/>
      <c r="B149" s="28" t="s">
        <v>291</v>
      </c>
      <c r="C149" s="28"/>
      <c r="D149" s="22">
        <f>+D84-D86+D144</f>
        <v>-280044.4200000001</v>
      </c>
      <c r="E149" s="15"/>
      <c r="F149" s="24">
        <f>IF(D$12=0,0,D149/D$12)</f>
        <v>-1.1465950933595943</v>
      </c>
      <c r="G149" s="15"/>
      <c r="H149" s="22">
        <f>+H84-H86+H144</f>
        <v>431940.68000000005</v>
      </c>
      <c r="I149" s="15"/>
      <c r="J149" s="24">
        <f>IF(H$12=0,0,H149/H$12)</f>
        <v>1.9456429809758453</v>
      </c>
      <c r="K149" s="17"/>
      <c r="L149" s="22">
        <f>+D149-H149</f>
        <v>-711985.10000000009</v>
      </c>
      <c r="M149" s="17"/>
      <c r="N149" s="24">
        <f>IF(H149=0,0,L149/H149)</f>
        <v>-1.6483399989091094</v>
      </c>
      <c r="O149" s="27"/>
      <c r="P149" s="22">
        <f>+P84-P86+P144</f>
        <v>1898419.2299999984</v>
      </c>
      <c r="Q149" s="15"/>
      <c r="R149" s="24">
        <f>IF(P$12=0,0,P149/P$12)</f>
        <v>0.40512791525064212</v>
      </c>
      <c r="S149" s="15"/>
      <c r="T149" s="22">
        <f>+T84-T86+T144</f>
        <v>1267034.3699999999</v>
      </c>
      <c r="U149" s="15"/>
      <c r="V149" s="24">
        <f>IF(T$12=0,0,T149/T$12)</f>
        <v>0.56234887311738124</v>
      </c>
      <c r="W149" s="17"/>
      <c r="X149" s="22">
        <f>+P149-T149</f>
        <v>631384.85999999847</v>
      </c>
      <c r="Y149" s="17"/>
      <c r="Z149" s="24">
        <f>IF(T149=0,0,X149/T149)</f>
        <v>0.49831707406642689</v>
      </c>
    </row>
    <row r="150" spans="1:26" ht="15" customHeight="1" x14ac:dyDescent="0.3">
      <c r="A150" s="12"/>
      <c r="B150" s="13"/>
      <c r="C150" s="12"/>
      <c r="D150" s="4"/>
      <c r="E150" s="4"/>
      <c r="F150" s="10"/>
      <c r="G150" s="4"/>
      <c r="H150" s="4"/>
      <c r="I150" s="4"/>
      <c r="J150" s="10"/>
      <c r="K150" s="4"/>
      <c r="L150" s="4"/>
      <c r="M150" s="4"/>
      <c r="N150" s="10"/>
      <c r="P150" s="4"/>
      <c r="Q150" s="4"/>
      <c r="R150" s="10"/>
      <c r="S150" s="4"/>
      <c r="T150" s="4"/>
      <c r="U150" s="4"/>
      <c r="V150" s="10"/>
      <c r="W150" s="4"/>
      <c r="X150" s="4"/>
      <c r="Y150" s="4"/>
      <c r="Z150" s="10"/>
    </row>
    <row r="151" spans="1:26" s="62" customFormat="1" ht="15" customHeight="1" x14ac:dyDescent="0.3">
      <c r="A151" s="48"/>
      <c r="B151" s="13" t="s">
        <v>292</v>
      </c>
      <c r="C151" s="13"/>
      <c r="D151" s="8">
        <v>-1039603.69</v>
      </c>
      <c r="E151" s="8"/>
      <c r="F151" s="14">
        <f>IF(D$12=0,0,D151/D$12)</f>
        <v>-4.2564836321056791</v>
      </c>
      <c r="G151" s="8"/>
      <c r="H151" s="8">
        <v>189620.77</v>
      </c>
      <c r="I151" s="8"/>
      <c r="J151" s="14">
        <f>IF(H$12=0,0,H151/H$12)</f>
        <v>0.85413191505309261</v>
      </c>
      <c r="K151" s="8"/>
      <c r="L151" s="8">
        <f>+D151-H151</f>
        <v>-1229224.46</v>
      </c>
      <c r="M151" s="8"/>
      <c r="N151" s="14">
        <f>IF(H151=0,0,L151/H151)</f>
        <v>-6.4825412321656541</v>
      </c>
      <c r="O151" s="13"/>
      <c r="P151" s="8">
        <v>-540240.07999999996</v>
      </c>
      <c r="Q151" s="8"/>
      <c r="R151" s="14">
        <f>IF(P$12=0,0,P151/P$12)</f>
        <v>-0.11528872753003049</v>
      </c>
      <c r="S151" s="8"/>
      <c r="T151" s="8">
        <v>623649.04</v>
      </c>
      <c r="U151" s="8"/>
      <c r="V151" s="14">
        <f>IF(T$12=0,0,T151/T$12)</f>
        <v>0.27679464990735542</v>
      </c>
      <c r="W151" s="8"/>
      <c r="X151" s="8">
        <f>+P151-T151</f>
        <v>-1163889.1200000001</v>
      </c>
      <c r="Y151" s="8"/>
      <c r="Z151" s="14">
        <f>IF(T151=0,0,X151/T151)</f>
        <v>-1.8662565727672731</v>
      </c>
    </row>
    <row r="152" spans="1:26" ht="15" customHeight="1" x14ac:dyDescent="0.3">
      <c r="A152" s="12"/>
      <c r="B152" s="13"/>
      <c r="C152" s="13"/>
      <c r="D152" s="4"/>
      <c r="E152" s="4"/>
      <c r="F152" s="10"/>
      <c r="G152" s="4"/>
      <c r="H152" s="4"/>
      <c r="I152" s="4"/>
      <c r="J152" s="10"/>
      <c r="K152" s="4"/>
      <c r="L152" s="4"/>
      <c r="M152" s="4"/>
      <c r="N152" s="10"/>
      <c r="O152" s="13"/>
      <c r="P152" s="4"/>
      <c r="Q152" s="4"/>
      <c r="R152" s="10"/>
      <c r="S152" s="4"/>
      <c r="T152" s="4"/>
      <c r="U152" s="4"/>
      <c r="V152" s="10"/>
      <c r="W152" s="4"/>
      <c r="X152" s="4"/>
      <c r="Y152" s="4"/>
      <c r="Z152" s="10"/>
    </row>
    <row r="153" spans="1:26" s="62" customFormat="1" ht="15" customHeight="1" x14ac:dyDescent="0.3">
      <c r="A153" s="13"/>
      <c r="B153" s="28" t="s">
        <v>293</v>
      </c>
      <c r="C153" s="28"/>
      <c r="D153" s="29">
        <f>+D149-D151</f>
        <v>759559.26999999979</v>
      </c>
      <c r="E153" s="15"/>
      <c r="F153" s="31">
        <f>IF(D$12=0,0,D153/D$12)</f>
        <v>3.1098885387460844</v>
      </c>
      <c r="G153" s="15"/>
      <c r="H153" s="29">
        <f>+H149-H151</f>
        <v>242319.91000000006</v>
      </c>
      <c r="I153" s="15"/>
      <c r="J153" s="31">
        <f>IF(H$12=0,0,H153/H$12)</f>
        <v>1.0915110659227527</v>
      </c>
      <c r="K153" s="17"/>
      <c r="L153" s="29">
        <f>D153-H153</f>
        <v>517239.35999999975</v>
      </c>
      <c r="M153" s="17"/>
      <c r="N153" s="31">
        <f>IF(H153=0,0,L153/H153)</f>
        <v>2.1345310007749658</v>
      </c>
      <c r="O153" s="27"/>
      <c r="P153" s="29">
        <f>+P149-P151</f>
        <v>2438659.3099999982</v>
      </c>
      <c r="Q153" s="15"/>
      <c r="R153" s="31">
        <f>IF(P$12=0,0,P153/P$12)</f>
        <v>0.52041664278067257</v>
      </c>
      <c r="S153" s="15"/>
      <c r="T153" s="29">
        <f>+T149-T151</f>
        <v>643385.32999999984</v>
      </c>
      <c r="U153" s="15"/>
      <c r="V153" s="31">
        <f>IF(T$12=0,0,T153/T$12)</f>
        <v>0.28555422321002577</v>
      </c>
      <c r="W153" s="17"/>
      <c r="X153" s="29">
        <f>P153-T153</f>
        <v>1795273.9799999984</v>
      </c>
      <c r="Y153" s="17"/>
      <c r="Z153" s="31">
        <f>IF(T153=0,0,X153/T153)</f>
        <v>2.7903557888085495</v>
      </c>
    </row>
    <row r="154" spans="1:26" ht="15" customHeight="1" x14ac:dyDescent="0.3">
      <c r="A154" s="12"/>
      <c r="B154" s="12"/>
      <c r="C154" s="12"/>
      <c r="D154" s="4"/>
      <c r="E154" s="4"/>
      <c r="F154" s="10"/>
      <c r="G154" s="4"/>
      <c r="H154" s="4"/>
      <c r="I154" s="4"/>
      <c r="J154" s="10"/>
      <c r="K154" s="4"/>
      <c r="L154" s="4"/>
      <c r="M154" s="4"/>
      <c r="N154" s="10"/>
      <c r="P154" s="4"/>
      <c r="Q154" s="4"/>
      <c r="R154" s="10"/>
      <c r="S154" s="4"/>
      <c r="T154" s="4"/>
      <c r="U154" s="4"/>
      <c r="V154" s="10"/>
      <c r="W154" s="4"/>
      <c r="X154" s="4"/>
      <c r="Y154" s="4"/>
      <c r="Z154" s="10"/>
    </row>
    <row r="155" spans="1:26" ht="15" customHeight="1" x14ac:dyDescent="0.3">
      <c r="A155" s="12"/>
      <c r="B155" s="12"/>
      <c r="C155" s="12"/>
      <c r="D155" s="4"/>
      <c r="E155" s="4"/>
      <c r="F155" s="10"/>
      <c r="G155" s="4"/>
      <c r="H155" s="4"/>
      <c r="I155" s="4"/>
      <c r="J155" s="10"/>
      <c r="K155" s="4"/>
      <c r="L155" s="4"/>
      <c r="M155" s="4"/>
      <c r="N155" s="10"/>
      <c r="P155" s="4"/>
      <c r="Q155" s="4"/>
      <c r="R155" s="10"/>
      <c r="S155" s="4"/>
      <c r="T155" s="4"/>
      <c r="U155" s="4"/>
      <c r="V155" s="10"/>
      <c r="W155" s="4"/>
      <c r="X155" s="4"/>
      <c r="Y155" s="4"/>
      <c r="Z155" s="10"/>
    </row>
    <row r="156" spans="1:26" s="62" customFormat="1" ht="15" customHeight="1" x14ac:dyDescent="0.3">
      <c r="A156" s="13"/>
      <c r="B156" s="28" t="s">
        <v>296</v>
      </c>
      <c r="C156" s="28"/>
      <c r="D156" s="30">
        <f>SUM(D153:D155)</f>
        <v>759559.26999999979</v>
      </c>
      <c r="E156" s="15"/>
      <c r="F156" s="35">
        <f>IF(D$12=0,0,D156/D$12)</f>
        <v>3.1098885387460844</v>
      </c>
      <c r="G156" s="15"/>
      <c r="H156" s="30">
        <f>SUM(H153:H155)</f>
        <v>242319.91000000006</v>
      </c>
      <c r="I156" s="15"/>
      <c r="J156" s="35">
        <f>IF(H$12=0,0,H156/H$12)</f>
        <v>1.0915110659227527</v>
      </c>
      <c r="K156" s="17"/>
      <c r="L156" s="30">
        <f>+D156-H156</f>
        <v>517239.35999999975</v>
      </c>
      <c r="M156" s="17"/>
      <c r="N156" s="35">
        <f>IF(H156=0,0,L156/H156)</f>
        <v>2.1345310007749658</v>
      </c>
      <c r="O156" s="27"/>
      <c r="P156" s="30">
        <f>SUM(P153:P155)</f>
        <v>2438659.3099999982</v>
      </c>
      <c r="Q156" s="15"/>
      <c r="R156" s="35">
        <f>IF(P$12=0,0,P156/P$12)</f>
        <v>0.52041664278067257</v>
      </c>
      <c r="S156" s="15"/>
      <c r="T156" s="30">
        <f>SUM(T153:T155)</f>
        <v>643385.32999999984</v>
      </c>
      <c r="U156" s="15"/>
      <c r="V156" s="35">
        <f>IF(T$12=0,0,T156/T$12)</f>
        <v>0.28555422321002577</v>
      </c>
      <c r="W156" s="17"/>
      <c r="X156" s="30">
        <f>+P156-T156</f>
        <v>1795273.9799999984</v>
      </c>
      <c r="Y156" s="17"/>
      <c r="Z156" s="35">
        <f>IF(T156=0,0,X156/T156)</f>
        <v>2.7903557888085495</v>
      </c>
    </row>
    <row r="157" spans="1:26" ht="15" customHeight="1" x14ac:dyDescent="0.3">
      <c r="A157" s="12"/>
      <c r="C157" s="12"/>
      <c r="D157" s="19"/>
      <c r="E157" s="19"/>
      <c r="G157" s="19"/>
      <c r="H157" s="19"/>
      <c r="I157" s="19"/>
      <c r="J157" s="41"/>
      <c r="K157" s="19"/>
      <c r="L157" s="19"/>
      <c r="M157" s="19"/>
      <c r="P157" s="19"/>
      <c r="Q157" s="19"/>
      <c r="R157" s="41"/>
      <c r="S157" s="19"/>
      <c r="T157" s="19"/>
      <c r="U157" s="19"/>
      <c r="V157" s="41"/>
      <c r="W157" s="19"/>
      <c r="X157" s="19"/>
    </row>
    <row r="158" spans="1:26" ht="15" customHeight="1" x14ac:dyDescent="0.3">
      <c r="A158" s="12"/>
      <c r="B158" s="54">
        <v>44767.815885219905</v>
      </c>
      <c r="D158" s="19"/>
      <c r="E158" s="19"/>
      <c r="G158" s="19"/>
      <c r="H158" s="19"/>
      <c r="I158" s="19"/>
      <c r="J158" s="41"/>
      <c r="K158" s="19"/>
      <c r="L158" s="19"/>
      <c r="M158" s="19"/>
      <c r="P158" s="19"/>
      <c r="Q158" s="19"/>
      <c r="R158" s="41"/>
      <c r="S158" s="19"/>
      <c r="T158" s="19"/>
      <c r="U158" s="19"/>
      <c r="V158" s="41"/>
      <c r="W158" s="19"/>
      <c r="X158" s="19"/>
    </row>
    <row r="159" spans="1:26" ht="15" customHeight="1" x14ac:dyDescent="0.3">
      <c r="A159" s="12"/>
      <c r="B159" s="53" t="s">
        <v>297</v>
      </c>
      <c r="D159" s="19"/>
      <c r="E159" s="19"/>
      <c r="G159" s="19"/>
      <c r="H159" s="19"/>
      <c r="I159" s="19"/>
      <c r="J159" s="41"/>
      <c r="K159" s="19"/>
      <c r="L159" s="19"/>
      <c r="M159" s="19"/>
      <c r="P159" s="19"/>
      <c r="Q159" s="19"/>
      <c r="R159" s="41"/>
      <c r="S159" s="19"/>
      <c r="T159" s="19"/>
      <c r="U159" s="19"/>
      <c r="V159" s="41"/>
      <c r="W159" s="19"/>
      <c r="X159" s="19"/>
    </row>
    <row r="160" spans="1:26" ht="15" customHeight="1" x14ac:dyDescent="0.3">
      <c r="A160" s="12"/>
      <c r="B160" s="51"/>
      <c r="D160" s="19"/>
      <c r="E160" s="19"/>
      <c r="G160" s="19"/>
      <c r="H160" s="19"/>
      <c r="I160" s="19"/>
      <c r="J160" s="41"/>
      <c r="K160" s="19"/>
      <c r="L160" s="19"/>
      <c r="M160" s="19"/>
      <c r="P160" s="19"/>
      <c r="Q160" s="19"/>
      <c r="R160" s="41"/>
      <c r="S160" s="19"/>
      <c r="T160" s="19"/>
      <c r="U160" s="19"/>
      <c r="V160" s="41"/>
      <c r="W160" s="19"/>
      <c r="X160" s="19"/>
    </row>
    <row r="161" spans="4:24" ht="15" customHeight="1" x14ac:dyDescent="0.3">
      <c r="D161" s="19"/>
      <c r="E161" s="19"/>
      <c r="G161" s="19"/>
      <c r="H161" s="19"/>
      <c r="I161" s="19"/>
      <c r="J161" s="41"/>
      <c r="K161" s="19"/>
      <c r="L161" s="19"/>
      <c r="M161" s="19"/>
      <c r="P161" s="19"/>
      <c r="Q161" s="19"/>
      <c r="R161" s="41"/>
      <c r="S161" s="19"/>
      <c r="T161" s="19"/>
      <c r="U161" s="19"/>
      <c r="V161" s="41"/>
      <c r="W161" s="19"/>
      <c r="X16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7AE4-E15E-C376-58E8-F44EBC82E148}">
  <sheetPr>
    <tabColor rgb="FF92D050"/>
    <outlinePr summaryBelow="0" summaryRight="0"/>
  </sheetPr>
  <dimension ref="A2:Z13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","326"," - ","2nd Street Store")</f>
        <v>Department 326 - 2nd Street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38213.020000000004</v>
      </c>
      <c r="E12" s="8"/>
      <c r="F12" s="14"/>
      <c r="G12" s="8"/>
      <c r="H12" s="8">
        <f>SUM(OSRRefH13x_0)</f>
        <v>33635.919999999998</v>
      </c>
      <c r="I12" s="8"/>
      <c r="J12" s="14"/>
      <c r="K12" s="8"/>
      <c r="L12" s="8">
        <f t="shared" ref="L12:L36" si="0">+D12-H12</f>
        <v>4577.1000000000058</v>
      </c>
      <c r="M12" s="8"/>
      <c r="N12" s="14">
        <f t="shared" ref="N12:N36" si="1">IF(H12=0,0,L12/H12)</f>
        <v>0.13607774070101267</v>
      </c>
      <c r="O12" s="13"/>
      <c r="P12" s="8">
        <f>SUM(OSRRefP13x_0)</f>
        <v>416303.25999999995</v>
      </c>
      <c r="Q12" s="8"/>
      <c r="R12" s="14"/>
      <c r="S12" s="8"/>
      <c r="T12" s="8">
        <f>SUM(OSRRefT13x_0)</f>
        <v>319644.92999999993</v>
      </c>
      <c r="U12" s="8"/>
      <c r="V12" s="14"/>
      <c r="W12" s="8"/>
      <c r="X12" s="8">
        <f t="shared" ref="X12:X36" si="2">+P12-T12</f>
        <v>96658.330000000016</v>
      </c>
      <c r="Y12" s="8"/>
      <c r="Z12" s="14">
        <f t="shared" ref="Z12:Z36" si="3">IF(T12=0,0,X12/T12)</f>
        <v>0.30239281442693317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--41146.66</f>
        <v>41146.660000000003</v>
      </c>
      <c r="E13" s="3"/>
      <c r="F13" s="26"/>
      <c r="G13" s="3"/>
      <c r="H13" s="3">
        <f>-522.46</f>
        <v>-522.46</v>
      </c>
      <c r="I13" s="3"/>
      <c r="J13" s="26"/>
      <c r="K13" s="3"/>
      <c r="L13" s="3">
        <f t="shared" si="0"/>
        <v>41669.120000000003</v>
      </c>
      <c r="M13" s="3"/>
      <c r="N13" s="26">
        <f t="shared" si="1"/>
        <v>-79.755617654940096</v>
      </c>
      <c r="O13" s="9"/>
      <c r="P13" s="3">
        <f>--443337.05</f>
        <v>443337.05</v>
      </c>
      <c r="Q13" s="3"/>
      <c r="R13" s="26"/>
      <c r="S13" s="3"/>
      <c r="T13" s="3">
        <f>-6880.45</f>
        <v>-6880.45</v>
      </c>
      <c r="U13" s="3"/>
      <c r="V13" s="26"/>
      <c r="W13" s="3"/>
      <c r="X13" s="3">
        <f t="shared" si="2"/>
        <v>450217.5</v>
      </c>
      <c r="Y13" s="3"/>
      <c r="Z13" s="26">
        <f t="shared" si="3"/>
        <v>-65.434310255869889</v>
      </c>
    </row>
    <row r="14" spans="1:26" s="69" customFormat="1" ht="15" hidden="1" customHeight="1" outlineLevel="1" x14ac:dyDescent="0.3">
      <c r="A14" s="47"/>
      <c r="B14" s="9" t="str">
        <f>CONCATENATE("          ","4026"," - ","TAXABLE SALES-WRITING INSTRUME")</f>
        <v xml:space="preserve">          4026 - TAXABLE SALES-WRITING INSTRUME</v>
      </c>
      <c r="C14" s="9"/>
      <c r="D14" s="3">
        <f>0</f>
        <v>0</v>
      </c>
      <c r="E14" s="3"/>
      <c r="F14" s="26"/>
      <c r="G14" s="3"/>
      <c r="H14" s="3">
        <f>--25.1</f>
        <v>25.1</v>
      </c>
      <c r="I14" s="3"/>
      <c r="J14" s="26"/>
      <c r="K14" s="3"/>
      <c r="L14" s="3">
        <f t="shared" si="0"/>
        <v>-25.1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--308.14</f>
        <v>308.14</v>
      </c>
      <c r="U14" s="3"/>
      <c r="V14" s="26"/>
      <c r="W14" s="3"/>
      <c r="X14" s="3">
        <f t="shared" si="2"/>
        <v>-308.14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","4027"," - ","TAXABLE SALES-SCHOOL SUPPLIES")</f>
        <v xml:space="preserve">          4027 - TAXABLE SALES-SCHOOL SUPPLIES</v>
      </c>
      <c r="C15" s="9"/>
      <c r="D15" s="3">
        <f>0</f>
        <v>0</v>
      </c>
      <c r="E15" s="3"/>
      <c r="F15" s="26"/>
      <c r="G15" s="3"/>
      <c r="H15" s="3">
        <f>--103.32</f>
        <v>103.32</v>
      </c>
      <c r="I15" s="3"/>
      <c r="J15" s="26"/>
      <c r="K15" s="3"/>
      <c r="L15" s="3">
        <f t="shared" si="0"/>
        <v>-103.32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--536.95</f>
        <v>536.95000000000005</v>
      </c>
      <c r="U15" s="3"/>
      <c r="V15" s="26"/>
      <c r="W15" s="3"/>
      <c r="X15" s="3">
        <f t="shared" si="2"/>
        <v>-536.95000000000005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","4028"," - ","TAXABLE SALES-ART/TECH")</f>
        <v xml:space="preserve">          4028 - TAXABLE SALES-ART/TECH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>
        <f>--29.24</f>
        <v>29.24</v>
      </c>
      <c r="U16" s="3"/>
      <c r="V16" s="26"/>
      <c r="W16" s="3"/>
      <c r="X16" s="3">
        <f t="shared" si="2"/>
        <v>-29.24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","4040"," - ","TAXABLE SALES-LOGO CLOTHING")</f>
        <v xml:space="preserve">          4040 - TAXABLE SALES-LOGO CLOTHING</v>
      </c>
      <c r="C17" s="9"/>
      <c r="D17" s="3">
        <f>0</f>
        <v>0</v>
      </c>
      <c r="E17" s="3"/>
      <c r="F17" s="26"/>
      <c r="G17" s="3"/>
      <c r="H17" s="3">
        <f>--30362.76</f>
        <v>30362.76</v>
      </c>
      <c r="I17" s="3"/>
      <c r="J17" s="26"/>
      <c r="K17" s="3"/>
      <c r="L17" s="3">
        <f t="shared" si="0"/>
        <v>-30362.76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--272365.11</f>
        <v>272365.11</v>
      </c>
      <c r="U17" s="3"/>
      <c r="V17" s="26"/>
      <c r="W17" s="3"/>
      <c r="X17" s="3">
        <f t="shared" si="2"/>
        <v>-272365.11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","4041"," - ","TAXABLE SALES-LOGO GIFTS")</f>
        <v xml:space="preserve">          4041 - TAXABLE SALES-LOGO GIFTS</v>
      </c>
      <c r="C18" s="9"/>
      <c r="D18" s="3">
        <f>0</f>
        <v>0</v>
      </c>
      <c r="E18" s="3"/>
      <c r="F18" s="26"/>
      <c r="G18" s="3"/>
      <c r="H18" s="3">
        <f>--4101.43</f>
        <v>4101.43</v>
      </c>
      <c r="I18" s="3"/>
      <c r="J18" s="26"/>
      <c r="K18" s="3"/>
      <c r="L18" s="3">
        <f t="shared" si="0"/>
        <v>-4101.43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--40260.82</f>
        <v>40260.82</v>
      </c>
      <c r="U18" s="3"/>
      <c r="V18" s="26"/>
      <c r="W18" s="3"/>
      <c r="X18" s="3">
        <f t="shared" si="2"/>
        <v>-40260.82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","4042"," - ","TAXABLE SALES-EVERYDAY GIFTS")</f>
        <v xml:space="preserve">          4042 - TAXABLE SALES-EVERYDAY GIFTS</v>
      </c>
      <c r="C19" s="9"/>
      <c r="D19" s="3">
        <f>0</f>
        <v>0</v>
      </c>
      <c r="E19" s="3"/>
      <c r="F19" s="26"/>
      <c r="G19" s="3"/>
      <c r="H19" s="3">
        <f>--782.71</f>
        <v>782.71</v>
      </c>
      <c r="I19" s="3"/>
      <c r="J19" s="26"/>
      <c r="K19" s="3"/>
      <c r="L19" s="3">
        <f t="shared" si="0"/>
        <v>-782.71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--10652.39</f>
        <v>10652.39</v>
      </c>
      <c r="U19" s="3"/>
      <c r="V19" s="26"/>
      <c r="W19" s="3"/>
      <c r="X19" s="3">
        <f t="shared" si="2"/>
        <v>-10652.39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","4043"," - ","TAXABLE SALES-CARDS")</f>
        <v xml:space="preserve">          4043 - TAXABLE SALES-CARDS</v>
      </c>
      <c r="C20" s="9"/>
      <c r="D20" s="3">
        <f>0</f>
        <v>0</v>
      </c>
      <c r="E20" s="3"/>
      <c r="F20" s="26"/>
      <c r="G20" s="3"/>
      <c r="H20" s="3">
        <f>--26.93</f>
        <v>26.93</v>
      </c>
      <c r="I20" s="3"/>
      <c r="J20" s="26"/>
      <c r="K20" s="3"/>
      <c r="L20" s="3">
        <f t="shared" si="0"/>
        <v>-26.93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--11077.06</f>
        <v>11077.06</v>
      </c>
      <c r="U20" s="3"/>
      <c r="V20" s="26"/>
      <c r="W20" s="3"/>
      <c r="X20" s="3">
        <f t="shared" si="2"/>
        <v>-11077.06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","4044"," - ","TAXABLE SALES-ACCESSORIES")</f>
        <v xml:space="preserve">          4044 - TAXABLE SALES-ACCESSORIES</v>
      </c>
      <c r="C21" s="9"/>
      <c r="D21" s="3">
        <f>0</f>
        <v>0</v>
      </c>
      <c r="E21" s="3"/>
      <c r="F21" s="26"/>
      <c r="G21" s="3"/>
      <c r="H21" s="3">
        <f>--300.06</f>
        <v>300.06</v>
      </c>
      <c r="I21" s="3"/>
      <c r="J21" s="26"/>
      <c r="K21" s="3"/>
      <c r="L21" s="3">
        <f t="shared" si="0"/>
        <v>-300.06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--3275.08</f>
        <v>3275.08</v>
      </c>
      <c r="U21" s="3"/>
      <c r="V21" s="26"/>
      <c r="W21" s="3"/>
      <c r="X21" s="3">
        <f t="shared" si="2"/>
        <v>-3275.08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","4045"," - ","TAXABLE SALES-SPECIAL ORDERS")</f>
        <v xml:space="preserve">          4045 - TAXABLE SALES-SPECIAL ORDERS</v>
      </c>
      <c r="C22" s="9"/>
      <c r="D22" s="3">
        <f>0</f>
        <v>0</v>
      </c>
      <c r="E22" s="3"/>
      <c r="F22" s="26"/>
      <c r="G22" s="3"/>
      <c r="H22" s="3">
        <f>0</f>
        <v>0</v>
      </c>
      <c r="I22" s="3"/>
      <c r="J22" s="26"/>
      <c r="K22" s="3"/>
      <c r="L22" s="3">
        <f t="shared" si="0"/>
        <v>0</v>
      </c>
      <c r="M22" s="3"/>
      <c r="N22" s="26">
        <f t="shared" si="1"/>
        <v>0</v>
      </c>
      <c r="O22" s="9"/>
      <c r="P22" s="3">
        <f>0</f>
        <v>0</v>
      </c>
      <c r="Q22" s="3"/>
      <c r="R22" s="26"/>
      <c r="S22" s="3"/>
      <c r="T22" s="3">
        <f>--326.37</f>
        <v>326.37</v>
      </c>
      <c r="U22" s="3"/>
      <c r="V22" s="26"/>
      <c r="W22" s="3"/>
      <c r="X22" s="3">
        <f t="shared" si="2"/>
        <v>-326.37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","4100"," - ","NON-TAXABLE SALES")</f>
        <v xml:space="preserve">          4100 - NON-TAXABLE SALES</v>
      </c>
      <c r="C23" s="9"/>
      <c r="D23" s="3">
        <f>--17.08</f>
        <v>17.079999999999998</v>
      </c>
      <c r="E23" s="3"/>
      <c r="F23" s="26"/>
      <c r="G23" s="3"/>
      <c r="H23" s="3">
        <f>0</f>
        <v>0</v>
      </c>
      <c r="I23" s="3"/>
      <c r="J23" s="26"/>
      <c r="K23" s="3"/>
      <c r="L23" s="3">
        <f t="shared" si="0"/>
        <v>17.079999999999998</v>
      </c>
      <c r="M23" s="3"/>
      <c r="N23" s="26">
        <f t="shared" si="1"/>
        <v>0</v>
      </c>
      <c r="O23" s="9"/>
      <c r="P23" s="3">
        <f>--287.49</f>
        <v>287.49</v>
      </c>
      <c r="Q23" s="3"/>
      <c r="R23" s="26"/>
      <c r="S23" s="3"/>
      <c r="T23" s="3">
        <f>0</f>
        <v>0</v>
      </c>
      <c r="U23" s="3"/>
      <c r="V23" s="26"/>
      <c r="W23" s="3"/>
      <c r="X23" s="3">
        <f t="shared" si="2"/>
        <v>287.49</v>
      </c>
      <c r="Y23" s="3"/>
      <c r="Z23" s="26">
        <f t="shared" si="3"/>
        <v>0</v>
      </c>
    </row>
    <row r="24" spans="1:26" s="69" customFormat="1" ht="15" hidden="1" customHeight="1" outlineLevel="1" x14ac:dyDescent="0.3">
      <c r="A24" s="47"/>
      <c r="B24" s="9" t="str">
        <f>CONCATENATE("          ","4131"," - ","NON-TAXABLE SALES-FOOD")</f>
        <v xml:space="preserve">          4131 - NON-TAXABLE SALES-FOOD</v>
      </c>
      <c r="C24" s="9"/>
      <c r="D24" s="3">
        <f>0</f>
        <v>0</v>
      </c>
      <c r="E24" s="3"/>
      <c r="F24" s="26"/>
      <c r="G24" s="3"/>
      <c r="H24" s="3">
        <f>--9</f>
        <v>9</v>
      </c>
      <c r="I24" s="3"/>
      <c r="J24" s="26"/>
      <c r="K24" s="3"/>
      <c r="L24" s="3">
        <f t="shared" si="0"/>
        <v>-9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--72</f>
        <v>72</v>
      </c>
      <c r="U24" s="3"/>
      <c r="V24" s="26"/>
      <c r="W24" s="3"/>
      <c r="X24" s="3">
        <f t="shared" si="2"/>
        <v>-72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","4137"," - ","NON-TAXABLE SALES-WATER")</f>
        <v xml:space="preserve">          4137 - NON-TAXABLE SALES-WATER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--9</f>
        <v>9</v>
      </c>
      <c r="U25" s="3"/>
      <c r="V25" s="26"/>
      <c r="W25" s="3"/>
      <c r="X25" s="3">
        <f t="shared" si="2"/>
        <v>-9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","4140"," - ","NON-TAXABLE SALES-LOGO CLOTHIN")</f>
        <v xml:space="preserve">          4140 - NON-TAXABLE SALES-LOGO CLOTHIN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--218.18</f>
        <v>218.18</v>
      </c>
      <c r="U26" s="3"/>
      <c r="V26" s="26"/>
      <c r="W26" s="3"/>
      <c r="X26" s="3">
        <f t="shared" si="2"/>
        <v>-218.18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","4145"," - ","NON-TAXABLE SALES-SPECIAL ORDE")</f>
        <v xml:space="preserve">          4145 - NON-TAXABLE SALES-SPECIAL ORDE</v>
      </c>
      <c r="C27" s="9"/>
      <c r="D27" s="3">
        <f>0</f>
        <v>0</v>
      </c>
      <c r="E27" s="3"/>
      <c r="F27" s="26"/>
      <c r="G27" s="3"/>
      <c r="H27" s="3">
        <f>0</f>
        <v>0</v>
      </c>
      <c r="I27" s="3"/>
      <c r="J27" s="26"/>
      <c r="K27" s="3"/>
      <c r="L27" s="3">
        <f t="shared" si="0"/>
        <v>0</v>
      </c>
      <c r="M27" s="3"/>
      <c r="N27" s="26">
        <f t="shared" si="1"/>
        <v>0</v>
      </c>
      <c r="O27" s="9"/>
      <c r="P27" s="3">
        <f>0</f>
        <v>0</v>
      </c>
      <c r="Q27" s="3"/>
      <c r="R27" s="26"/>
      <c r="S27" s="3"/>
      <c r="T27" s="3">
        <f>--7</f>
        <v>7</v>
      </c>
      <c r="U27" s="3"/>
      <c r="V27" s="26"/>
      <c r="W27" s="3"/>
      <c r="X27" s="3">
        <f t="shared" si="2"/>
        <v>-7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","4200"," - ","TAXABLE RETURNS")</f>
        <v xml:space="preserve">          4200 - TAXABLE RETURNS</v>
      </c>
      <c r="C28" s="9"/>
      <c r="D28" s="3">
        <f>-1939.01</f>
        <v>-1939.01</v>
      </c>
      <c r="E28" s="3"/>
      <c r="F28" s="26"/>
      <c r="G28" s="3"/>
      <c r="H28" s="3">
        <f>0</f>
        <v>0</v>
      </c>
      <c r="I28" s="3"/>
      <c r="J28" s="26"/>
      <c r="K28" s="3"/>
      <c r="L28" s="3">
        <f t="shared" si="0"/>
        <v>-1939.01</v>
      </c>
      <c r="M28" s="3"/>
      <c r="N28" s="26">
        <f t="shared" si="1"/>
        <v>0</v>
      </c>
      <c r="O28" s="9"/>
      <c r="P28" s="3">
        <f>-18348.97</f>
        <v>-18348.97</v>
      </c>
      <c r="Q28" s="3"/>
      <c r="R28" s="26"/>
      <c r="S28" s="3"/>
      <c r="T28" s="3">
        <f>0</f>
        <v>0</v>
      </c>
      <c r="U28" s="3"/>
      <c r="V28" s="26"/>
      <c r="W28" s="3"/>
      <c r="X28" s="3">
        <f t="shared" si="2"/>
        <v>-18348.97</v>
      </c>
      <c r="Y28" s="3"/>
      <c r="Z28" s="26">
        <f t="shared" si="3"/>
        <v>0</v>
      </c>
    </row>
    <row r="29" spans="1:26" s="69" customFormat="1" ht="15" hidden="1" customHeight="1" outlineLevel="1" x14ac:dyDescent="0.3">
      <c r="A29" s="47"/>
      <c r="B29" s="9" t="str">
        <f>CONCATENATE("          ","4226"," - ","SALES RETURN TAXABLE-WRITING I")</f>
        <v xml:space="preserve">          4226 - SALES RETURN TAXABLE-WRITING I</v>
      </c>
      <c r="C29" s="9"/>
      <c r="D29" s="3">
        <f>0</f>
        <v>0</v>
      </c>
      <c r="E29" s="3"/>
      <c r="F29" s="26"/>
      <c r="G29" s="3"/>
      <c r="H29" s="3">
        <f>0</f>
        <v>0</v>
      </c>
      <c r="I29" s="3"/>
      <c r="J29" s="26"/>
      <c r="K29" s="3"/>
      <c r="L29" s="3">
        <f t="shared" si="0"/>
        <v>0</v>
      </c>
      <c r="M29" s="3"/>
      <c r="N29" s="26">
        <f t="shared" si="1"/>
        <v>0</v>
      </c>
      <c r="O29" s="9"/>
      <c r="P29" s="3">
        <f>0</f>
        <v>0</v>
      </c>
      <c r="Q29" s="3"/>
      <c r="R29" s="26"/>
      <c r="S29" s="3"/>
      <c r="T29" s="3">
        <f>-28.64</f>
        <v>-28.64</v>
      </c>
      <c r="U29" s="3"/>
      <c r="V29" s="26"/>
      <c r="W29" s="3"/>
      <c r="X29" s="3">
        <f t="shared" si="2"/>
        <v>28.64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","4227"," - ","SALES RETURN TAXABLE-SCHOOL SU")</f>
        <v xml:space="preserve">          4227 - SALES RETURN TAXABLE-SCHOOL SU</v>
      </c>
      <c r="C30" s="9"/>
      <c r="D30" s="3">
        <f>0</f>
        <v>0</v>
      </c>
      <c r="E30" s="3"/>
      <c r="F30" s="26"/>
      <c r="G30" s="3"/>
      <c r="H30" s="3">
        <f>0</f>
        <v>0</v>
      </c>
      <c r="I30" s="3"/>
      <c r="J30" s="26"/>
      <c r="K30" s="3"/>
      <c r="L30" s="3">
        <f t="shared" si="0"/>
        <v>0</v>
      </c>
      <c r="M30" s="3"/>
      <c r="N30" s="26">
        <f t="shared" si="1"/>
        <v>0</v>
      </c>
      <c r="O30" s="9"/>
      <c r="P30" s="3">
        <f>0</f>
        <v>0</v>
      </c>
      <c r="Q30" s="3"/>
      <c r="R30" s="26"/>
      <c r="S30" s="3"/>
      <c r="T30" s="3">
        <f>-43.21</f>
        <v>-43.21</v>
      </c>
      <c r="U30" s="3"/>
      <c r="V30" s="26"/>
      <c r="W30" s="3"/>
      <c r="X30" s="3">
        <f t="shared" si="2"/>
        <v>43.21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","4240"," - ","SALES RETURN TAXABLE-LOGO CLOT")</f>
        <v xml:space="preserve">          4240 - SALES RETURN TAXABLE-LOGO CLOT</v>
      </c>
      <c r="C31" s="9"/>
      <c r="D31" s="3">
        <f>0</f>
        <v>0</v>
      </c>
      <c r="E31" s="3"/>
      <c r="F31" s="26"/>
      <c r="G31" s="3"/>
      <c r="H31" s="3">
        <f>-1436.31</f>
        <v>-1436.31</v>
      </c>
      <c r="I31" s="3"/>
      <c r="J31" s="26"/>
      <c r="K31" s="3"/>
      <c r="L31" s="3">
        <f t="shared" si="0"/>
        <v>1436.31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-11330.69</f>
        <v>-11330.69</v>
      </c>
      <c r="U31" s="3"/>
      <c r="V31" s="26"/>
      <c r="W31" s="3"/>
      <c r="X31" s="3">
        <f t="shared" si="2"/>
        <v>11330.69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","4241"," - ","SALES RETURN TAXABLE-LOGO GIFT")</f>
        <v xml:space="preserve">          4241 - SALES RETURN TAXABLE-LOGO GIFT</v>
      </c>
      <c r="C32" s="9"/>
      <c r="D32" s="3">
        <f>0</f>
        <v>0</v>
      </c>
      <c r="E32" s="3"/>
      <c r="F32" s="26"/>
      <c r="G32" s="3"/>
      <c r="H32" s="3">
        <f>-74.17</f>
        <v>-74.17</v>
      </c>
      <c r="I32" s="3"/>
      <c r="J32" s="26"/>
      <c r="K32" s="3"/>
      <c r="L32" s="3">
        <f t="shared" si="0"/>
        <v>74.17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-774.08</f>
        <v>-774.08</v>
      </c>
      <c r="U32" s="3"/>
      <c r="V32" s="26"/>
      <c r="W32" s="3"/>
      <c r="X32" s="3">
        <f t="shared" si="2"/>
        <v>774.08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","4242"," - ","SALES RETURN TAXABLE-EVERYDAY")</f>
        <v xml:space="preserve">          4242 - SALES RETURN TAXABLE-EVERYDAY</v>
      </c>
      <c r="C33" s="9"/>
      <c r="D33" s="3">
        <f>0</f>
        <v>0</v>
      </c>
      <c r="E33" s="3"/>
      <c r="F33" s="26"/>
      <c r="G33" s="3"/>
      <c r="H33" s="3">
        <f>-37.46</f>
        <v>-37.46</v>
      </c>
      <c r="I33" s="3"/>
      <c r="J33" s="26"/>
      <c r="K33" s="3"/>
      <c r="L33" s="3">
        <f t="shared" si="0"/>
        <v>37.46</v>
      </c>
      <c r="M33" s="3"/>
      <c r="N33" s="26">
        <f t="shared" si="1"/>
        <v>-1</v>
      </c>
      <c r="O33" s="9"/>
      <c r="P33" s="3">
        <f>0</f>
        <v>0</v>
      </c>
      <c r="Q33" s="3"/>
      <c r="R33" s="26"/>
      <c r="S33" s="3"/>
      <c r="T33" s="3">
        <f>-363.52</f>
        <v>-363.52</v>
      </c>
      <c r="U33" s="3"/>
      <c r="V33" s="26"/>
      <c r="W33" s="3"/>
      <c r="X33" s="3">
        <f t="shared" si="2"/>
        <v>363.52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","4244"," - ","SALES RETURN TAXABLE-ACCESSORI")</f>
        <v xml:space="preserve">          4244 - SALES RETURN TAXABLE-ACCESSORI</v>
      </c>
      <c r="C34" s="9"/>
      <c r="D34" s="3">
        <f>0</f>
        <v>0</v>
      </c>
      <c r="E34" s="3"/>
      <c r="F34" s="26"/>
      <c r="G34" s="3"/>
      <c r="H34" s="3">
        <f>-4.99</f>
        <v>-4.99</v>
      </c>
      <c r="I34" s="3"/>
      <c r="J34" s="26"/>
      <c r="K34" s="3"/>
      <c r="L34" s="3">
        <f t="shared" si="0"/>
        <v>4.99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-64.82</f>
        <v>-64.819999999999993</v>
      </c>
      <c r="U34" s="3"/>
      <c r="V34" s="26"/>
      <c r="W34" s="3"/>
      <c r="X34" s="3">
        <f t="shared" si="2"/>
        <v>64.819999999999993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","4245"," - ","SALES RETURN TAXABLE-SPECIAL O")</f>
        <v xml:space="preserve">          4245 - SALES RETURN TAXABLE-SPECIAL O</v>
      </c>
      <c r="C35" s="9"/>
      <c r="D35" s="3">
        <f>0</f>
        <v>0</v>
      </c>
      <c r="E35" s="3"/>
      <c r="F35" s="26"/>
      <c r="G35" s="3"/>
      <c r="H35" s="3">
        <f>0</f>
        <v>0</v>
      </c>
      <c r="I35" s="3"/>
      <c r="J35" s="26"/>
      <c r="K35" s="3"/>
      <c r="L35" s="3">
        <f t="shared" si="0"/>
        <v>0</v>
      </c>
      <c r="M35" s="3"/>
      <c r="N35" s="26">
        <f t="shared" si="1"/>
        <v>0</v>
      </c>
      <c r="O35" s="9"/>
      <c r="P35" s="3">
        <f>0</f>
        <v>0</v>
      </c>
      <c r="Q35" s="3"/>
      <c r="R35" s="26"/>
      <c r="S35" s="3"/>
      <c r="T35" s="3">
        <f>-7</f>
        <v>-7</v>
      </c>
      <c r="U35" s="3"/>
      <c r="V35" s="26"/>
      <c r="W35" s="3"/>
      <c r="X35" s="3">
        <f t="shared" si="2"/>
        <v>7</v>
      </c>
      <c r="Y35" s="3"/>
      <c r="Z35" s="26">
        <f t="shared" si="3"/>
        <v>-1</v>
      </c>
    </row>
    <row r="36" spans="1:26" s="69" customFormat="1" ht="15" hidden="1" customHeight="1" outlineLevel="1" x14ac:dyDescent="0.3">
      <c r="A36" s="47"/>
      <c r="B36" s="9" t="str">
        <f>CONCATENATE("          ","4500"," - ","SALES DISCOUNT")</f>
        <v xml:space="preserve">          4500 - SALES DISCOUNT</v>
      </c>
      <c r="C36" s="9"/>
      <c r="D36" s="3">
        <f>-1011.71</f>
        <v>-1011.71</v>
      </c>
      <c r="E36" s="3"/>
      <c r="F36" s="26"/>
      <c r="G36" s="3"/>
      <c r="H36" s="3">
        <f>0</f>
        <v>0</v>
      </c>
      <c r="I36" s="3"/>
      <c r="J36" s="26"/>
      <c r="K36" s="3"/>
      <c r="L36" s="3">
        <f t="shared" si="0"/>
        <v>-1011.71</v>
      </c>
      <c r="M36" s="3"/>
      <c r="N36" s="26">
        <f t="shared" si="1"/>
        <v>0</v>
      </c>
      <c r="O36" s="9"/>
      <c r="P36" s="3">
        <f>-8972.31</f>
        <v>-8972.31</v>
      </c>
      <c r="Q36" s="3"/>
      <c r="R36" s="26"/>
      <c r="S36" s="3"/>
      <c r="T36" s="3">
        <f>0</f>
        <v>0</v>
      </c>
      <c r="U36" s="3"/>
      <c r="V36" s="26"/>
      <c r="W36" s="3"/>
      <c r="X36" s="3">
        <f t="shared" si="2"/>
        <v>-8972.31</v>
      </c>
      <c r="Y36" s="3"/>
      <c r="Z36" s="26">
        <f t="shared" si="3"/>
        <v>0</v>
      </c>
    </row>
    <row r="37" spans="1:26" ht="15" customHeight="1" x14ac:dyDescent="0.3">
      <c r="A37" s="12"/>
      <c r="B37" s="13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collapsed="1" x14ac:dyDescent="0.3">
      <c r="A38" s="13"/>
      <c r="B38" s="27" t="s">
        <v>287</v>
      </c>
      <c r="C38" s="13"/>
      <c r="D38" s="8">
        <f>SUM(OSRRefD16x_0)</f>
        <v>-172345.34000000003</v>
      </c>
      <c r="E38" s="8"/>
      <c r="F38" s="14">
        <f t="shared" ref="F38:F54" si="4">IF(D$12=0,0,D38/D$12)</f>
        <v>-4.5101208959668719</v>
      </c>
      <c r="G38" s="8"/>
      <c r="H38" s="8">
        <f>SUM(OSRRefH16x_0)</f>
        <v>-110848.56999999998</v>
      </c>
      <c r="I38" s="8"/>
      <c r="J38" s="14">
        <f t="shared" ref="J38:J54" si="5">IF(H$12=0,0,H38/H$12)</f>
        <v>-3.2955414925472524</v>
      </c>
      <c r="K38" s="8"/>
      <c r="L38" s="8">
        <f t="shared" ref="L38:L54" si="6">+D38-H38</f>
        <v>-61496.770000000048</v>
      </c>
      <c r="M38" s="8"/>
      <c r="N38" s="14">
        <f t="shared" ref="N38:N54" si="7">IF(H38=0,0,L38/H38)</f>
        <v>0.55478180728898951</v>
      </c>
      <c r="O38" s="13"/>
      <c r="P38" s="8">
        <f>SUM(OSRRefP16x_0)</f>
        <v>599.84999999998604</v>
      </c>
      <c r="Q38" s="8"/>
      <c r="R38" s="14">
        <f t="shared" ref="R38:R54" si="8">IF(P$12=0,0,P38/P$12)</f>
        <v>1.4408967155337339E-3</v>
      </c>
      <c r="S38" s="8"/>
      <c r="T38" s="8">
        <f>SUM(OSRRefT16x_0)</f>
        <v>20124.430000000022</v>
      </c>
      <c r="U38" s="8"/>
      <c r="V38" s="14">
        <f t="shared" ref="V38:V54" si="9">IF(T$12=0,0,T38/T$12)</f>
        <v>6.2958702332616467E-2</v>
      </c>
      <c r="W38" s="8"/>
      <c r="X38" s="8">
        <f t="shared" ref="X38:X54" si="10">+P38-T38</f>
        <v>-19524.580000000034</v>
      </c>
      <c r="Y38" s="8"/>
      <c r="Z38" s="14">
        <f t="shared" ref="Z38:Z54" si="11">IF(T38=0,0,X38/T38)</f>
        <v>-0.97019294459520156</v>
      </c>
    </row>
    <row r="39" spans="1:26" s="69" customFormat="1" ht="15" hidden="1" customHeight="1" outlineLevel="1" x14ac:dyDescent="0.3">
      <c r="A39" s="47"/>
      <c r="B39" s="9" t="str">
        <f>CONCATENATE("          ","5000"," - ","PURCHASES @ COST")</f>
        <v xml:space="preserve">          5000 - PURCHASES @ COST</v>
      </c>
      <c r="C39" s="9"/>
      <c r="D39" s="3">
        <v>-190978.89</v>
      </c>
      <c r="E39" s="3"/>
      <c r="F39" s="26">
        <f t="shared" si="4"/>
        <v>-4.9977439626598468</v>
      </c>
      <c r="G39" s="3"/>
      <c r="H39" s="3"/>
      <c r="I39" s="3"/>
      <c r="J39" s="26">
        <f t="shared" si="5"/>
        <v>0</v>
      </c>
      <c r="K39" s="3"/>
      <c r="L39" s="3">
        <f t="shared" si="6"/>
        <v>-190978.89</v>
      </c>
      <c r="M39" s="3"/>
      <c r="N39" s="26">
        <f t="shared" si="7"/>
        <v>0</v>
      </c>
      <c r="O39" s="9"/>
      <c r="P39" s="3">
        <v>-185324.09</v>
      </c>
      <c r="Q39" s="3"/>
      <c r="R39" s="26">
        <f t="shared" si="8"/>
        <v>-0.44516607917026646</v>
      </c>
      <c r="S39" s="3"/>
      <c r="T39" s="3"/>
      <c r="U39" s="3"/>
      <c r="V39" s="26">
        <f t="shared" si="9"/>
        <v>0</v>
      </c>
      <c r="W39" s="3"/>
      <c r="X39" s="3">
        <f t="shared" si="10"/>
        <v>-185324.09</v>
      </c>
      <c r="Y39" s="3"/>
      <c r="Z39" s="26">
        <f t="shared" si="11"/>
        <v>0</v>
      </c>
    </row>
    <row r="40" spans="1:26" s="69" customFormat="1" ht="15" hidden="1" customHeight="1" outlineLevel="1" x14ac:dyDescent="0.3">
      <c r="A40" s="47"/>
      <c r="B40" s="9" t="str">
        <f>CONCATENATE("          ","5026"," - ","PURCHASES @ COST-WRITING INSTR")</f>
        <v xml:space="preserve">          5026 - PURCHASES @ COST-WRITING INSTR</v>
      </c>
      <c r="C40" s="9"/>
      <c r="D40" s="3"/>
      <c r="E40" s="3"/>
      <c r="F40" s="26">
        <f t="shared" si="4"/>
        <v>0</v>
      </c>
      <c r="G40" s="3"/>
      <c r="H40" s="3">
        <v>-248.27</v>
      </c>
      <c r="I40" s="3"/>
      <c r="J40" s="26">
        <f t="shared" si="5"/>
        <v>-7.3810973506893826E-3</v>
      </c>
      <c r="K40" s="3"/>
      <c r="L40" s="3">
        <f t="shared" si="6"/>
        <v>248.27</v>
      </c>
      <c r="M40" s="3"/>
      <c r="N40" s="26">
        <f t="shared" si="7"/>
        <v>-1</v>
      </c>
      <c r="O40" s="9"/>
      <c r="P40" s="3"/>
      <c r="Q40" s="3"/>
      <c r="R40" s="26">
        <f t="shared" si="8"/>
        <v>0</v>
      </c>
      <c r="S40" s="3"/>
      <c r="T40" s="3">
        <v>-250.32</v>
      </c>
      <c r="U40" s="3"/>
      <c r="V40" s="26">
        <f t="shared" si="9"/>
        <v>-7.8311894388564225E-4</v>
      </c>
      <c r="W40" s="3"/>
      <c r="X40" s="3">
        <f t="shared" si="10"/>
        <v>250.32</v>
      </c>
      <c r="Y40" s="3"/>
      <c r="Z40" s="26">
        <f t="shared" si="11"/>
        <v>-1</v>
      </c>
    </row>
    <row r="41" spans="1:26" s="69" customFormat="1" ht="15" hidden="1" customHeight="1" outlineLevel="1" x14ac:dyDescent="0.3">
      <c r="A41" s="47"/>
      <c r="B41" s="9" t="str">
        <f>CONCATENATE("          ","5027"," - ","PURCHASES @ COST-SCHOOL SUPPLI")</f>
        <v xml:space="preserve">          5027 - PURCHASES @ COST-SCHOOL SUPPLI</v>
      </c>
      <c r="C41" s="9"/>
      <c r="D41" s="3"/>
      <c r="E41" s="3"/>
      <c r="F41" s="26">
        <f t="shared" si="4"/>
        <v>0</v>
      </c>
      <c r="G41" s="3"/>
      <c r="H41" s="3">
        <v>-333.98</v>
      </c>
      <c r="I41" s="3"/>
      <c r="J41" s="26">
        <f t="shared" si="5"/>
        <v>-9.9292660941041611E-3</v>
      </c>
      <c r="K41" s="3"/>
      <c r="L41" s="3">
        <f t="shared" si="6"/>
        <v>333.98</v>
      </c>
      <c r="M41" s="3"/>
      <c r="N41" s="26">
        <f t="shared" si="7"/>
        <v>-1</v>
      </c>
      <c r="O41" s="9"/>
      <c r="P41" s="3"/>
      <c r="Q41" s="3"/>
      <c r="R41" s="26">
        <f t="shared" si="8"/>
        <v>0</v>
      </c>
      <c r="S41" s="3"/>
      <c r="T41" s="3">
        <v>-333.98</v>
      </c>
      <c r="U41" s="3"/>
      <c r="V41" s="26">
        <f t="shared" si="9"/>
        <v>-1.0448468555406152E-3</v>
      </c>
      <c r="W41" s="3"/>
      <c r="X41" s="3">
        <f t="shared" si="10"/>
        <v>333.98</v>
      </c>
      <c r="Y41" s="3"/>
      <c r="Z41" s="26">
        <f t="shared" si="11"/>
        <v>-1</v>
      </c>
    </row>
    <row r="42" spans="1:26" s="69" customFormat="1" ht="15" hidden="1" customHeight="1" outlineLevel="1" x14ac:dyDescent="0.3">
      <c r="A42" s="47"/>
      <c r="B42" s="9" t="str">
        <f>CONCATENATE("          ","5028"," - ","PURCHASES @ COST-ART/TECH")</f>
        <v xml:space="preserve">          5028 - PURCHASES @ COST-ART/TECH</v>
      </c>
      <c r="C42" s="9"/>
      <c r="D42" s="3"/>
      <c r="E42" s="3"/>
      <c r="F42" s="26">
        <f t="shared" si="4"/>
        <v>0</v>
      </c>
      <c r="G42" s="3"/>
      <c r="H42" s="3">
        <v>-32</v>
      </c>
      <c r="I42" s="3"/>
      <c r="J42" s="26">
        <f t="shared" si="5"/>
        <v>-9.5136389906980395E-4</v>
      </c>
      <c r="K42" s="3"/>
      <c r="L42" s="3">
        <f t="shared" si="6"/>
        <v>32</v>
      </c>
      <c r="M42" s="3"/>
      <c r="N42" s="26">
        <f t="shared" si="7"/>
        <v>-1</v>
      </c>
      <c r="O42" s="9"/>
      <c r="P42" s="3"/>
      <c r="Q42" s="3"/>
      <c r="R42" s="26">
        <f t="shared" si="8"/>
        <v>0</v>
      </c>
      <c r="S42" s="3"/>
      <c r="T42" s="3">
        <v>-32</v>
      </c>
      <c r="U42" s="3"/>
      <c r="V42" s="26">
        <f t="shared" si="9"/>
        <v>-1.0011108263159376E-4</v>
      </c>
      <c r="W42" s="3"/>
      <c r="X42" s="3">
        <f t="shared" si="10"/>
        <v>32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","5031"," - ","PURCHASES @ COST-FOOD")</f>
        <v xml:space="preserve">          5031 - PURCHASES @ COST-FOOD</v>
      </c>
      <c r="C43" s="9"/>
      <c r="D43" s="3"/>
      <c r="E43" s="3"/>
      <c r="F43" s="26">
        <f t="shared" si="4"/>
        <v>0</v>
      </c>
      <c r="G43" s="3"/>
      <c r="H43" s="3">
        <v>-42.51</v>
      </c>
      <c r="I43" s="3"/>
      <c r="J43" s="26">
        <f t="shared" si="5"/>
        <v>-1.2638274796705428E-3</v>
      </c>
      <c r="K43" s="3"/>
      <c r="L43" s="3">
        <f t="shared" si="6"/>
        <v>42.51</v>
      </c>
      <c r="M43" s="3"/>
      <c r="N43" s="26">
        <f t="shared" si="7"/>
        <v>-1</v>
      </c>
      <c r="O43" s="9"/>
      <c r="P43" s="3"/>
      <c r="Q43" s="3"/>
      <c r="R43" s="26">
        <f t="shared" si="8"/>
        <v>0</v>
      </c>
      <c r="S43" s="3"/>
      <c r="T43" s="3">
        <v>-42.51</v>
      </c>
      <c r="U43" s="3"/>
      <c r="V43" s="26">
        <f t="shared" si="9"/>
        <v>-1.3299131633340785E-4</v>
      </c>
      <c r="W43" s="3"/>
      <c r="X43" s="3">
        <f t="shared" si="10"/>
        <v>42.51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","5037"," - ","PURCHASES @ COST-WATER")</f>
        <v xml:space="preserve">          5037 - PURCHASES @ COST-WATER</v>
      </c>
      <c r="C44" s="9"/>
      <c r="D44" s="3"/>
      <c r="E44" s="3"/>
      <c r="F44" s="26">
        <f t="shared" si="4"/>
        <v>0</v>
      </c>
      <c r="G44" s="3"/>
      <c r="H44" s="3">
        <v>11</v>
      </c>
      <c r="I44" s="3"/>
      <c r="J44" s="26">
        <f t="shared" si="5"/>
        <v>3.2703134030524512E-4</v>
      </c>
      <c r="K44" s="3"/>
      <c r="L44" s="3">
        <f t="shared" si="6"/>
        <v>-11</v>
      </c>
      <c r="M44" s="3"/>
      <c r="N44" s="26">
        <f t="shared" si="7"/>
        <v>-1</v>
      </c>
      <c r="O44" s="9"/>
      <c r="P44" s="3"/>
      <c r="Q44" s="3"/>
      <c r="R44" s="26">
        <f t="shared" si="8"/>
        <v>0</v>
      </c>
      <c r="S44" s="3"/>
      <c r="T44" s="3">
        <v>11</v>
      </c>
      <c r="U44" s="3"/>
      <c r="V44" s="26">
        <f t="shared" si="9"/>
        <v>3.4413184654610359E-5</v>
      </c>
      <c r="W44" s="3"/>
      <c r="X44" s="3">
        <f t="shared" si="10"/>
        <v>-11</v>
      </c>
      <c r="Y44" s="3"/>
      <c r="Z44" s="26">
        <f t="shared" si="11"/>
        <v>-1</v>
      </c>
    </row>
    <row r="45" spans="1:26" s="69" customFormat="1" ht="15" hidden="1" customHeight="1" outlineLevel="1" x14ac:dyDescent="0.3">
      <c r="A45" s="47"/>
      <c r="B45" s="9" t="str">
        <f>CONCATENATE("          ","5040"," - ","PURCHASES @ COST-LOGO CLOTHING")</f>
        <v xml:space="preserve">          5040 - PURCHASES @ COST-LOGO CLOTHING</v>
      </c>
      <c r="C45" s="9"/>
      <c r="D45" s="3"/>
      <c r="E45" s="3"/>
      <c r="F45" s="26">
        <f t="shared" si="4"/>
        <v>0</v>
      </c>
      <c r="G45" s="3"/>
      <c r="H45" s="3">
        <v>-120465.93</v>
      </c>
      <c r="I45" s="3"/>
      <c r="J45" s="26">
        <f t="shared" si="5"/>
        <v>-3.5814667771834396</v>
      </c>
      <c r="K45" s="3"/>
      <c r="L45" s="3">
        <f t="shared" si="6"/>
        <v>120465.93</v>
      </c>
      <c r="M45" s="3"/>
      <c r="N45" s="26">
        <f t="shared" si="7"/>
        <v>-1</v>
      </c>
      <c r="O45" s="9"/>
      <c r="P45" s="3"/>
      <c r="Q45" s="3"/>
      <c r="R45" s="26">
        <f t="shared" si="8"/>
        <v>0</v>
      </c>
      <c r="S45" s="3"/>
      <c r="T45" s="3">
        <v>-120465.93</v>
      </c>
      <c r="U45" s="3"/>
      <c r="V45" s="26">
        <f t="shared" si="9"/>
        <v>-0.37687420851630593</v>
      </c>
      <c r="W45" s="3"/>
      <c r="X45" s="3">
        <f t="shared" si="10"/>
        <v>120465.93</v>
      </c>
      <c r="Y45" s="3"/>
      <c r="Z45" s="26">
        <f t="shared" si="11"/>
        <v>-1</v>
      </c>
    </row>
    <row r="46" spans="1:26" s="69" customFormat="1" ht="15" hidden="1" customHeight="1" outlineLevel="1" x14ac:dyDescent="0.3">
      <c r="A46" s="47"/>
      <c r="B46" s="9" t="str">
        <f>CONCATENATE("          ","5041"," - ","PURCHASES @ COST-LOGO GIFTS")</f>
        <v xml:space="preserve">          5041 - PURCHASES @ COST-LOGO GIFTS</v>
      </c>
      <c r="C46" s="9"/>
      <c r="D46" s="3"/>
      <c r="E46" s="3"/>
      <c r="F46" s="26">
        <f t="shared" si="4"/>
        <v>0</v>
      </c>
      <c r="G46" s="3"/>
      <c r="H46" s="3">
        <v>-9429.7800000000007</v>
      </c>
      <c r="I46" s="3"/>
      <c r="J46" s="26">
        <f t="shared" si="5"/>
        <v>-0.28034850838032677</v>
      </c>
      <c r="K46" s="3"/>
      <c r="L46" s="3">
        <f t="shared" si="6"/>
        <v>9429.7800000000007</v>
      </c>
      <c r="M46" s="3"/>
      <c r="N46" s="26">
        <f t="shared" si="7"/>
        <v>-1</v>
      </c>
      <c r="O46" s="9"/>
      <c r="P46" s="3"/>
      <c r="Q46" s="3"/>
      <c r="R46" s="26">
        <f t="shared" si="8"/>
        <v>0</v>
      </c>
      <c r="S46" s="3"/>
      <c r="T46" s="3">
        <v>-9222.18</v>
      </c>
      <c r="U46" s="3"/>
      <c r="V46" s="26">
        <f t="shared" si="9"/>
        <v>-2.8851325750732234E-2</v>
      </c>
      <c r="W46" s="3"/>
      <c r="X46" s="3">
        <f t="shared" si="10"/>
        <v>9222.18</v>
      </c>
      <c r="Y46" s="3"/>
      <c r="Z46" s="26">
        <f t="shared" si="11"/>
        <v>-1</v>
      </c>
    </row>
    <row r="47" spans="1:26" s="69" customFormat="1" ht="15" hidden="1" customHeight="1" outlineLevel="1" x14ac:dyDescent="0.3">
      <c r="A47" s="47"/>
      <c r="B47" s="9" t="str">
        <f>CONCATENATE("          ","5042"," - ","PURCHASES @ COST-EVERYDAY GIFT")</f>
        <v xml:space="preserve">          5042 - PURCHASES @ COST-EVERYDAY GIFT</v>
      </c>
      <c r="C47" s="9"/>
      <c r="D47" s="3"/>
      <c r="E47" s="3"/>
      <c r="F47" s="26">
        <f t="shared" si="4"/>
        <v>0</v>
      </c>
      <c r="G47" s="3"/>
      <c r="H47" s="3">
        <v>8014.4</v>
      </c>
      <c r="I47" s="3"/>
      <c r="J47" s="26">
        <f t="shared" si="5"/>
        <v>0.23826908852203241</v>
      </c>
      <c r="K47" s="3"/>
      <c r="L47" s="3">
        <f t="shared" si="6"/>
        <v>-8014.4</v>
      </c>
      <c r="M47" s="3"/>
      <c r="N47" s="26">
        <f t="shared" si="7"/>
        <v>-1</v>
      </c>
      <c r="O47" s="9"/>
      <c r="P47" s="3"/>
      <c r="Q47" s="3"/>
      <c r="R47" s="26">
        <f t="shared" si="8"/>
        <v>0</v>
      </c>
      <c r="S47" s="3"/>
      <c r="T47" s="3">
        <v>15960.44</v>
      </c>
      <c r="U47" s="3"/>
      <c r="V47" s="26">
        <f t="shared" si="9"/>
        <v>4.993177898989358E-2</v>
      </c>
      <c r="W47" s="3"/>
      <c r="X47" s="3">
        <f t="shared" si="10"/>
        <v>-15960.44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","5043"," - ","PURCHASES @ COST-CARDS")</f>
        <v xml:space="preserve">          5043 - PURCHASES @ COST-CARDS</v>
      </c>
      <c r="C48" s="9"/>
      <c r="D48" s="3"/>
      <c r="E48" s="3"/>
      <c r="F48" s="26">
        <f t="shared" si="4"/>
        <v>0</v>
      </c>
      <c r="G48" s="3"/>
      <c r="H48" s="3">
        <v>-5246.12</v>
      </c>
      <c r="I48" s="3"/>
      <c r="J48" s="26">
        <f t="shared" si="5"/>
        <v>-0.1559677868183775</v>
      </c>
      <c r="K48" s="3"/>
      <c r="L48" s="3">
        <f t="shared" si="6"/>
        <v>5246.12</v>
      </c>
      <c r="M48" s="3"/>
      <c r="N48" s="26">
        <f t="shared" si="7"/>
        <v>-1</v>
      </c>
      <c r="O48" s="9"/>
      <c r="P48" s="3"/>
      <c r="Q48" s="3"/>
      <c r="R48" s="26">
        <f t="shared" si="8"/>
        <v>0</v>
      </c>
      <c r="S48" s="3"/>
      <c r="T48" s="3">
        <v>-5246.12</v>
      </c>
      <c r="U48" s="3"/>
      <c r="V48" s="26">
        <f t="shared" si="9"/>
        <v>-1.6412336025476773E-2</v>
      </c>
      <c r="W48" s="3"/>
      <c r="X48" s="3">
        <f t="shared" si="10"/>
        <v>5246.12</v>
      </c>
      <c r="Y48" s="3"/>
      <c r="Z48" s="26">
        <f t="shared" si="11"/>
        <v>-1</v>
      </c>
    </row>
    <row r="49" spans="1:26" s="69" customFormat="1" ht="15" hidden="1" customHeight="1" outlineLevel="1" x14ac:dyDescent="0.3">
      <c r="A49" s="47"/>
      <c r="B49" s="9" t="str">
        <f>CONCATENATE("          ","5044"," - ","PURCHASES @ COST-ACCESSORIES")</f>
        <v xml:space="preserve">          5044 - PURCHASES @ COST-ACCESSORIES</v>
      </c>
      <c r="C49" s="9"/>
      <c r="D49" s="3"/>
      <c r="E49" s="3"/>
      <c r="F49" s="26">
        <f t="shared" si="4"/>
        <v>0</v>
      </c>
      <c r="G49" s="3"/>
      <c r="H49" s="3">
        <v>-1731.59</v>
      </c>
      <c r="I49" s="3"/>
      <c r="J49" s="26">
        <f t="shared" si="5"/>
        <v>-5.1480381687196305E-2</v>
      </c>
      <c r="K49" s="3"/>
      <c r="L49" s="3">
        <f t="shared" si="6"/>
        <v>1731.59</v>
      </c>
      <c r="M49" s="3"/>
      <c r="N49" s="26">
        <f t="shared" si="7"/>
        <v>-1</v>
      </c>
      <c r="O49" s="9"/>
      <c r="P49" s="3"/>
      <c r="Q49" s="3"/>
      <c r="R49" s="26">
        <f t="shared" si="8"/>
        <v>0</v>
      </c>
      <c r="S49" s="3"/>
      <c r="T49" s="3">
        <v>-1731.59</v>
      </c>
      <c r="U49" s="3"/>
      <c r="V49" s="26">
        <f t="shared" si="9"/>
        <v>-5.417229674188795E-3</v>
      </c>
      <c r="W49" s="3"/>
      <c r="X49" s="3">
        <f t="shared" si="10"/>
        <v>1731.59</v>
      </c>
      <c r="Y49" s="3"/>
      <c r="Z49" s="26">
        <f t="shared" si="11"/>
        <v>-1</v>
      </c>
    </row>
    <row r="50" spans="1:26" s="69" customFormat="1" ht="15" hidden="1" customHeight="1" outlineLevel="1" x14ac:dyDescent="0.3">
      <c r="A50" s="47"/>
      <c r="B50" s="9" t="str">
        <f>CONCATENATE("          ","5045"," - ","PURCHASES @ COST-SPECIAL ORDER")</f>
        <v xml:space="preserve">          5045 - PURCHASES @ COST-SPECIAL ORDER</v>
      </c>
      <c r="C50" s="9"/>
      <c r="D50" s="3"/>
      <c r="E50" s="3"/>
      <c r="F50" s="26">
        <f t="shared" si="4"/>
        <v>0</v>
      </c>
      <c r="G50" s="3"/>
      <c r="H50" s="3">
        <v>-210</v>
      </c>
      <c r="I50" s="3"/>
      <c r="J50" s="26">
        <f t="shared" si="5"/>
        <v>-6.2433255876455885E-3</v>
      </c>
      <c r="K50" s="3"/>
      <c r="L50" s="3">
        <f t="shared" si="6"/>
        <v>210</v>
      </c>
      <c r="M50" s="3"/>
      <c r="N50" s="26">
        <f t="shared" si="7"/>
        <v>-1</v>
      </c>
      <c r="O50" s="9"/>
      <c r="P50" s="3"/>
      <c r="Q50" s="3"/>
      <c r="R50" s="26">
        <f t="shared" si="8"/>
        <v>0</v>
      </c>
      <c r="S50" s="3"/>
      <c r="T50" s="3">
        <v>-210</v>
      </c>
      <c r="U50" s="3"/>
      <c r="V50" s="26">
        <f t="shared" si="9"/>
        <v>-6.5697897976983407E-4</v>
      </c>
      <c r="W50" s="3"/>
      <c r="X50" s="3">
        <f t="shared" si="10"/>
        <v>210</v>
      </c>
      <c r="Y50" s="3"/>
      <c r="Z50" s="26">
        <f t="shared" si="11"/>
        <v>-1</v>
      </c>
    </row>
    <row r="51" spans="1:26" s="69" customFormat="1" ht="15" hidden="1" customHeight="1" outlineLevel="1" x14ac:dyDescent="0.3">
      <c r="A51" s="47"/>
      <c r="B51" s="9" t="str">
        <f>CONCATENATE("          ","5086"," - ","PURCHASES @ COST-COMPUTER SUPP")</f>
        <v xml:space="preserve">          5086 - PURCHASES @ COST-COMPUTER SUPP</v>
      </c>
      <c r="C51" s="9"/>
      <c r="D51" s="3"/>
      <c r="E51" s="3"/>
      <c r="F51" s="26">
        <f t="shared" si="4"/>
        <v>0</v>
      </c>
      <c r="G51" s="3"/>
      <c r="H51" s="3">
        <v>13.21</v>
      </c>
      <c r="I51" s="3"/>
      <c r="J51" s="26">
        <f t="shared" si="5"/>
        <v>3.9273490958475349E-4</v>
      </c>
      <c r="K51" s="3"/>
      <c r="L51" s="3">
        <f t="shared" si="6"/>
        <v>-13.21</v>
      </c>
      <c r="M51" s="3"/>
      <c r="N51" s="26">
        <f t="shared" si="7"/>
        <v>-1</v>
      </c>
      <c r="O51" s="9"/>
      <c r="P51" s="3"/>
      <c r="Q51" s="3"/>
      <c r="R51" s="26">
        <f t="shared" si="8"/>
        <v>0</v>
      </c>
      <c r="S51" s="3"/>
      <c r="T51" s="3">
        <v>26.42</v>
      </c>
      <c r="U51" s="3"/>
      <c r="V51" s="26">
        <f t="shared" si="9"/>
        <v>8.2654212597709617E-5</v>
      </c>
      <c r="W51" s="3"/>
      <c r="X51" s="3">
        <f t="shared" si="10"/>
        <v>-26.42</v>
      </c>
      <c r="Y51" s="3"/>
      <c r="Z51" s="26">
        <f t="shared" si="11"/>
        <v>-1</v>
      </c>
    </row>
    <row r="52" spans="1:26" s="69" customFormat="1" ht="15" hidden="1" customHeight="1" outlineLevel="1" x14ac:dyDescent="0.3">
      <c r="A52" s="47"/>
      <c r="B52" s="9" t="str">
        <f>CONCATENATE("          ","5200"," - ","PURCHASES OFFSET")</f>
        <v xml:space="preserve">          5200 - PURCHASES OFFSET</v>
      </c>
      <c r="C52" s="9"/>
      <c r="D52" s="3"/>
      <c r="E52" s="3"/>
      <c r="F52" s="26">
        <f t="shared" si="4"/>
        <v>0</v>
      </c>
      <c r="G52" s="3"/>
      <c r="H52" s="3"/>
      <c r="I52" s="3"/>
      <c r="J52" s="26">
        <f t="shared" si="5"/>
        <v>0</v>
      </c>
      <c r="K52" s="3"/>
      <c r="L52" s="3">
        <f t="shared" si="6"/>
        <v>0</v>
      </c>
      <c r="M52" s="3"/>
      <c r="N52" s="26">
        <f t="shared" si="7"/>
        <v>0</v>
      </c>
      <c r="O52" s="9"/>
      <c r="P52" s="3">
        <v>-5747.79</v>
      </c>
      <c r="Q52" s="3"/>
      <c r="R52" s="26">
        <f t="shared" si="8"/>
        <v>-1.3806737905439416E-2</v>
      </c>
      <c r="S52" s="3"/>
      <c r="T52" s="3">
        <v>-8164.8</v>
      </c>
      <c r="U52" s="3"/>
      <c r="V52" s="26">
        <f t="shared" si="9"/>
        <v>-2.5543342733451151E-2</v>
      </c>
      <c r="W52" s="3"/>
      <c r="X52" s="3">
        <f t="shared" si="10"/>
        <v>2417.0100000000002</v>
      </c>
      <c r="Y52" s="3"/>
      <c r="Z52" s="26">
        <f t="shared" si="11"/>
        <v>-0.29602807172251616</v>
      </c>
    </row>
    <row r="53" spans="1:26" s="69" customFormat="1" ht="15" hidden="1" customHeight="1" outlineLevel="1" x14ac:dyDescent="0.3">
      <c r="A53" s="47"/>
      <c r="B53" s="9" t="str">
        <f>CONCATENATE("          ","5300"," - ","COG$ OFFSET")</f>
        <v xml:space="preserve">          5300 - COG$ OFFSET</v>
      </c>
      <c r="C53" s="9"/>
      <c r="D53" s="3">
        <v>18633.55</v>
      </c>
      <c r="E53" s="3"/>
      <c r="F53" s="26">
        <f t="shared" si="4"/>
        <v>0.48762306669297528</v>
      </c>
      <c r="G53" s="3"/>
      <c r="H53" s="3">
        <v>18853</v>
      </c>
      <c r="I53" s="3"/>
      <c r="J53" s="26">
        <f t="shared" si="5"/>
        <v>0.56050198716134425</v>
      </c>
      <c r="K53" s="3"/>
      <c r="L53" s="3">
        <f t="shared" si="6"/>
        <v>-219.45000000000073</v>
      </c>
      <c r="M53" s="3"/>
      <c r="N53" s="26">
        <f t="shared" si="7"/>
        <v>-1.164005728531272E-2</v>
      </c>
      <c r="O53" s="9"/>
      <c r="P53" s="3">
        <v>191578.74</v>
      </c>
      <c r="Q53" s="3"/>
      <c r="R53" s="26">
        <f t="shared" si="8"/>
        <v>0.4601903429725725</v>
      </c>
      <c r="S53" s="3"/>
      <c r="T53" s="3">
        <v>149826</v>
      </c>
      <c r="U53" s="3"/>
      <c r="V53" s="26">
        <f t="shared" si="9"/>
        <v>0.46872634582378653</v>
      </c>
      <c r="W53" s="3"/>
      <c r="X53" s="3">
        <f t="shared" si="10"/>
        <v>41752.739999999991</v>
      </c>
      <c r="Y53" s="3"/>
      <c r="Z53" s="26">
        <f t="shared" si="11"/>
        <v>0.27867486284089538</v>
      </c>
    </row>
    <row r="54" spans="1:26" s="69" customFormat="1" ht="15" hidden="1" customHeight="1" outlineLevel="1" x14ac:dyDescent="0.3">
      <c r="A54" s="47"/>
      <c r="B54" s="9" t="str">
        <f>CONCATENATE("          ","5500"," - ","FREIGHT-IN")</f>
        <v xml:space="preserve">          5500 - FREIGHT-IN</v>
      </c>
      <c r="C54" s="9"/>
      <c r="D54" s="3"/>
      <c r="E54" s="3"/>
      <c r="F54" s="26">
        <f t="shared" si="4"/>
        <v>0</v>
      </c>
      <c r="G54" s="3"/>
      <c r="H54" s="3"/>
      <c r="I54" s="3"/>
      <c r="J54" s="26">
        <f t="shared" si="5"/>
        <v>0</v>
      </c>
      <c r="K54" s="3"/>
      <c r="L54" s="3">
        <f t="shared" si="6"/>
        <v>0</v>
      </c>
      <c r="M54" s="3"/>
      <c r="N54" s="26">
        <f t="shared" si="7"/>
        <v>0</v>
      </c>
      <c r="O54" s="9"/>
      <c r="P54" s="3">
        <v>92.99</v>
      </c>
      <c r="Q54" s="3"/>
      <c r="R54" s="26">
        <f t="shared" si="8"/>
        <v>2.2337081866714186E-4</v>
      </c>
      <c r="S54" s="3"/>
      <c r="T54" s="3"/>
      <c r="U54" s="3"/>
      <c r="V54" s="26">
        <f t="shared" si="9"/>
        <v>0</v>
      </c>
      <c r="W54" s="3"/>
      <c r="X54" s="3">
        <f t="shared" si="10"/>
        <v>92.99</v>
      </c>
      <c r="Y54" s="3"/>
      <c r="Z54" s="26">
        <f t="shared" si="11"/>
        <v>0</v>
      </c>
    </row>
    <row r="55" spans="1:26" ht="15" customHeight="1" x14ac:dyDescent="0.3">
      <c r="A55" s="12"/>
      <c r="B55" s="13"/>
      <c r="C55" s="13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O55" s="13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2" customFormat="1" ht="15" customHeight="1" x14ac:dyDescent="0.3">
      <c r="A56" s="13"/>
      <c r="B56" s="28" t="s">
        <v>288</v>
      </c>
      <c r="C56" s="28"/>
      <c r="D56" s="22">
        <f>D12-D38</f>
        <v>210558.36000000004</v>
      </c>
      <c r="E56" s="15"/>
      <c r="F56" s="24">
        <f>IF(D$12=0,0,D56/D$12)</f>
        <v>5.5101208959668728</v>
      </c>
      <c r="G56" s="15"/>
      <c r="H56" s="22">
        <f>H12-H38</f>
        <v>144484.49</v>
      </c>
      <c r="I56" s="15"/>
      <c r="J56" s="24">
        <f>IF(H$12=0,0,H56/H$12)</f>
        <v>4.2955414925472528</v>
      </c>
      <c r="K56" s="17"/>
      <c r="L56" s="22">
        <f>+D56-H56</f>
        <v>66073.870000000054</v>
      </c>
      <c r="M56" s="17"/>
      <c r="N56" s="24">
        <f>IF(H56=0,0,L56/H56)</f>
        <v>0.45730770133181808</v>
      </c>
      <c r="O56" s="27"/>
      <c r="P56" s="22">
        <f>P12-P38</f>
        <v>415703.41</v>
      </c>
      <c r="Q56" s="15"/>
      <c r="R56" s="24">
        <f>IF(P$12=0,0,P56/P$12)</f>
        <v>0.99855910328446629</v>
      </c>
      <c r="S56" s="15"/>
      <c r="T56" s="22">
        <f>T12-T38</f>
        <v>299520.49999999988</v>
      </c>
      <c r="U56" s="15"/>
      <c r="V56" s="24">
        <f>IF(T$12=0,0,T56/T$12)</f>
        <v>0.93704129766738342</v>
      </c>
      <c r="W56" s="17"/>
      <c r="X56" s="22">
        <f>+P56-T56</f>
        <v>116182.91000000009</v>
      </c>
      <c r="Y56" s="17"/>
      <c r="Z56" s="24">
        <f>IF(T56=0,0,X56/T56)</f>
        <v>0.38789635433968672</v>
      </c>
    </row>
    <row r="57" spans="1:26" ht="15" customHeight="1" x14ac:dyDescent="0.3">
      <c r="A57" s="12"/>
      <c r="B57" s="13"/>
      <c r="C57" s="12"/>
      <c r="D57" s="2"/>
      <c r="E57" s="2"/>
      <c r="F57" s="5"/>
      <c r="G57" s="2"/>
      <c r="H57" s="2"/>
      <c r="I57" s="2"/>
      <c r="J57" s="5"/>
      <c r="K57" s="2"/>
      <c r="L57" s="2"/>
      <c r="M57" s="2"/>
      <c r="N57" s="5"/>
      <c r="O57" s="37"/>
      <c r="P57" s="2"/>
      <c r="Q57" s="2"/>
      <c r="R57" s="5"/>
      <c r="S57" s="2"/>
      <c r="T57" s="2"/>
      <c r="U57" s="2"/>
      <c r="V57" s="5"/>
      <c r="W57" s="2"/>
      <c r="X57" s="2"/>
      <c r="Y57" s="2"/>
      <c r="Z57" s="5"/>
    </row>
    <row r="58" spans="1:26" s="62" customFormat="1" ht="15" customHeight="1" x14ac:dyDescent="0.3">
      <c r="A58" s="13"/>
      <c r="B58" s="27" t="s">
        <v>289</v>
      </c>
      <c r="C58" s="13"/>
      <c r="D58" s="23" cm="1">
        <f t="array" ref="D58">SUM(OSRRefD22x_0)</f>
        <v>17095.680000000004</v>
      </c>
      <c r="E58" s="23"/>
      <c r="F58" s="34">
        <f t="shared" ref="F58:F89" si="12">IF(D$12=0,0,D58/D$12)</f>
        <v>0.4473784066268513</v>
      </c>
      <c r="G58" s="23"/>
      <c r="H58" s="23" cm="1">
        <f t="array" ref="H58">SUM(OSRRefH22x_0)</f>
        <v>21738.81</v>
      </c>
      <c r="I58" s="23"/>
      <c r="J58" s="34">
        <f t="shared" ref="J58:J89" si="13">IF(H$12=0,0,H58/H$12)</f>
        <v>0.6462974700855515</v>
      </c>
      <c r="K58" s="8"/>
      <c r="L58" s="23">
        <f t="shared" ref="L58:L89" si="14">+D58-H58</f>
        <v>-4643.1299999999974</v>
      </c>
      <c r="M58" s="8"/>
      <c r="N58" s="34">
        <f t="shared" ref="N58:N89" si="15">IF(H58=0,0,L58/H58)</f>
        <v>-0.21358712827427062</v>
      </c>
      <c r="O58" s="13"/>
      <c r="P58" s="23" cm="1">
        <f t="array" ref="P58">SUM(OSRRefP22x_0)</f>
        <v>211955.35000000006</v>
      </c>
      <c r="Q58" s="23"/>
      <c r="R58" s="34">
        <f t="shared" ref="R58:R89" si="16">IF(P$12=0,0,P58/P$12)</f>
        <v>0.50913689698226261</v>
      </c>
      <c r="S58" s="23"/>
      <c r="T58" s="23" cm="1">
        <f t="array" ref="T58">SUM(OSRRefT22x_0)</f>
        <v>258035.34</v>
      </c>
      <c r="U58" s="23"/>
      <c r="V58" s="34">
        <f t="shared" ref="V58:V89" si="17">IF(T$12=0,0,T58/T$12)</f>
        <v>0.80725616389410604</v>
      </c>
      <c r="W58" s="8"/>
      <c r="X58" s="23">
        <f t="shared" ref="X58:X89" si="18">+P58-T58</f>
        <v>-46079.989999999932</v>
      </c>
      <c r="Y58" s="8"/>
      <c r="Z58" s="34">
        <f t="shared" ref="Z58:Z89" si="19">IF(T58=0,0,X58/T58)</f>
        <v>-0.17858015107542996</v>
      </c>
    </row>
    <row r="59" spans="1:26" s="68" customFormat="1" ht="15" customHeight="1" outlineLevel="1" collapsed="1" x14ac:dyDescent="0.3">
      <c r="A59" s="20"/>
      <c r="B59" s="11" t="str">
        <f>CONCATENATE("     ","*Benefits                                         ")</f>
        <v xml:space="preserve">     *Benefits                                         </v>
      </c>
      <c r="C59" s="11"/>
      <c r="D59" s="2">
        <f>SUM(OSRRefD22_0x_0)</f>
        <v>-91.789999999999907</v>
      </c>
      <c r="E59" s="2"/>
      <c r="F59" s="5">
        <f t="shared" si="12"/>
        <v>-2.4020608682590355E-3</v>
      </c>
      <c r="G59" s="2"/>
      <c r="H59" s="2">
        <f>SUM(OSRRefH22_0x_0)</f>
        <v>3956.5299999999997</v>
      </c>
      <c r="I59" s="2"/>
      <c r="J59" s="5">
        <f t="shared" si="13"/>
        <v>0.11762811898708285</v>
      </c>
      <c r="K59" s="2"/>
      <c r="L59" s="2">
        <f t="shared" si="14"/>
        <v>-4048.3199999999997</v>
      </c>
      <c r="M59" s="2"/>
      <c r="N59" s="5">
        <f t="shared" si="15"/>
        <v>-1.0231996218908994</v>
      </c>
      <c r="O59" s="11"/>
      <c r="P59" s="2">
        <f>SUM(OSRRefP22_0x_0)</f>
        <v>14140.68</v>
      </c>
      <c r="Q59" s="2"/>
      <c r="R59" s="5">
        <f t="shared" si="16"/>
        <v>3.3967257426713408E-2</v>
      </c>
      <c r="S59" s="2"/>
      <c r="T59" s="2">
        <f>SUM(OSRRefT22_0x_0)</f>
        <v>55191.91</v>
      </c>
      <c r="U59" s="2"/>
      <c r="V59" s="5">
        <f t="shared" si="17"/>
        <v>0.17266630820642145</v>
      </c>
      <c r="W59" s="2"/>
      <c r="X59" s="2">
        <f t="shared" si="18"/>
        <v>-41051.230000000003</v>
      </c>
      <c r="Y59" s="2"/>
      <c r="Z59" s="5">
        <f t="shared" si="19"/>
        <v>-0.74379071135606656</v>
      </c>
    </row>
    <row r="60" spans="1:26" s="69" customFormat="1" ht="15" hidden="1" customHeight="1" outlineLevel="2" x14ac:dyDescent="0.3">
      <c r="A60" s="21"/>
      <c r="B60" s="9" t="str">
        <f>CONCATENATE("          ","6111"," - ","F.I.C.A.")</f>
        <v xml:space="preserve">          6111 - F.I.C.A.</v>
      </c>
      <c r="C60" s="9"/>
      <c r="D60" s="6">
        <v>570.1</v>
      </c>
      <c r="E60" s="3"/>
      <c r="F60" s="7">
        <f t="shared" si="12"/>
        <v>1.4918998812446647E-2</v>
      </c>
      <c r="G60" s="3"/>
      <c r="H60" s="6">
        <v>639.66999999999996</v>
      </c>
      <c r="I60" s="3"/>
      <c r="J60" s="7">
        <f t="shared" si="13"/>
        <v>1.9017467041186922E-2</v>
      </c>
      <c r="K60" s="3"/>
      <c r="L60" s="6">
        <f t="shared" si="14"/>
        <v>-69.569999999999936</v>
      </c>
      <c r="M60" s="3"/>
      <c r="N60" s="7">
        <f t="shared" si="15"/>
        <v>-0.10875920396454412</v>
      </c>
      <c r="O60" s="9"/>
      <c r="P60" s="6">
        <v>3217.98</v>
      </c>
      <c r="Q60" s="3"/>
      <c r="R60" s="7">
        <f t="shared" si="16"/>
        <v>7.7298938278792251E-3</v>
      </c>
      <c r="S60" s="3"/>
      <c r="T60" s="6">
        <v>8033.93</v>
      </c>
      <c r="U60" s="3"/>
      <c r="V60" s="7">
        <f t="shared" si="17"/>
        <v>2.5133919690201255E-2</v>
      </c>
      <c r="W60" s="3"/>
      <c r="X60" s="6">
        <f t="shared" si="18"/>
        <v>-4815.9500000000007</v>
      </c>
      <c r="Y60" s="3"/>
      <c r="Z60" s="7">
        <f t="shared" si="19"/>
        <v>-0.59945132705911064</v>
      </c>
    </row>
    <row r="61" spans="1:26" s="69" customFormat="1" ht="15" hidden="1" customHeight="1" outlineLevel="2" x14ac:dyDescent="0.3">
      <c r="A61" s="21"/>
      <c r="B61" s="9" t="str">
        <f>CONCATENATE("          ","6112"," - ","COMPENSATION INSURANCE")</f>
        <v xml:space="preserve">          6112 - COMPENSATION INSURANCE</v>
      </c>
      <c r="C61" s="9"/>
      <c r="D61" s="6">
        <v>-1553.34</v>
      </c>
      <c r="E61" s="3"/>
      <c r="F61" s="7">
        <f t="shared" si="12"/>
        <v>-4.0649495904798931E-2</v>
      </c>
      <c r="G61" s="3"/>
      <c r="H61" s="6">
        <v>106.32</v>
      </c>
      <c r="I61" s="3"/>
      <c r="J61" s="7">
        <f t="shared" si="13"/>
        <v>3.1609065546594236E-3</v>
      </c>
      <c r="K61" s="3"/>
      <c r="L61" s="6">
        <f t="shared" si="14"/>
        <v>-1659.6599999999999</v>
      </c>
      <c r="M61" s="3"/>
      <c r="N61" s="7">
        <f t="shared" si="15"/>
        <v>-15.610045146726861</v>
      </c>
      <c r="O61" s="9"/>
      <c r="P61" s="6">
        <v>-705.19</v>
      </c>
      <c r="Q61" s="3"/>
      <c r="R61" s="7">
        <f t="shared" si="16"/>
        <v>-1.6939334080641121E-3</v>
      </c>
      <c r="S61" s="3"/>
      <c r="T61" s="6">
        <v>2467.9699999999998</v>
      </c>
      <c r="U61" s="3"/>
      <c r="V61" s="7">
        <f t="shared" si="17"/>
        <v>7.7209733938217017E-3</v>
      </c>
      <c r="W61" s="3"/>
      <c r="X61" s="6">
        <f t="shared" si="18"/>
        <v>-3173.16</v>
      </c>
      <c r="Y61" s="3"/>
      <c r="Z61" s="7">
        <f t="shared" si="19"/>
        <v>-1.28573686065876</v>
      </c>
    </row>
    <row r="62" spans="1:26" s="69" customFormat="1" ht="15" hidden="1" customHeight="1" outlineLevel="2" x14ac:dyDescent="0.3">
      <c r="A62" s="21"/>
      <c r="B62" s="9" t="str">
        <f>CONCATENATE("          ","6113"," - ","GROUP INSURANCE")</f>
        <v xml:space="preserve">          6113 - GROUP INSURANCE</v>
      </c>
      <c r="C62" s="9"/>
      <c r="D62" s="6">
        <v>487.33</v>
      </c>
      <c r="E62" s="3"/>
      <c r="F62" s="7">
        <f t="shared" si="12"/>
        <v>1.2752983145535211E-2</v>
      </c>
      <c r="G62" s="3"/>
      <c r="H62" s="6">
        <v>1998.43</v>
      </c>
      <c r="I62" s="3"/>
      <c r="J62" s="7">
        <f t="shared" si="13"/>
        <v>5.9413567400564637E-2</v>
      </c>
      <c r="K62" s="3"/>
      <c r="L62" s="6">
        <f t="shared" si="14"/>
        <v>-1511.1000000000001</v>
      </c>
      <c r="M62" s="3"/>
      <c r="N62" s="7">
        <f t="shared" si="15"/>
        <v>-0.75614357270457311</v>
      </c>
      <c r="O62" s="9"/>
      <c r="P62" s="6">
        <v>6095.43</v>
      </c>
      <c r="Q62" s="3"/>
      <c r="R62" s="7">
        <f t="shared" si="16"/>
        <v>1.4641802228500447E-2</v>
      </c>
      <c r="S62" s="3"/>
      <c r="T62" s="6">
        <v>28284.19</v>
      </c>
      <c r="U62" s="3"/>
      <c r="V62" s="7">
        <f t="shared" si="17"/>
        <v>8.8486277570553065E-2</v>
      </c>
      <c r="W62" s="3"/>
      <c r="X62" s="6">
        <f t="shared" si="18"/>
        <v>-22188.76</v>
      </c>
      <c r="Y62" s="3"/>
      <c r="Z62" s="7">
        <f t="shared" si="19"/>
        <v>-0.78449338658805501</v>
      </c>
    </row>
    <row r="63" spans="1:26" s="69" customFormat="1" ht="15" hidden="1" customHeight="1" outlineLevel="2" x14ac:dyDescent="0.3">
      <c r="A63" s="21"/>
      <c r="B63" s="9" t="str">
        <f>CONCATENATE("          ","6114"," - ","STATE UNEMPLOYMENT INSURANCE")</f>
        <v xml:space="preserve">          6114 - STATE UNEMPLOYMENT INSURANCE</v>
      </c>
      <c r="C63" s="9"/>
      <c r="D63" s="6"/>
      <c r="E63" s="3"/>
      <c r="F63" s="7">
        <f t="shared" si="12"/>
        <v>0</v>
      </c>
      <c r="G63" s="3"/>
      <c r="H63" s="6">
        <v>14.94</v>
      </c>
      <c r="I63" s="3"/>
      <c r="J63" s="7">
        <f t="shared" si="13"/>
        <v>4.4416802037821473E-4</v>
      </c>
      <c r="K63" s="3"/>
      <c r="L63" s="6">
        <f t="shared" si="14"/>
        <v>-14.94</v>
      </c>
      <c r="M63" s="3"/>
      <c r="N63" s="7">
        <f t="shared" si="15"/>
        <v>-1</v>
      </c>
      <c r="O63" s="9"/>
      <c r="P63" s="6">
        <v>149</v>
      </c>
      <c r="Q63" s="3"/>
      <c r="R63" s="7">
        <f t="shared" si="16"/>
        <v>3.5791216239815184E-4</v>
      </c>
      <c r="S63" s="3"/>
      <c r="T63" s="6">
        <v>320.51</v>
      </c>
      <c r="U63" s="3"/>
      <c r="V63" s="7">
        <f t="shared" si="17"/>
        <v>1.0027063466953787E-3</v>
      </c>
      <c r="W63" s="3"/>
      <c r="X63" s="6">
        <f t="shared" si="18"/>
        <v>-171.51</v>
      </c>
      <c r="Y63" s="3"/>
      <c r="Z63" s="7">
        <f t="shared" si="19"/>
        <v>-0.53511590901999939</v>
      </c>
    </row>
    <row r="64" spans="1:26" s="69" customFormat="1" ht="15" hidden="1" customHeight="1" outlineLevel="2" x14ac:dyDescent="0.3">
      <c r="A64" s="21"/>
      <c r="B64" s="9" t="str">
        <f>CONCATENATE("          ","6115"," - ","P.E.R.S.")</f>
        <v xml:space="preserve">          6115 - P.E.R.S.</v>
      </c>
      <c r="C64" s="9"/>
      <c r="D64" s="6">
        <v>74.88</v>
      </c>
      <c r="E64" s="3"/>
      <c r="F64" s="7">
        <f t="shared" si="12"/>
        <v>1.9595415384599277E-3</v>
      </c>
      <c r="G64" s="3"/>
      <c r="H64" s="6">
        <v>543.17999999999995</v>
      </c>
      <c r="I64" s="3"/>
      <c r="J64" s="7">
        <f t="shared" si="13"/>
        <v>1.6148807584273003E-2</v>
      </c>
      <c r="K64" s="3"/>
      <c r="L64" s="6">
        <f t="shared" si="14"/>
        <v>-468.29999999999995</v>
      </c>
      <c r="M64" s="3"/>
      <c r="N64" s="7">
        <f t="shared" si="15"/>
        <v>-0.86214514525571628</v>
      </c>
      <c r="O64" s="9"/>
      <c r="P64" s="6">
        <v>1152.8900000000001</v>
      </c>
      <c r="Q64" s="3"/>
      <c r="R64" s="7">
        <f t="shared" si="16"/>
        <v>2.7693513617933242E-3</v>
      </c>
      <c r="S64" s="3"/>
      <c r="T64" s="6">
        <v>4761.87</v>
      </c>
      <c r="U64" s="3"/>
      <c r="V64" s="7">
        <f t="shared" si="17"/>
        <v>1.4897373782840857E-2</v>
      </c>
      <c r="W64" s="3"/>
      <c r="X64" s="6">
        <f t="shared" si="18"/>
        <v>-3608.9799999999996</v>
      </c>
      <c r="Y64" s="3"/>
      <c r="Z64" s="7">
        <f t="shared" si="19"/>
        <v>-0.75789133260672792</v>
      </c>
    </row>
    <row r="65" spans="1:26" s="69" customFormat="1" ht="15" hidden="1" customHeight="1" outlineLevel="2" x14ac:dyDescent="0.3">
      <c r="A65" s="21"/>
      <c r="B65" s="9" t="str">
        <f>CONCATENATE("          ","6118"," - ","VACATION")</f>
        <v xml:space="preserve">          6118 - VACATION</v>
      </c>
      <c r="C65" s="9"/>
      <c r="D65" s="6">
        <v>96.19</v>
      </c>
      <c r="E65" s="3"/>
      <c r="F65" s="7">
        <f t="shared" si="12"/>
        <v>2.5172048689164057E-3</v>
      </c>
      <c r="G65" s="3"/>
      <c r="H65" s="6">
        <v>342.56</v>
      </c>
      <c r="I65" s="3"/>
      <c r="J65" s="7">
        <f t="shared" si="13"/>
        <v>1.0184350539542251E-2</v>
      </c>
      <c r="K65" s="3"/>
      <c r="L65" s="6">
        <f t="shared" si="14"/>
        <v>-246.37</v>
      </c>
      <c r="M65" s="3"/>
      <c r="N65" s="7">
        <f t="shared" si="15"/>
        <v>-0.71920247547874827</v>
      </c>
      <c r="O65" s="9"/>
      <c r="P65" s="6">
        <v>1403.8</v>
      </c>
      <c r="Q65" s="3"/>
      <c r="R65" s="7">
        <f t="shared" si="16"/>
        <v>3.3720610307015134E-3</v>
      </c>
      <c r="S65" s="3"/>
      <c r="T65" s="6">
        <v>5468.58</v>
      </c>
      <c r="U65" s="3"/>
      <c r="V65" s="7">
        <f t="shared" si="17"/>
        <v>1.7108295758046285E-2</v>
      </c>
      <c r="W65" s="3"/>
      <c r="X65" s="6">
        <f t="shared" si="18"/>
        <v>-4064.7799999999997</v>
      </c>
      <c r="Y65" s="3"/>
      <c r="Z65" s="7">
        <f t="shared" si="19"/>
        <v>-0.74329716306609761</v>
      </c>
    </row>
    <row r="66" spans="1:26" s="69" customFormat="1" ht="15" hidden="1" customHeight="1" outlineLevel="2" x14ac:dyDescent="0.3">
      <c r="A66" s="21"/>
      <c r="B66" s="9" t="str">
        <f>CONCATENATE("          ","6119"," - ","SICK LEAVE")</f>
        <v xml:space="preserve">          6119 - SICK LEAVE</v>
      </c>
      <c r="C66" s="9"/>
      <c r="D66" s="6">
        <v>60.68</v>
      </c>
      <c r="E66" s="3"/>
      <c r="F66" s="7">
        <f t="shared" si="12"/>
        <v>1.5879404454293324E-3</v>
      </c>
      <c r="G66" s="3"/>
      <c r="H66" s="6">
        <v>216.08</v>
      </c>
      <c r="I66" s="3"/>
      <c r="J66" s="7">
        <f t="shared" si="13"/>
        <v>6.4240847284688521E-3</v>
      </c>
      <c r="K66" s="3"/>
      <c r="L66" s="6">
        <f t="shared" si="14"/>
        <v>-155.4</v>
      </c>
      <c r="M66" s="3"/>
      <c r="N66" s="7">
        <f t="shared" si="15"/>
        <v>-0.71917808219178081</v>
      </c>
      <c r="O66" s="9"/>
      <c r="P66" s="6">
        <v>965.9</v>
      </c>
      <c r="Q66" s="3"/>
      <c r="R66" s="7">
        <f t="shared" si="16"/>
        <v>2.3201836084588913E-3</v>
      </c>
      <c r="S66" s="3"/>
      <c r="T66" s="6">
        <v>4200.03</v>
      </c>
      <c r="U66" s="3"/>
      <c r="V66" s="7">
        <f t="shared" si="17"/>
        <v>1.3139673449536649E-2</v>
      </c>
      <c r="W66" s="3"/>
      <c r="X66" s="6">
        <f t="shared" si="18"/>
        <v>-3234.1299999999997</v>
      </c>
      <c r="Y66" s="3"/>
      <c r="Z66" s="7">
        <f t="shared" si="19"/>
        <v>-0.77002545219915097</v>
      </c>
    </row>
    <row r="67" spans="1:26" s="69" customFormat="1" ht="15" hidden="1" customHeight="1" outlineLevel="2" x14ac:dyDescent="0.3">
      <c r="A67" s="21"/>
      <c r="B67" s="9" t="str">
        <f>CONCATENATE("          ","6156"," - ","EMPLOYEE MEALS")</f>
        <v xml:space="preserve">          6156 - EMPLOYEE MEALS</v>
      </c>
      <c r="C67" s="9"/>
      <c r="D67" s="6">
        <v>172.37</v>
      </c>
      <c r="E67" s="3"/>
      <c r="F67" s="7">
        <f t="shared" si="12"/>
        <v>4.5107662257523745E-3</v>
      </c>
      <c r="G67" s="3"/>
      <c r="H67" s="6">
        <v>95.35</v>
      </c>
      <c r="I67" s="3"/>
      <c r="J67" s="7">
        <f t="shared" si="13"/>
        <v>2.8347671180095563E-3</v>
      </c>
      <c r="K67" s="3"/>
      <c r="L67" s="6">
        <f t="shared" si="14"/>
        <v>77.02000000000001</v>
      </c>
      <c r="M67" s="3"/>
      <c r="N67" s="7">
        <f t="shared" si="15"/>
        <v>0.80776088096486642</v>
      </c>
      <c r="O67" s="9"/>
      <c r="P67" s="6">
        <v>1860.87</v>
      </c>
      <c r="Q67" s="3"/>
      <c r="R67" s="7">
        <f t="shared" si="16"/>
        <v>4.4699866150459643E-3</v>
      </c>
      <c r="S67" s="3"/>
      <c r="T67" s="6">
        <v>1654.83</v>
      </c>
      <c r="U67" s="3"/>
      <c r="V67" s="7">
        <f t="shared" si="17"/>
        <v>5.17708821472626E-3</v>
      </c>
      <c r="W67" s="3"/>
      <c r="X67" s="6">
        <f t="shared" si="18"/>
        <v>206.03999999999996</v>
      </c>
      <c r="Y67" s="3"/>
      <c r="Z67" s="7">
        <f t="shared" si="19"/>
        <v>0.12450825764580045</v>
      </c>
    </row>
    <row r="68" spans="1:26" s="68" customFormat="1" ht="15" customHeight="1" outlineLevel="1" collapsed="1" x14ac:dyDescent="0.3">
      <c r="A68" s="20"/>
      <c r="B68" s="11" t="str">
        <f>CONCATENATE("     ","*Payroll                                          ")</f>
        <v xml:space="preserve">     *Payroll                                          </v>
      </c>
      <c r="C68" s="11"/>
      <c r="D68" s="2">
        <f>SUM(OSRRefD22_1x_0)</f>
        <v>9092.41</v>
      </c>
      <c r="E68" s="2"/>
      <c r="F68" s="5">
        <f t="shared" si="12"/>
        <v>0.23794010523114895</v>
      </c>
      <c r="G68" s="2"/>
      <c r="H68" s="2">
        <f>SUM(OSRRefH22_1x_0)</f>
        <v>9382.1899999999987</v>
      </c>
      <c r="I68" s="2"/>
      <c r="J68" s="5">
        <f t="shared" si="13"/>
        <v>0.27893365188167885</v>
      </c>
      <c r="K68" s="2"/>
      <c r="L68" s="2">
        <f t="shared" si="14"/>
        <v>-289.77999999999884</v>
      </c>
      <c r="M68" s="2"/>
      <c r="N68" s="5">
        <f t="shared" si="15"/>
        <v>-3.0886179026431874E-2</v>
      </c>
      <c r="O68" s="11"/>
      <c r="P68" s="2">
        <f>SUM(OSRRefP22_1x_0)</f>
        <v>89863.91</v>
      </c>
      <c r="Q68" s="2"/>
      <c r="R68" s="5">
        <f t="shared" si="16"/>
        <v>0.21586165335337518</v>
      </c>
      <c r="S68" s="2"/>
      <c r="T68" s="2">
        <f>SUM(OSRRefT22_1x_0)</f>
        <v>100217.86</v>
      </c>
      <c r="U68" s="2"/>
      <c r="V68" s="5">
        <f t="shared" si="17"/>
        <v>0.31352870198817173</v>
      </c>
      <c r="W68" s="2"/>
      <c r="X68" s="2">
        <f t="shared" si="18"/>
        <v>-10353.949999999997</v>
      </c>
      <c r="Y68" s="2"/>
      <c r="Z68" s="5">
        <f t="shared" si="19"/>
        <v>-0.10331441920631709</v>
      </c>
    </row>
    <row r="69" spans="1:26" s="69" customFormat="1" ht="15" hidden="1" customHeight="1" outlineLevel="2" x14ac:dyDescent="0.3">
      <c r="A69" s="21"/>
      <c r="B69" s="9" t="str">
        <f>CONCATENATE("          ","6002"," - ","STAFF SALARIES")</f>
        <v xml:space="preserve">          6002 - STAFF SALARIES</v>
      </c>
      <c r="C69" s="9"/>
      <c r="D69" s="6">
        <v>1052.3499999999999</v>
      </c>
      <c r="E69" s="3"/>
      <c r="F69" s="7">
        <f t="shared" si="12"/>
        <v>2.7539042975404712E-2</v>
      </c>
      <c r="G69" s="3"/>
      <c r="H69" s="6">
        <v>4684.62</v>
      </c>
      <c r="I69" s="3"/>
      <c r="J69" s="7">
        <f t="shared" si="13"/>
        <v>0.13927432340188703</v>
      </c>
      <c r="K69" s="3"/>
      <c r="L69" s="6">
        <f t="shared" si="14"/>
        <v>-3632.27</v>
      </c>
      <c r="M69" s="3"/>
      <c r="N69" s="7">
        <f t="shared" si="15"/>
        <v>-0.77536064824895079</v>
      </c>
      <c r="O69" s="9"/>
      <c r="P69" s="6">
        <v>15520.44</v>
      </c>
      <c r="Q69" s="3"/>
      <c r="R69" s="7">
        <f t="shared" si="16"/>
        <v>3.7281572092421285E-2</v>
      </c>
      <c r="S69" s="3"/>
      <c r="T69" s="6">
        <v>57377.36</v>
      </c>
      <c r="U69" s="3"/>
      <c r="V69" s="7">
        <f t="shared" si="17"/>
        <v>0.17950342587945947</v>
      </c>
      <c r="W69" s="3"/>
      <c r="X69" s="6">
        <f t="shared" si="18"/>
        <v>-41856.92</v>
      </c>
      <c r="Y69" s="3"/>
      <c r="Z69" s="7">
        <f t="shared" si="19"/>
        <v>-0.72950236818145686</v>
      </c>
    </row>
    <row r="70" spans="1:26" s="69" customFormat="1" ht="15" hidden="1" customHeight="1" outlineLevel="2" x14ac:dyDescent="0.3">
      <c r="A70" s="21"/>
      <c r="B70" s="9" t="str">
        <f>CONCATENATE("          ","6004"," - ","STAFF HOURLY")</f>
        <v xml:space="preserve">          6004 - STAFF HOURLY</v>
      </c>
      <c r="C70" s="9"/>
      <c r="D70" s="6"/>
      <c r="E70" s="3"/>
      <c r="F70" s="7">
        <f t="shared" si="12"/>
        <v>0</v>
      </c>
      <c r="G70" s="3"/>
      <c r="H70" s="6">
        <v>815.65</v>
      </c>
      <c r="I70" s="3"/>
      <c r="J70" s="7">
        <f t="shared" si="13"/>
        <v>2.4249373883633924E-2</v>
      </c>
      <c r="K70" s="3"/>
      <c r="L70" s="6">
        <f t="shared" si="14"/>
        <v>-815.65</v>
      </c>
      <c r="M70" s="3"/>
      <c r="N70" s="7">
        <f t="shared" si="15"/>
        <v>-1</v>
      </c>
      <c r="O70" s="9"/>
      <c r="P70" s="6">
        <v>4272.3900000000003</v>
      </c>
      <c r="Q70" s="3"/>
      <c r="R70" s="7">
        <f t="shared" si="16"/>
        <v>1.0262686869182818E-2</v>
      </c>
      <c r="S70" s="3"/>
      <c r="T70" s="6">
        <v>4271.8599999999997</v>
      </c>
      <c r="U70" s="3"/>
      <c r="V70" s="7">
        <f t="shared" si="17"/>
        <v>1.3364391545331254E-2</v>
      </c>
      <c r="W70" s="3"/>
      <c r="X70" s="6">
        <f t="shared" si="18"/>
        <v>0.53000000000065484</v>
      </c>
      <c r="Y70" s="3"/>
      <c r="Z70" s="7">
        <f t="shared" si="19"/>
        <v>1.2406773630237294E-4</v>
      </c>
    </row>
    <row r="71" spans="1:26" s="69" customFormat="1" ht="15" hidden="1" customHeight="1" outlineLevel="2" x14ac:dyDescent="0.3">
      <c r="A71" s="21"/>
      <c r="B71" s="9" t="str">
        <f>CONCATENATE("          ","6005"," - ","TEMPORARY WAGES-HOURLY")</f>
        <v xml:space="preserve">          6005 - TEMPORARY WAGES-HOURLY</v>
      </c>
      <c r="C71" s="9"/>
      <c r="D71" s="6">
        <v>203.4</v>
      </c>
      <c r="E71" s="3"/>
      <c r="F71" s="7">
        <f t="shared" si="12"/>
        <v>5.3227931212974002E-3</v>
      </c>
      <c r="G71" s="3"/>
      <c r="H71" s="6">
        <v>1405.58</v>
      </c>
      <c r="I71" s="3"/>
      <c r="J71" s="7">
        <f t="shared" si="13"/>
        <v>4.1788064664204219E-2</v>
      </c>
      <c r="K71" s="3"/>
      <c r="L71" s="6">
        <f t="shared" si="14"/>
        <v>-1202.1799999999998</v>
      </c>
      <c r="M71" s="3"/>
      <c r="N71" s="7">
        <f t="shared" si="15"/>
        <v>-0.8552910542267248</v>
      </c>
      <c r="O71" s="9"/>
      <c r="P71" s="6">
        <v>8094.08</v>
      </c>
      <c r="Q71" s="3"/>
      <c r="R71" s="7">
        <f t="shared" si="16"/>
        <v>1.9442749499487468E-2</v>
      </c>
      <c r="S71" s="3"/>
      <c r="T71" s="6">
        <v>19446.169999999998</v>
      </c>
      <c r="U71" s="3"/>
      <c r="V71" s="7">
        <f t="shared" si="17"/>
        <v>6.0836785366813112E-2</v>
      </c>
      <c r="W71" s="3"/>
      <c r="X71" s="6">
        <f t="shared" si="18"/>
        <v>-11352.089999999998</v>
      </c>
      <c r="Y71" s="3"/>
      <c r="Z71" s="7">
        <f t="shared" si="19"/>
        <v>-0.5837699660138731</v>
      </c>
    </row>
    <row r="72" spans="1:26" s="69" customFormat="1" ht="15" hidden="1" customHeight="1" outlineLevel="2" x14ac:dyDescent="0.3">
      <c r="A72" s="21"/>
      <c r="B72" s="9" t="str">
        <f>CONCATENATE("          ","6006"," - ","TEMPORARY PART TIME")</f>
        <v xml:space="preserve">          6006 - TEMPORARY PART TIME</v>
      </c>
      <c r="C72" s="9"/>
      <c r="D72" s="6"/>
      <c r="E72" s="3"/>
      <c r="F72" s="7">
        <f t="shared" si="12"/>
        <v>0</v>
      </c>
      <c r="G72" s="3"/>
      <c r="H72" s="6"/>
      <c r="I72" s="3"/>
      <c r="J72" s="7">
        <f t="shared" si="13"/>
        <v>0</v>
      </c>
      <c r="K72" s="3"/>
      <c r="L72" s="6">
        <f t="shared" si="14"/>
        <v>0</v>
      </c>
      <c r="M72" s="3"/>
      <c r="N72" s="7">
        <f t="shared" si="15"/>
        <v>0</v>
      </c>
      <c r="O72" s="9"/>
      <c r="P72" s="6"/>
      <c r="Q72" s="3"/>
      <c r="R72" s="7">
        <f t="shared" si="16"/>
        <v>0</v>
      </c>
      <c r="S72" s="3"/>
      <c r="T72" s="6">
        <v>710.96</v>
      </c>
      <c r="U72" s="3"/>
      <c r="V72" s="7">
        <f t="shared" si="17"/>
        <v>2.2242179783674345E-3</v>
      </c>
      <c r="W72" s="3"/>
      <c r="X72" s="6">
        <f t="shared" si="18"/>
        <v>-710.96</v>
      </c>
      <c r="Y72" s="3"/>
      <c r="Z72" s="7">
        <f t="shared" si="19"/>
        <v>-1</v>
      </c>
    </row>
    <row r="73" spans="1:26" s="69" customFormat="1" ht="15" hidden="1" customHeight="1" outlineLevel="2" x14ac:dyDescent="0.3">
      <c r="A73" s="21"/>
      <c r="B73" s="9" t="str">
        <f>CONCATENATE("          ","6007"," - ","STUDENT HOURLY")</f>
        <v xml:space="preserve">          6007 - STUDENT HOURLY</v>
      </c>
      <c r="C73" s="9"/>
      <c r="D73" s="6">
        <v>7778.08</v>
      </c>
      <c r="E73" s="3"/>
      <c r="F73" s="7">
        <f t="shared" si="12"/>
        <v>0.20354528378024031</v>
      </c>
      <c r="G73" s="3"/>
      <c r="H73" s="6">
        <v>1680.35</v>
      </c>
      <c r="I73" s="3"/>
      <c r="J73" s="7">
        <f t="shared" si="13"/>
        <v>4.995701024381078E-2</v>
      </c>
      <c r="K73" s="3"/>
      <c r="L73" s="6">
        <f t="shared" si="14"/>
        <v>6097.73</v>
      </c>
      <c r="M73" s="3"/>
      <c r="N73" s="7">
        <f t="shared" si="15"/>
        <v>3.6288451810634688</v>
      </c>
      <c r="O73" s="9"/>
      <c r="P73" s="6">
        <v>58680.15</v>
      </c>
      <c r="Q73" s="3"/>
      <c r="R73" s="7">
        <f t="shared" si="16"/>
        <v>0.14095529782783831</v>
      </c>
      <c r="S73" s="3"/>
      <c r="T73" s="6">
        <v>15418.03</v>
      </c>
      <c r="U73" s="3"/>
      <c r="V73" s="7">
        <f t="shared" si="17"/>
        <v>4.823486485457474E-2</v>
      </c>
      <c r="W73" s="3"/>
      <c r="X73" s="6">
        <f t="shared" si="18"/>
        <v>43262.12</v>
      </c>
      <c r="Y73" s="3"/>
      <c r="Z73" s="7">
        <f t="shared" si="19"/>
        <v>2.8059434311646818</v>
      </c>
    </row>
    <row r="74" spans="1:26" s="69" customFormat="1" ht="15" hidden="1" customHeight="1" outlineLevel="2" x14ac:dyDescent="0.3">
      <c r="A74" s="21"/>
      <c r="B74" s="9" t="str">
        <f>CONCATENATE("          ","6008"," - ","STUDENT HOURLY-FICA EXEMPT")</f>
        <v xml:space="preserve">          6008 - STUDENT HOURLY-FICA EXEMPT</v>
      </c>
      <c r="C74" s="9"/>
      <c r="D74" s="6">
        <v>58.58</v>
      </c>
      <c r="E74" s="3"/>
      <c r="F74" s="7">
        <f t="shared" si="12"/>
        <v>1.5329853542064981E-3</v>
      </c>
      <c r="G74" s="3"/>
      <c r="H74" s="6">
        <v>795.99</v>
      </c>
      <c r="I74" s="3"/>
      <c r="J74" s="7">
        <f t="shared" si="13"/>
        <v>2.3664879688142914E-2</v>
      </c>
      <c r="K74" s="3"/>
      <c r="L74" s="6">
        <f t="shared" si="14"/>
        <v>-737.41</v>
      </c>
      <c r="M74" s="3"/>
      <c r="N74" s="7">
        <f t="shared" si="15"/>
        <v>-0.92640611062953049</v>
      </c>
      <c r="O74" s="9"/>
      <c r="P74" s="6">
        <v>3296.85</v>
      </c>
      <c r="Q74" s="3"/>
      <c r="R74" s="7">
        <f t="shared" si="16"/>
        <v>7.9193470644452809E-3</v>
      </c>
      <c r="S74" s="3"/>
      <c r="T74" s="6">
        <v>2993.48</v>
      </c>
      <c r="U74" s="3"/>
      <c r="V74" s="7">
        <f t="shared" si="17"/>
        <v>9.3650163636257288E-3</v>
      </c>
      <c r="W74" s="3"/>
      <c r="X74" s="6">
        <f t="shared" si="18"/>
        <v>303.36999999999989</v>
      </c>
      <c r="Y74" s="3"/>
      <c r="Z74" s="7">
        <f t="shared" si="19"/>
        <v>0.10134358672848988</v>
      </c>
    </row>
    <row r="75" spans="1:26" s="68" customFormat="1" ht="15" customHeight="1" outlineLevel="1" collapsed="1" x14ac:dyDescent="0.3">
      <c r="A75" s="20"/>
      <c r="B75" s="11" t="str">
        <f>CONCATENATE("     ","Advertising/Promo                                 ")</f>
        <v xml:space="preserve">     Advertising/Promo                                 </v>
      </c>
      <c r="C75" s="11"/>
      <c r="D75" s="2">
        <f>SUM(OSRRefD22_2x_0)</f>
        <v>604.01</v>
      </c>
      <c r="E75" s="2"/>
      <c r="F75" s="5">
        <f t="shared" si="12"/>
        <v>1.5806392690240131E-2</v>
      </c>
      <c r="G75" s="2"/>
      <c r="H75" s="2">
        <f>SUM(OSRRefH22_2x_0)</f>
        <v>221.46</v>
      </c>
      <c r="I75" s="2"/>
      <c r="J75" s="5">
        <f t="shared" si="13"/>
        <v>6.5840327839999623E-3</v>
      </c>
      <c r="K75" s="2"/>
      <c r="L75" s="2">
        <f t="shared" si="14"/>
        <v>382.54999999999995</v>
      </c>
      <c r="M75" s="2"/>
      <c r="N75" s="5">
        <f t="shared" si="15"/>
        <v>1.7273999819380472</v>
      </c>
      <c r="O75" s="11"/>
      <c r="P75" s="2">
        <f>SUM(OSRRefP22_2x_0)</f>
        <v>2978.92</v>
      </c>
      <c r="Q75" s="2"/>
      <c r="R75" s="5">
        <f t="shared" si="16"/>
        <v>7.1556489853094119E-3</v>
      </c>
      <c r="S75" s="2"/>
      <c r="T75" s="2">
        <f>SUM(OSRRefT22_2x_0)</f>
        <v>1635.66</v>
      </c>
      <c r="U75" s="2"/>
      <c r="V75" s="5">
        <f t="shared" si="17"/>
        <v>5.1171154192872709E-3</v>
      </c>
      <c r="W75" s="2"/>
      <c r="X75" s="2">
        <f t="shared" si="18"/>
        <v>1343.26</v>
      </c>
      <c r="Y75" s="2"/>
      <c r="Z75" s="5">
        <f t="shared" si="19"/>
        <v>0.82123424183510019</v>
      </c>
    </row>
    <row r="76" spans="1:26" s="69" customFormat="1" ht="15" hidden="1" customHeight="1" outlineLevel="2" x14ac:dyDescent="0.3">
      <c r="A76" s="21"/>
      <c r="B76" s="9" t="str">
        <f>CONCATENATE("          ","6362"," - ","ADVERTISING EXPENSE")</f>
        <v xml:space="preserve">          6362 - ADVERTISING EXPENSE</v>
      </c>
      <c r="C76" s="9"/>
      <c r="D76" s="6">
        <v>604.01</v>
      </c>
      <c r="E76" s="3"/>
      <c r="F76" s="7">
        <f t="shared" si="12"/>
        <v>1.5806392690240131E-2</v>
      </c>
      <c r="G76" s="3"/>
      <c r="H76" s="6">
        <v>221.46</v>
      </c>
      <c r="I76" s="3"/>
      <c r="J76" s="7">
        <f t="shared" si="13"/>
        <v>6.5840327839999623E-3</v>
      </c>
      <c r="K76" s="3"/>
      <c r="L76" s="6">
        <f t="shared" si="14"/>
        <v>382.54999999999995</v>
      </c>
      <c r="M76" s="3"/>
      <c r="N76" s="7">
        <f t="shared" si="15"/>
        <v>1.7273999819380472</v>
      </c>
      <c r="O76" s="9"/>
      <c r="P76" s="6">
        <v>2978.92</v>
      </c>
      <c r="Q76" s="3"/>
      <c r="R76" s="7">
        <f t="shared" si="16"/>
        <v>7.1556489853094119E-3</v>
      </c>
      <c r="S76" s="3"/>
      <c r="T76" s="6">
        <v>1635.66</v>
      </c>
      <c r="U76" s="3"/>
      <c r="V76" s="7">
        <f t="shared" si="17"/>
        <v>5.1171154192872709E-3</v>
      </c>
      <c r="W76" s="3"/>
      <c r="X76" s="6">
        <f t="shared" si="18"/>
        <v>1343.26</v>
      </c>
      <c r="Y76" s="3"/>
      <c r="Z76" s="7">
        <f t="shared" si="19"/>
        <v>0.82123424183510019</v>
      </c>
    </row>
    <row r="77" spans="1:26" s="68" customFormat="1" ht="15" customHeight="1" outlineLevel="1" collapsed="1" x14ac:dyDescent="0.3">
      <c r="A77" s="20"/>
      <c r="B77" s="11" t="str">
        <f>CONCATENATE("     ","Bad Debts/Over/Short                              ")</f>
        <v xml:space="preserve">     Bad Debts/Over/Short                              </v>
      </c>
      <c r="C77" s="11"/>
      <c r="D77" s="2">
        <f>SUM(OSRRefD22_3x_0)</f>
        <v>59.49</v>
      </c>
      <c r="E77" s="2"/>
      <c r="F77" s="5">
        <f t="shared" si="12"/>
        <v>1.5567992270697263E-3</v>
      </c>
      <c r="G77" s="2"/>
      <c r="H77" s="2">
        <f>SUM(OSRRefH22_3x_0)</f>
        <v>-7.0000000000000007E-2</v>
      </c>
      <c r="I77" s="2"/>
      <c r="J77" s="5">
        <f t="shared" si="13"/>
        <v>-2.0811085292151965E-6</v>
      </c>
      <c r="K77" s="2"/>
      <c r="L77" s="2">
        <f t="shared" si="14"/>
        <v>59.56</v>
      </c>
      <c r="M77" s="2"/>
      <c r="N77" s="5">
        <f t="shared" si="15"/>
        <v>-850.85714285714278</v>
      </c>
      <c r="O77" s="11"/>
      <c r="P77" s="2">
        <f>SUM(OSRRefP22_3x_0)</f>
        <v>6.56</v>
      </c>
      <c r="Q77" s="2"/>
      <c r="R77" s="5">
        <f t="shared" si="16"/>
        <v>1.5757743525717288E-5</v>
      </c>
      <c r="S77" s="2"/>
      <c r="T77" s="2">
        <f>SUM(OSRRefT22_3x_0)</f>
        <v>-24.57</v>
      </c>
      <c r="U77" s="2"/>
      <c r="V77" s="5">
        <f t="shared" si="17"/>
        <v>-7.6866540633070598E-5</v>
      </c>
      <c r="W77" s="2"/>
      <c r="X77" s="2">
        <f t="shared" si="18"/>
        <v>31.13</v>
      </c>
      <c r="Y77" s="2"/>
      <c r="Z77" s="5">
        <f t="shared" si="19"/>
        <v>-1.2669922669922669</v>
      </c>
    </row>
    <row r="78" spans="1:26" s="69" customFormat="1" ht="15" hidden="1" customHeight="1" outlineLevel="2" x14ac:dyDescent="0.3">
      <c r="A78" s="21"/>
      <c r="B78" s="9" t="str">
        <f>CONCATENATE("          ","6272"," - ","CASH (OVER/SHORT)")</f>
        <v xml:space="preserve">          6272 - CASH (OVER/SHORT)</v>
      </c>
      <c r="C78" s="9"/>
      <c r="D78" s="6">
        <v>59.49</v>
      </c>
      <c r="E78" s="3"/>
      <c r="F78" s="7">
        <f t="shared" si="12"/>
        <v>1.5567992270697263E-3</v>
      </c>
      <c r="G78" s="3"/>
      <c r="H78" s="6">
        <v>-7.0000000000000007E-2</v>
      </c>
      <c r="I78" s="3"/>
      <c r="J78" s="7">
        <f t="shared" si="13"/>
        <v>-2.0811085292151965E-6</v>
      </c>
      <c r="K78" s="3"/>
      <c r="L78" s="6">
        <f t="shared" si="14"/>
        <v>59.56</v>
      </c>
      <c r="M78" s="3"/>
      <c r="N78" s="7">
        <f t="shared" si="15"/>
        <v>-850.85714285714278</v>
      </c>
      <c r="O78" s="9"/>
      <c r="P78" s="6">
        <v>6.56</v>
      </c>
      <c r="Q78" s="3"/>
      <c r="R78" s="7">
        <f t="shared" si="16"/>
        <v>1.5757743525717288E-5</v>
      </c>
      <c r="S78" s="3"/>
      <c r="T78" s="6">
        <v>-24.57</v>
      </c>
      <c r="U78" s="3"/>
      <c r="V78" s="7">
        <f t="shared" si="17"/>
        <v>-7.6866540633070598E-5</v>
      </c>
      <c r="W78" s="3"/>
      <c r="X78" s="6">
        <f t="shared" si="18"/>
        <v>31.13</v>
      </c>
      <c r="Y78" s="3"/>
      <c r="Z78" s="7">
        <f t="shared" si="19"/>
        <v>-1.2669922669922669</v>
      </c>
    </row>
    <row r="79" spans="1:26" s="68" customFormat="1" ht="15" customHeight="1" outlineLevel="1" collapsed="1" x14ac:dyDescent="0.3">
      <c r="A79" s="20"/>
      <c r="B79" s="11" t="str">
        <f>CONCATENATE("     ","Bank/card Fees                                    ")</f>
        <v xml:space="preserve">     Bank/card Fees                                    </v>
      </c>
      <c r="C79" s="11"/>
      <c r="D79" s="2">
        <f>SUM(OSRRefD22_4x_0)</f>
        <v>613.19000000000005</v>
      </c>
      <c r="E79" s="2"/>
      <c r="F79" s="5">
        <f t="shared" si="12"/>
        <v>1.6046624946157096E-2</v>
      </c>
      <c r="G79" s="2"/>
      <c r="H79" s="2">
        <f>SUM(OSRRefH22_4x_0)</f>
        <v>494.04</v>
      </c>
      <c r="I79" s="2"/>
      <c r="J79" s="5">
        <f t="shared" si="13"/>
        <v>1.4687869396763937E-2</v>
      </c>
      <c r="K79" s="2"/>
      <c r="L79" s="2">
        <f t="shared" si="14"/>
        <v>119.15000000000003</v>
      </c>
      <c r="M79" s="2"/>
      <c r="N79" s="5">
        <f t="shared" si="15"/>
        <v>0.24117480365962277</v>
      </c>
      <c r="O79" s="11"/>
      <c r="P79" s="2">
        <f>SUM(OSRRefP22_4x_0)</f>
        <v>6814.66</v>
      </c>
      <c r="Q79" s="2"/>
      <c r="R79" s="5">
        <f t="shared" si="16"/>
        <v>1.6369461051061674E-2</v>
      </c>
      <c r="S79" s="2"/>
      <c r="T79" s="2">
        <f>SUM(OSRRefT22_4x_0)</f>
        <v>4972.8900000000003</v>
      </c>
      <c r="U79" s="2"/>
      <c r="V79" s="5">
        <f t="shared" si="17"/>
        <v>1.5557543803369574E-2</v>
      </c>
      <c r="W79" s="2"/>
      <c r="X79" s="2">
        <f t="shared" si="18"/>
        <v>1841.7699999999995</v>
      </c>
      <c r="Y79" s="2"/>
      <c r="Z79" s="5">
        <f t="shared" si="19"/>
        <v>0.37036210332422381</v>
      </c>
    </row>
    <row r="80" spans="1:26" s="69" customFormat="1" ht="15" hidden="1" customHeight="1" outlineLevel="2" x14ac:dyDescent="0.3">
      <c r="A80" s="21"/>
      <c r="B80" s="9" t="str">
        <f>CONCATENATE("          ","6381"," - ","BANK/CREDIT CARD FEES")</f>
        <v xml:space="preserve">          6381 - BANK/CREDIT CARD FEES</v>
      </c>
      <c r="C80" s="9"/>
      <c r="D80" s="6">
        <v>613.19000000000005</v>
      </c>
      <c r="E80" s="3"/>
      <c r="F80" s="7">
        <f t="shared" si="12"/>
        <v>1.6046624946157096E-2</v>
      </c>
      <c r="G80" s="3"/>
      <c r="H80" s="6">
        <v>494.04</v>
      </c>
      <c r="I80" s="3"/>
      <c r="J80" s="7">
        <f t="shared" si="13"/>
        <v>1.4687869396763937E-2</v>
      </c>
      <c r="K80" s="3"/>
      <c r="L80" s="6">
        <f t="shared" si="14"/>
        <v>119.15000000000003</v>
      </c>
      <c r="M80" s="3"/>
      <c r="N80" s="7">
        <f t="shared" si="15"/>
        <v>0.24117480365962277</v>
      </c>
      <c r="O80" s="9"/>
      <c r="P80" s="6">
        <v>6814.66</v>
      </c>
      <c r="Q80" s="3"/>
      <c r="R80" s="7">
        <f t="shared" si="16"/>
        <v>1.6369461051061674E-2</v>
      </c>
      <c r="S80" s="3"/>
      <c r="T80" s="6">
        <v>4972.8900000000003</v>
      </c>
      <c r="U80" s="3"/>
      <c r="V80" s="7">
        <f t="shared" si="17"/>
        <v>1.5557543803369574E-2</v>
      </c>
      <c r="W80" s="3"/>
      <c r="X80" s="6">
        <f t="shared" si="18"/>
        <v>1841.7699999999995</v>
      </c>
      <c r="Y80" s="3"/>
      <c r="Z80" s="7">
        <f t="shared" si="19"/>
        <v>0.37036210332422381</v>
      </c>
    </row>
    <row r="81" spans="1:26" s="68" customFormat="1" ht="15" customHeight="1" outlineLevel="1" collapsed="1" x14ac:dyDescent="0.3">
      <c r="A81" s="20"/>
      <c r="B81" s="11" t="str">
        <f>CONCATENATE("     ","Discounts and Markdowns                           ")</f>
        <v xml:space="preserve">     Discounts and Markdowns                           </v>
      </c>
      <c r="C81" s="11"/>
      <c r="D81" s="2">
        <f>SUM(OSRRefD22_5x_0)</f>
        <v>0</v>
      </c>
      <c r="E81" s="2"/>
      <c r="F81" s="5">
        <f t="shared" si="12"/>
        <v>0</v>
      </c>
      <c r="G81" s="2"/>
      <c r="H81" s="2">
        <f>SUM(OSRRefH22_5x_0)</f>
        <v>0</v>
      </c>
      <c r="I81" s="2"/>
      <c r="J81" s="5">
        <f t="shared" si="13"/>
        <v>0</v>
      </c>
      <c r="K81" s="2"/>
      <c r="L81" s="2">
        <f t="shared" si="14"/>
        <v>0</v>
      </c>
      <c r="M81" s="2"/>
      <c r="N81" s="5">
        <f t="shared" si="15"/>
        <v>0</v>
      </c>
      <c r="O81" s="11"/>
      <c r="P81" s="2">
        <f>SUM(OSRRefP22_5x_0)</f>
        <v>0</v>
      </c>
      <c r="Q81" s="2"/>
      <c r="R81" s="5">
        <f t="shared" si="16"/>
        <v>0</v>
      </c>
      <c r="S81" s="2"/>
      <c r="T81" s="2">
        <f>SUM(OSRRefT22_5x_0)</f>
        <v>0</v>
      </c>
      <c r="U81" s="2"/>
      <c r="V81" s="5">
        <f t="shared" si="17"/>
        <v>0</v>
      </c>
      <c r="W81" s="2"/>
      <c r="X81" s="2">
        <f t="shared" si="18"/>
        <v>0</v>
      </c>
      <c r="Y81" s="2"/>
      <c r="Z81" s="5">
        <f t="shared" si="19"/>
        <v>0</v>
      </c>
    </row>
    <row r="82" spans="1:26" s="69" customFormat="1" ht="15" hidden="1" customHeight="1" outlineLevel="2" x14ac:dyDescent="0.3">
      <c r="A82" s="21"/>
      <c r="B82" s="9" t="str">
        <f>CONCATENATE("          ","6382"," - ","DISCOUNTS/MARK DOWNS")</f>
        <v xml:space="preserve">          6382 - DISCOUNTS/MARK DOWNS</v>
      </c>
      <c r="C82" s="9"/>
      <c r="D82" s="6"/>
      <c r="E82" s="3"/>
      <c r="F82" s="7">
        <f t="shared" si="12"/>
        <v>0</v>
      </c>
      <c r="G82" s="3"/>
      <c r="H82" s="6">
        <v>0</v>
      </c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/>
      <c r="Q82" s="3"/>
      <c r="R82" s="7">
        <f t="shared" si="16"/>
        <v>0</v>
      </c>
      <c r="S82" s="3"/>
      <c r="T82" s="6">
        <v>0</v>
      </c>
      <c r="U82" s="3"/>
      <c r="V82" s="7">
        <f t="shared" si="17"/>
        <v>0</v>
      </c>
      <c r="W82" s="3"/>
      <c r="X82" s="6">
        <f t="shared" si="18"/>
        <v>0</v>
      </c>
      <c r="Y82" s="3"/>
      <c r="Z82" s="7">
        <f t="shared" si="19"/>
        <v>0</v>
      </c>
    </row>
    <row r="83" spans="1:26" s="68" customFormat="1" ht="15" customHeight="1" outlineLevel="1" collapsed="1" x14ac:dyDescent="0.3">
      <c r="A83" s="20"/>
      <c r="B83" s="11" t="str">
        <f>CONCATENATE("     ","General                                           ")</f>
        <v xml:space="preserve">     General                                           </v>
      </c>
      <c r="C83" s="11"/>
      <c r="D83" s="2">
        <f>SUM(OSRRefD22_6x_0)</f>
        <v>0</v>
      </c>
      <c r="E83" s="2"/>
      <c r="F83" s="5">
        <f t="shared" si="12"/>
        <v>0</v>
      </c>
      <c r="G83" s="2"/>
      <c r="H83" s="2">
        <f>SUM(OSRRefH22_6x_0)</f>
        <v>0</v>
      </c>
      <c r="I83" s="2"/>
      <c r="J83" s="5">
        <f t="shared" si="13"/>
        <v>0</v>
      </c>
      <c r="K83" s="2"/>
      <c r="L83" s="2">
        <f t="shared" si="14"/>
        <v>0</v>
      </c>
      <c r="M83" s="2"/>
      <c r="N83" s="5">
        <f t="shared" si="15"/>
        <v>0</v>
      </c>
      <c r="O83" s="11"/>
      <c r="P83" s="2">
        <f>SUM(OSRRefP22_6x_0)</f>
        <v>1414.19</v>
      </c>
      <c r="Q83" s="2"/>
      <c r="R83" s="5">
        <f t="shared" si="16"/>
        <v>3.3970187982673983E-3</v>
      </c>
      <c r="S83" s="2"/>
      <c r="T83" s="2">
        <f>SUM(OSRRefT22_6x_0)</f>
        <v>1380.29</v>
      </c>
      <c r="U83" s="2"/>
      <c r="V83" s="5">
        <f t="shared" si="17"/>
        <v>4.3181976951738301E-3</v>
      </c>
      <c r="W83" s="2"/>
      <c r="X83" s="2">
        <f t="shared" si="18"/>
        <v>33.900000000000091</v>
      </c>
      <c r="Y83" s="2"/>
      <c r="Z83" s="5">
        <f t="shared" si="19"/>
        <v>2.4560056220069761E-2</v>
      </c>
    </row>
    <row r="84" spans="1:26" s="69" customFormat="1" ht="15" hidden="1" customHeight="1" outlineLevel="2" x14ac:dyDescent="0.3">
      <c r="A84" s="21"/>
      <c r="B84" s="9" t="str">
        <f>CONCATENATE("          ","6279"," - ","GENERAL EXPENSE")</f>
        <v xml:space="preserve">          6279 - GENERAL EXPENSE</v>
      </c>
      <c r="C84" s="9"/>
      <c r="D84" s="6"/>
      <c r="E84" s="3"/>
      <c r="F84" s="7">
        <f t="shared" si="12"/>
        <v>0</v>
      </c>
      <c r="G84" s="3"/>
      <c r="H84" s="6"/>
      <c r="I84" s="3"/>
      <c r="J84" s="7">
        <f t="shared" si="13"/>
        <v>0</v>
      </c>
      <c r="K84" s="3"/>
      <c r="L84" s="6">
        <f t="shared" si="14"/>
        <v>0</v>
      </c>
      <c r="M84" s="3"/>
      <c r="N84" s="7">
        <f t="shared" si="15"/>
        <v>0</v>
      </c>
      <c r="O84" s="9"/>
      <c r="P84" s="6">
        <v>1414.19</v>
      </c>
      <c r="Q84" s="3"/>
      <c r="R84" s="7">
        <f t="shared" si="16"/>
        <v>3.3970187982673983E-3</v>
      </c>
      <c r="S84" s="3"/>
      <c r="T84" s="6">
        <v>1380.29</v>
      </c>
      <c r="U84" s="3"/>
      <c r="V84" s="7">
        <f t="shared" si="17"/>
        <v>4.3181976951738301E-3</v>
      </c>
      <c r="W84" s="3"/>
      <c r="X84" s="6">
        <f t="shared" si="18"/>
        <v>33.900000000000091</v>
      </c>
      <c r="Y84" s="3"/>
      <c r="Z84" s="7">
        <f t="shared" si="19"/>
        <v>2.4560056220069761E-2</v>
      </c>
    </row>
    <row r="85" spans="1:26" s="68" customFormat="1" ht="15" customHeight="1" outlineLevel="1" collapsed="1" x14ac:dyDescent="0.3">
      <c r="A85" s="20"/>
      <c r="B85" s="11" t="str">
        <f>CONCATENATE("     ","Insurance                                         ")</f>
        <v xml:space="preserve">     Insurance                                         </v>
      </c>
      <c r="C85" s="11"/>
      <c r="D85" s="2">
        <f>SUM(OSRRefD22_7x_0)</f>
        <v>-68.040000000000006</v>
      </c>
      <c r="E85" s="2"/>
      <c r="F85" s="5">
        <f t="shared" si="12"/>
        <v>-1.7805449556198385E-3</v>
      </c>
      <c r="G85" s="2"/>
      <c r="H85" s="2">
        <f>SUM(OSRRefH22_7x_0)</f>
        <v>346.03</v>
      </c>
      <c r="I85" s="2"/>
      <c r="J85" s="5">
        <f t="shared" si="13"/>
        <v>1.0287514062347633E-2</v>
      </c>
      <c r="K85" s="2"/>
      <c r="L85" s="2">
        <f t="shared" si="14"/>
        <v>-414.07</v>
      </c>
      <c r="M85" s="2"/>
      <c r="N85" s="5">
        <f t="shared" si="15"/>
        <v>-1.1966303499696558</v>
      </c>
      <c r="O85" s="11"/>
      <c r="P85" s="2">
        <f>SUM(OSRRefP22_7x_0)</f>
        <v>2341.84</v>
      </c>
      <c r="Q85" s="2"/>
      <c r="R85" s="5">
        <f t="shared" si="16"/>
        <v>5.6253222710771003E-3</v>
      </c>
      <c r="S85" s="2"/>
      <c r="T85" s="2">
        <f>SUM(OSRRefT22_7x_0)</f>
        <v>2119.0100000000002</v>
      </c>
      <c r="U85" s="2"/>
      <c r="V85" s="5">
        <f t="shared" si="17"/>
        <v>6.6292620377241731E-3</v>
      </c>
      <c r="W85" s="2"/>
      <c r="X85" s="2">
        <f t="shared" si="18"/>
        <v>222.82999999999993</v>
      </c>
      <c r="Y85" s="2"/>
      <c r="Z85" s="5">
        <f t="shared" si="19"/>
        <v>0.10515759717981506</v>
      </c>
    </row>
    <row r="86" spans="1:26" s="69" customFormat="1" ht="15" hidden="1" customHeight="1" outlineLevel="2" x14ac:dyDescent="0.3">
      <c r="A86" s="21"/>
      <c r="B86" s="9" t="str">
        <f>CONCATENATE("          ","6314"," - ","LIABILITY INSURANCE")</f>
        <v xml:space="preserve">          6314 - LIABILITY INSURANCE</v>
      </c>
      <c r="C86" s="9"/>
      <c r="D86" s="6">
        <v>-68.040000000000006</v>
      </c>
      <c r="E86" s="3"/>
      <c r="F86" s="7">
        <f t="shared" si="12"/>
        <v>-1.7805449556198385E-3</v>
      </c>
      <c r="G86" s="3"/>
      <c r="H86" s="6">
        <v>346.03</v>
      </c>
      <c r="I86" s="3"/>
      <c r="J86" s="7">
        <f t="shared" si="13"/>
        <v>1.0287514062347633E-2</v>
      </c>
      <c r="K86" s="3"/>
      <c r="L86" s="6">
        <f t="shared" si="14"/>
        <v>-414.07</v>
      </c>
      <c r="M86" s="3"/>
      <c r="N86" s="7">
        <f t="shared" si="15"/>
        <v>-1.1966303499696558</v>
      </c>
      <c r="O86" s="9"/>
      <c r="P86" s="6">
        <v>2341.84</v>
      </c>
      <c r="Q86" s="3"/>
      <c r="R86" s="7">
        <f t="shared" si="16"/>
        <v>5.6253222710771003E-3</v>
      </c>
      <c r="S86" s="3"/>
      <c r="T86" s="6">
        <v>2119.0100000000002</v>
      </c>
      <c r="U86" s="3"/>
      <c r="V86" s="7">
        <f t="shared" si="17"/>
        <v>6.6292620377241731E-3</v>
      </c>
      <c r="W86" s="3"/>
      <c r="X86" s="6">
        <f t="shared" si="18"/>
        <v>222.82999999999993</v>
      </c>
      <c r="Y86" s="3"/>
      <c r="Z86" s="7">
        <f t="shared" si="19"/>
        <v>0.10515759717981506</v>
      </c>
    </row>
    <row r="87" spans="1:26" s="68" customFormat="1" ht="15" customHeight="1" outlineLevel="1" collapsed="1" x14ac:dyDescent="0.3">
      <c r="A87" s="20"/>
      <c r="B87" s="11" t="str">
        <f>CONCATENATE("     ","Inventory Adjustment                              ")</f>
        <v xml:space="preserve">     Inventory Adjustment                              </v>
      </c>
      <c r="C87" s="11"/>
      <c r="D87" s="2">
        <f>SUM(OSRRefD22_8x_0)</f>
        <v>-1100</v>
      </c>
      <c r="E87" s="2"/>
      <c r="F87" s="5">
        <f t="shared" si="12"/>
        <v>-2.878600016434189E-2</v>
      </c>
      <c r="G87" s="2"/>
      <c r="H87" s="2">
        <f>SUM(OSRRefH22_8x_0)</f>
        <v>-1100</v>
      </c>
      <c r="I87" s="2"/>
      <c r="J87" s="5">
        <f t="shared" si="13"/>
        <v>-3.2703134030524515E-2</v>
      </c>
      <c r="K87" s="2"/>
      <c r="L87" s="2">
        <f t="shared" si="14"/>
        <v>0</v>
      </c>
      <c r="M87" s="2"/>
      <c r="N87" s="5">
        <f t="shared" si="15"/>
        <v>0</v>
      </c>
      <c r="O87" s="11"/>
      <c r="P87" s="2">
        <f>SUM(OSRRefP22_8x_0)</f>
        <v>0</v>
      </c>
      <c r="Q87" s="2"/>
      <c r="R87" s="5">
        <f t="shared" si="16"/>
        <v>0</v>
      </c>
      <c r="S87" s="2"/>
      <c r="T87" s="2">
        <f>SUM(OSRRefT22_8x_0)</f>
        <v>0</v>
      </c>
      <c r="U87" s="2"/>
      <c r="V87" s="5">
        <f t="shared" si="17"/>
        <v>0</v>
      </c>
      <c r="W87" s="2"/>
      <c r="X87" s="2">
        <f t="shared" si="18"/>
        <v>0</v>
      </c>
      <c r="Y87" s="2"/>
      <c r="Z87" s="5">
        <f t="shared" si="19"/>
        <v>0</v>
      </c>
    </row>
    <row r="88" spans="1:26" s="69" customFormat="1" ht="15" hidden="1" customHeight="1" outlineLevel="2" x14ac:dyDescent="0.3">
      <c r="A88" s="21"/>
      <c r="B88" s="9" t="str">
        <f>CONCATENATE("          ","6408"," - ","INVENTORY ADJUSTMENT")</f>
        <v xml:space="preserve">          6408 - INVENTORY ADJUSTMENT</v>
      </c>
      <c r="C88" s="9"/>
      <c r="D88" s="6">
        <v>-1100</v>
      </c>
      <c r="E88" s="3"/>
      <c r="F88" s="7">
        <f t="shared" si="12"/>
        <v>-2.878600016434189E-2</v>
      </c>
      <c r="G88" s="3"/>
      <c r="H88" s="6">
        <v>-1100</v>
      </c>
      <c r="I88" s="3"/>
      <c r="J88" s="7">
        <f t="shared" si="13"/>
        <v>-3.2703134030524515E-2</v>
      </c>
      <c r="K88" s="3"/>
      <c r="L88" s="6">
        <f t="shared" si="14"/>
        <v>0</v>
      </c>
      <c r="M88" s="3"/>
      <c r="N88" s="7">
        <f t="shared" si="15"/>
        <v>0</v>
      </c>
      <c r="O88" s="9"/>
      <c r="P88" s="6">
        <v>0</v>
      </c>
      <c r="Q88" s="3"/>
      <c r="R88" s="7">
        <f t="shared" si="16"/>
        <v>0</v>
      </c>
      <c r="S88" s="3"/>
      <c r="T88" s="6">
        <v>0</v>
      </c>
      <c r="U88" s="3"/>
      <c r="V88" s="7">
        <f t="shared" si="17"/>
        <v>0</v>
      </c>
      <c r="W88" s="3"/>
      <c r="X88" s="6">
        <f t="shared" si="18"/>
        <v>0</v>
      </c>
      <c r="Y88" s="3"/>
      <c r="Z88" s="7">
        <f t="shared" si="19"/>
        <v>0</v>
      </c>
    </row>
    <row r="89" spans="1:26" s="68" customFormat="1" ht="15" customHeight="1" outlineLevel="1" collapsed="1" x14ac:dyDescent="0.3">
      <c r="A89" s="20"/>
      <c r="B89" s="11" t="str">
        <f>CONCATENATE("     ","Professional Services                             ")</f>
        <v xml:space="preserve">     Professional Services                             </v>
      </c>
      <c r="C89" s="11"/>
      <c r="D89" s="2">
        <f>SUM(OSRRefD22_9x_0)</f>
        <v>0</v>
      </c>
      <c r="E89" s="2"/>
      <c r="F89" s="5">
        <f t="shared" si="12"/>
        <v>0</v>
      </c>
      <c r="G89" s="2"/>
      <c r="H89" s="2">
        <f>SUM(OSRRefH22_9x_0)</f>
        <v>0</v>
      </c>
      <c r="I89" s="2"/>
      <c r="J89" s="5">
        <f t="shared" si="13"/>
        <v>0</v>
      </c>
      <c r="K89" s="2"/>
      <c r="L89" s="2">
        <f t="shared" si="14"/>
        <v>0</v>
      </c>
      <c r="M89" s="2"/>
      <c r="N89" s="5">
        <f t="shared" si="15"/>
        <v>0</v>
      </c>
      <c r="O89" s="11"/>
      <c r="P89" s="2">
        <f>SUM(OSRRefP22_9x_0)</f>
        <v>161.46</v>
      </c>
      <c r="Q89" s="2"/>
      <c r="R89" s="5">
        <f t="shared" si="16"/>
        <v>3.8784226671681606E-4</v>
      </c>
      <c r="S89" s="2"/>
      <c r="T89" s="2">
        <f>SUM(OSRRefT22_9x_0)</f>
        <v>0</v>
      </c>
      <c r="U89" s="2"/>
      <c r="V89" s="5">
        <f t="shared" si="17"/>
        <v>0</v>
      </c>
      <c r="W89" s="2"/>
      <c r="X89" s="2">
        <f t="shared" si="18"/>
        <v>161.46</v>
      </c>
      <c r="Y89" s="2"/>
      <c r="Z89" s="5">
        <f t="shared" si="19"/>
        <v>0</v>
      </c>
    </row>
    <row r="90" spans="1:26" s="69" customFormat="1" ht="15" hidden="1" customHeight="1" outlineLevel="2" x14ac:dyDescent="0.3">
      <c r="A90" s="21"/>
      <c r="B90" s="9" t="str">
        <f>CONCATENATE("          ","6336"," - ","PROFESSIONAL SERVICES")</f>
        <v xml:space="preserve">          6336 - PROFESSIONAL SERVICES</v>
      </c>
      <c r="C90" s="9"/>
      <c r="D90" s="6"/>
      <c r="E90" s="3"/>
      <c r="F90" s="7">
        <f t="shared" ref="F90:F114" si="20">IF(D$12=0,0,D90/D$12)</f>
        <v>0</v>
      </c>
      <c r="G90" s="3"/>
      <c r="H90" s="6"/>
      <c r="I90" s="3"/>
      <c r="J90" s="7">
        <f t="shared" ref="J90:J114" si="21">IF(H$12=0,0,H90/H$12)</f>
        <v>0</v>
      </c>
      <c r="K90" s="3"/>
      <c r="L90" s="6">
        <f t="shared" ref="L90:L114" si="22">+D90-H90</f>
        <v>0</v>
      </c>
      <c r="M90" s="3"/>
      <c r="N90" s="7">
        <f t="shared" ref="N90:N114" si="23">IF(H90=0,0,L90/H90)</f>
        <v>0</v>
      </c>
      <c r="O90" s="9"/>
      <c r="P90" s="6">
        <v>161.46</v>
      </c>
      <c r="Q90" s="3"/>
      <c r="R90" s="7">
        <f t="shared" ref="R90:R114" si="24">IF(P$12=0,0,P90/P$12)</f>
        <v>3.8784226671681606E-4</v>
      </c>
      <c r="S90" s="3"/>
      <c r="T90" s="6"/>
      <c r="U90" s="3"/>
      <c r="V90" s="7">
        <f t="shared" ref="V90:V114" si="25">IF(T$12=0,0,T90/T$12)</f>
        <v>0</v>
      </c>
      <c r="W90" s="3"/>
      <c r="X90" s="6">
        <f t="shared" ref="X90:X114" si="26">+P90-T90</f>
        <v>161.46</v>
      </c>
      <c r="Y90" s="3"/>
      <c r="Z90" s="7">
        <f t="shared" ref="Z90:Z114" si="27">IF(T90=0,0,X90/T90)</f>
        <v>0</v>
      </c>
    </row>
    <row r="91" spans="1:26" s="68" customFormat="1" ht="15" customHeight="1" outlineLevel="1" collapsed="1" x14ac:dyDescent="0.3">
      <c r="A91" s="20"/>
      <c r="B91" s="11" t="str">
        <f>CONCATENATE("     ","Rent                                              ")</f>
        <v xml:space="preserve">     Rent                                              </v>
      </c>
      <c r="C91" s="11"/>
      <c r="D91" s="2">
        <f>SUM(OSRRefD22_10x_0)</f>
        <v>6900</v>
      </c>
      <c r="E91" s="2"/>
      <c r="F91" s="5">
        <f t="shared" si="20"/>
        <v>0.18056672830359913</v>
      </c>
      <c r="G91" s="2"/>
      <c r="H91" s="2">
        <f>SUM(OSRRefH22_10x_0)</f>
        <v>6900</v>
      </c>
      <c r="I91" s="2"/>
      <c r="J91" s="5">
        <f t="shared" si="21"/>
        <v>0.20513784073692648</v>
      </c>
      <c r="K91" s="2"/>
      <c r="L91" s="2">
        <f t="shared" si="22"/>
        <v>0</v>
      </c>
      <c r="M91" s="2"/>
      <c r="N91" s="5">
        <f t="shared" si="23"/>
        <v>0</v>
      </c>
      <c r="O91" s="11"/>
      <c r="P91" s="2">
        <f>SUM(OSRRefP22_10x_0)</f>
        <v>82800</v>
      </c>
      <c r="Q91" s="2"/>
      <c r="R91" s="5">
        <f t="shared" si="24"/>
        <v>0.19889347011118771</v>
      </c>
      <c r="S91" s="2"/>
      <c r="T91" s="2">
        <f>SUM(OSRRefT22_10x_0)</f>
        <v>82800</v>
      </c>
      <c r="U91" s="2"/>
      <c r="V91" s="5">
        <f t="shared" si="25"/>
        <v>0.25903742630924886</v>
      </c>
      <c r="W91" s="2"/>
      <c r="X91" s="2">
        <f t="shared" si="26"/>
        <v>0</v>
      </c>
      <c r="Y91" s="2"/>
      <c r="Z91" s="5">
        <f t="shared" si="27"/>
        <v>0</v>
      </c>
    </row>
    <row r="92" spans="1:26" s="69" customFormat="1" ht="15" hidden="1" customHeight="1" outlineLevel="2" x14ac:dyDescent="0.3">
      <c r="A92" s="21"/>
      <c r="B92" s="9" t="str">
        <f>CONCATENATE("          ","6273"," - ","RENT")</f>
        <v xml:space="preserve">          6273 - RENT</v>
      </c>
      <c r="C92" s="9"/>
      <c r="D92" s="6">
        <v>6900</v>
      </c>
      <c r="E92" s="3"/>
      <c r="F92" s="7">
        <f t="shared" si="20"/>
        <v>0.18056672830359913</v>
      </c>
      <c r="G92" s="3"/>
      <c r="H92" s="6">
        <v>6900</v>
      </c>
      <c r="I92" s="3"/>
      <c r="J92" s="7">
        <f t="shared" si="21"/>
        <v>0.20513784073692648</v>
      </c>
      <c r="K92" s="3"/>
      <c r="L92" s="6">
        <f t="shared" si="22"/>
        <v>0</v>
      </c>
      <c r="M92" s="3"/>
      <c r="N92" s="7">
        <f t="shared" si="23"/>
        <v>0</v>
      </c>
      <c r="O92" s="9"/>
      <c r="P92" s="6">
        <v>82800</v>
      </c>
      <c r="Q92" s="3"/>
      <c r="R92" s="7">
        <f t="shared" si="24"/>
        <v>0.19889347011118771</v>
      </c>
      <c r="S92" s="3"/>
      <c r="T92" s="6">
        <v>82800</v>
      </c>
      <c r="U92" s="3"/>
      <c r="V92" s="7">
        <f t="shared" si="25"/>
        <v>0.25903742630924886</v>
      </c>
      <c r="W92" s="3"/>
      <c r="X92" s="6">
        <f t="shared" si="26"/>
        <v>0</v>
      </c>
      <c r="Y92" s="3"/>
      <c r="Z92" s="7">
        <f t="shared" si="27"/>
        <v>0</v>
      </c>
    </row>
    <row r="93" spans="1:26" s="68" customFormat="1" ht="15" customHeight="1" outlineLevel="1" collapsed="1" x14ac:dyDescent="0.3">
      <c r="A93" s="20"/>
      <c r="B93" s="11" t="str">
        <f>CONCATENATE("     ","Repair and Maintenance                            ")</f>
        <v xml:space="preserve">     Repair and Maintenance                            </v>
      </c>
      <c r="C93" s="11"/>
      <c r="D93" s="2">
        <f>SUM(OSRRefD22_11x_0)</f>
        <v>0</v>
      </c>
      <c r="E93" s="2"/>
      <c r="F93" s="5">
        <f t="shared" si="20"/>
        <v>0</v>
      </c>
      <c r="G93" s="2"/>
      <c r="H93" s="2">
        <f>SUM(OSRRefH22_11x_0)</f>
        <v>824.67</v>
      </c>
      <c r="I93" s="2"/>
      <c r="J93" s="5">
        <f t="shared" si="21"/>
        <v>2.4517539582684225E-2</v>
      </c>
      <c r="K93" s="2"/>
      <c r="L93" s="2">
        <f t="shared" si="22"/>
        <v>-824.67</v>
      </c>
      <c r="M93" s="2"/>
      <c r="N93" s="5">
        <f t="shared" si="23"/>
        <v>-1</v>
      </c>
      <c r="O93" s="11"/>
      <c r="P93" s="2">
        <f>SUM(OSRRefP22_11x_0)</f>
        <v>1519.57</v>
      </c>
      <c r="Q93" s="2"/>
      <c r="R93" s="5">
        <f t="shared" si="24"/>
        <v>3.6501515745997284E-3</v>
      </c>
      <c r="S93" s="2"/>
      <c r="T93" s="2">
        <f>SUM(OSRRefT22_11x_0)</f>
        <v>1134.3800000000001</v>
      </c>
      <c r="U93" s="2"/>
      <c r="V93" s="5">
        <f t="shared" si="25"/>
        <v>3.5488753098633545E-3</v>
      </c>
      <c r="W93" s="2"/>
      <c r="X93" s="2">
        <f t="shared" si="26"/>
        <v>385.18999999999983</v>
      </c>
      <c r="Y93" s="2"/>
      <c r="Z93" s="5">
        <f t="shared" si="27"/>
        <v>0.33955993582397415</v>
      </c>
    </row>
    <row r="94" spans="1:26" s="69" customFormat="1" ht="15" hidden="1" customHeight="1" outlineLevel="2" x14ac:dyDescent="0.3">
      <c r="A94" s="21"/>
      <c r="B94" s="9" t="str">
        <f>CONCATENATE("          ","6372"," - ","COMPUTER HARDWARE MAINTENANCE")</f>
        <v xml:space="preserve">          6372 - COMPUTER HARDWARE MAINTENANCE</v>
      </c>
      <c r="C94" s="9"/>
      <c r="D94" s="6"/>
      <c r="E94" s="3"/>
      <c r="F94" s="7">
        <f t="shared" si="20"/>
        <v>0</v>
      </c>
      <c r="G94" s="3"/>
      <c r="H94" s="6"/>
      <c r="I94" s="3"/>
      <c r="J94" s="7">
        <f t="shared" si="21"/>
        <v>0</v>
      </c>
      <c r="K94" s="3"/>
      <c r="L94" s="6">
        <f t="shared" si="22"/>
        <v>0</v>
      </c>
      <c r="M94" s="3"/>
      <c r="N94" s="7">
        <f t="shared" si="23"/>
        <v>0</v>
      </c>
      <c r="O94" s="9"/>
      <c r="P94" s="6"/>
      <c r="Q94" s="3"/>
      <c r="R94" s="7">
        <f t="shared" si="24"/>
        <v>0</v>
      </c>
      <c r="S94" s="3"/>
      <c r="T94" s="6">
        <v>-0.52</v>
      </c>
      <c r="U94" s="3"/>
      <c r="V94" s="7">
        <f t="shared" si="25"/>
        <v>-1.6268050927633989E-6</v>
      </c>
      <c r="W94" s="3"/>
      <c r="X94" s="6">
        <f t="shared" si="26"/>
        <v>0.52</v>
      </c>
      <c r="Y94" s="3"/>
      <c r="Z94" s="7">
        <f t="shared" si="27"/>
        <v>-1</v>
      </c>
    </row>
    <row r="95" spans="1:26" s="69" customFormat="1" ht="15" hidden="1" customHeight="1" outlineLevel="2" x14ac:dyDescent="0.3">
      <c r="A95" s="21"/>
      <c r="B95" s="9" t="str">
        <f>CONCATENATE("          ","6373"," - ","MAINTENANCE CONTRACTS")</f>
        <v xml:space="preserve">          6373 - MAINTENANCE CONTRACTS</v>
      </c>
      <c r="C95" s="9"/>
      <c r="D95" s="6"/>
      <c r="E95" s="3"/>
      <c r="F95" s="7">
        <f t="shared" si="20"/>
        <v>0</v>
      </c>
      <c r="G95" s="3"/>
      <c r="H95" s="6">
        <v>230.9</v>
      </c>
      <c r="I95" s="3"/>
      <c r="J95" s="7">
        <f t="shared" si="21"/>
        <v>6.8646851342255549E-3</v>
      </c>
      <c r="K95" s="3"/>
      <c r="L95" s="6">
        <f t="shared" si="22"/>
        <v>-230.9</v>
      </c>
      <c r="M95" s="3"/>
      <c r="N95" s="7">
        <f t="shared" si="23"/>
        <v>-1</v>
      </c>
      <c r="O95" s="9"/>
      <c r="P95" s="6">
        <v>696.76</v>
      </c>
      <c r="Q95" s="3"/>
      <c r="R95" s="7">
        <f t="shared" si="24"/>
        <v>1.6736837467955454E-3</v>
      </c>
      <c r="S95" s="3"/>
      <c r="T95" s="6">
        <v>375.57</v>
      </c>
      <c r="U95" s="3"/>
      <c r="V95" s="7">
        <f t="shared" si="25"/>
        <v>1.1749599782483646E-3</v>
      </c>
      <c r="W95" s="3"/>
      <c r="X95" s="6">
        <f t="shared" si="26"/>
        <v>321.19</v>
      </c>
      <c r="Y95" s="3"/>
      <c r="Z95" s="7">
        <f t="shared" si="27"/>
        <v>0.85520675240301414</v>
      </c>
    </row>
    <row r="96" spans="1:26" s="69" customFormat="1" ht="15" hidden="1" customHeight="1" outlineLevel="2" x14ac:dyDescent="0.3">
      <c r="A96" s="21"/>
      <c r="B96" s="9" t="str">
        <f>CONCATENATE("          ","6375"," - ","OUTSIDE REPAIRS &amp; MAINTENANCE")</f>
        <v xml:space="preserve">          6375 - OUTSIDE REPAIRS &amp; MAINTENANCE</v>
      </c>
      <c r="C96" s="9"/>
      <c r="D96" s="6"/>
      <c r="E96" s="3"/>
      <c r="F96" s="7">
        <f t="shared" si="20"/>
        <v>0</v>
      </c>
      <c r="G96" s="3"/>
      <c r="H96" s="6">
        <v>593.77</v>
      </c>
      <c r="I96" s="3"/>
      <c r="J96" s="7">
        <f t="shared" si="21"/>
        <v>1.7652854448458672E-2</v>
      </c>
      <c r="K96" s="3"/>
      <c r="L96" s="6">
        <f t="shared" si="22"/>
        <v>-593.77</v>
      </c>
      <c r="M96" s="3"/>
      <c r="N96" s="7">
        <f t="shared" si="23"/>
        <v>-1</v>
      </c>
      <c r="O96" s="9"/>
      <c r="P96" s="6">
        <v>822.81</v>
      </c>
      <c r="Q96" s="3"/>
      <c r="R96" s="7">
        <f t="shared" si="24"/>
        <v>1.9764678278041833E-3</v>
      </c>
      <c r="S96" s="3"/>
      <c r="T96" s="6">
        <v>759.33</v>
      </c>
      <c r="U96" s="3"/>
      <c r="V96" s="7">
        <f t="shared" si="25"/>
        <v>2.3755421367077532E-3</v>
      </c>
      <c r="W96" s="3"/>
      <c r="X96" s="6">
        <f t="shared" si="26"/>
        <v>63.479999999999905</v>
      </c>
      <c r="Y96" s="3"/>
      <c r="Z96" s="7">
        <f t="shared" si="27"/>
        <v>8.3600015803405509E-2</v>
      </c>
    </row>
    <row r="97" spans="1:26" s="68" customFormat="1" ht="15" customHeight="1" outlineLevel="1" collapsed="1" x14ac:dyDescent="0.3">
      <c r="A97" s="20"/>
      <c r="B97" s="11" t="str">
        <f>CONCATENATE("     ","Services                                          ")</f>
        <v xml:space="preserve">     Services                                          </v>
      </c>
      <c r="C97" s="11"/>
      <c r="D97" s="2">
        <f>SUM(OSRRefD22_12x_0)</f>
        <v>223.45</v>
      </c>
      <c r="E97" s="2"/>
      <c r="F97" s="5">
        <f t="shared" si="20"/>
        <v>5.8474833970201768E-3</v>
      </c>
      <c r="G97" s="2"/>
      <c r="H97" s="2">
        <f>SUM(OSRRefH22_12x_0)</f>
        <v>155.59</v>
      </c>
      <c r="I97" s="2"/>
      <c r="J97" s="5">
        <f t="shared" si="21"/>
        <v>4.6257096580084624E-3</v>
      </c>
      <c r="K97" s="2"/>
      <c r="L97" s="2">
        <f t="shared" si="22"/>
        <v>67.859999999999985</v>
      </c>
      <c r="M97" s="2"/>
      <c r="N97" s="5">
        <f t="shared" si="23"/>
        <v>0.43614628189472321</v>
      </c>
      <c r="O97" s="11"/>
      <c r="P97" s="2">
        <f>SUM(OSRRefP22_12x_0)</f>
        <v>2099.46</v>
      </c>
      <c r="Q97" s="2"/>
      <c r="R97" s="5">
        <f t="shared" si="24"/>
        <v>5.043102472942442E-3</v>
      </c>
      <c r="S97" s="2"/>
      <c r="T97" s="2">
        <f>SUM(OSRRefT22_12x_0)</f>
        <v>1074.1099999999999</v>
      </c>
      <c r="U97" s="2"/>
      <c r="V97" s="5">
        <f t="shared" si="25"/>
        <v>3.3603223426694117E-3</v>
      </c>
      <c r="W97" s="2"/>
      <c r="X97" s="2">
        <f t="shared" si="26"/>
        <v>1025.3500000000001</v>
      </c>
      <c r="Y97" s="2"/>
      <c r="Z97" s="5">
        <f t="shared" si="27"/>
        <v>0.9546042770293548</v>
      </c>
    </row>
    <row r="98" spans="1:26" s="69" customFormat="1" ht="15" hidden="1" customHeight="1" outlineLevel="2" x14ac:dyDescent="0.3">
      <c r="A98" s="21"/>
      <c r="B98" s="9" t="str">
        <f>CONCATENATE("          ","6283"," - ","PLANT SERVICE")</f>
        <v xml:space="preserve">          6283 - PLANT SERVICE</v>
      </c>
      <c r="C98" s="9"/>
      <c r="D98" s="6"/>
      <c r="E98" s="3"/>
      <c r="F98" s="7">
        <f t="shared" si="20"/>
        <v>0</v>
      </c>
      <c r="G98" s="3"/>
      <c r="H98" s="6"/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/>
      <c r="Q98" s="3"/>
      <c r="R98" s="7">
        <f t="shared" si="24"/>
        <v>0</v>
      </c>
      <c r="S98" s="3"/>
      <c r="T98" s="6">
        <v>41.31</v>
      </c>
      <c r="U98" s="3"/>
      <c r="V98" s="7">
        <f t="shared" si="25"/>
        <v>1.2923715073472308E-4</v>
      </c>
      <c r="W98" s="3"/>
      <c r="X98" s="6">
        <f t="shared" si="26"/>
        <v>-41.31</v>
      </c>
      <c r="Y98" s="3"/>
      <c r="Z98" s="7">
        <f t="shared" si="27"/>
        <v>-1</v>
      </c>
    </row>
    <row r="99" spans="1:26" s="69" customFormat="1" ht="15" hidden="1" customHeight="1" outlineLevel="2" x14ac:dyDescent="0.3">
      <c r="A99" s="21"/>
      <c r="B99" s="9" t="str">
        <f>CONCATENATE("          ","6284"," - ","TRASH REMOVAL EXPENSE")</f>
        <v xml:space="preserve">          6284 - TRASH REMOVAL EXPENSE</v>
      </c>
      <c r="C99" s="9"/>
      <c r="D99" s="6">
        <v>149.69999999999999</v>
      </c>
      <c r="E99" s="3"/>
      <c r="F99" s="7">
        <f t="shared" si="20"/>
        <v>3.9175129314563458E-3</v>
      </c>
      <c r="G99" s="3"/>
      <c r="H99" s="6">
        <v>142.57</v>
      </c>
      <c r="I99" s="3"/>
      <c r="J99" s="7">
        <f t="shared" si="21"/>
        <v>4.2386234715744361E-3</v>
      </c>
      <c r="K99" s="3"/>
      <c r="L99" s="6">
        <f t="shared" si="22"/>
        <v>7.1299999999999955</v>
      </c>
      <c r="M99" s="3"/>
      <c r="N99" s="7">
        <f t="shared" si="23"/>
        <v>5.0010521147506461E-2</v>
      </c>
      <c r="O99" s="9"/>
      <c r="P99" s="6">
        <v>1639.57</v>
      </c>
      <c r="Q99" s="3"/>
      <c r="R99" s="7">
        <f t="shared" si="24"/>
        <v>3.9384029805579713E-3</v>
      </c>
      <c r="S99" s="3"/>
      <c r="T99" s="6">
        <v>1725.86</v>
      </c>
      <c r="U99" s="3"/>
      <c r="V99" s="7">
        <f t="shared" si="25"/>
        <v>5.3993035334550755E-3</v>
      </c>
      <c r="W99" s="3"/>
      <c r="X99" s="6">
        <f t="shared" si="26"/>
        <v>-86.289999999999964</v>
      </c>
      <c r="Y99" s="3"/>
      <c r="Z99" s="7">
        <f t="shared" si="27"/>
        <v>-4.9998261736177885E-2</v>
      </c>
    </row>
    <row r="100" spans="1:26" s="69" customFormat="1" ht="15" hidden="1" customHeight="1" outlineLevel="2" x14ac:dyDescent="0.3">
      <c r="A100" s="21"/>
      <c r="B100" s="9" t="str">
        <f>CONCATENATE("          ","6285"," - ","JANITORIAL SERVICES")</f>
        <v xml:space="preserve">          6285 - JANITORIAL SERVICES</v>
      </c>
      <c r="C100" s="9"/>
      <c r="D100" s="6">
        <v>73.75</v>
      </c>
      <c r="E100" s="3"/>
      <c r="F100" s="7">
        <f t="shared" si="20"/>
        <v>1.9299704655638312E-3</v>
      </c>
      <c r="G100" s="3"/>
      <c r="H100" s="6">
        <v>13.02</v>
      </c>
      <c r="I100" s="3"/>
      <c r="J100" s="7">
        <f t="shared" si="21"/>
        <v>3.870861864340265E-4</v>
      </c>
      <c r="K100" s="3"/>
      <c r="L100" s="6">
        <f t="shared" si="22"/>
        <v>60.730000000000004</v>
      </c>
      <c r="M100" s="3"/>
      <c r="N100" s="7">
        <f t="shared" si="23"/>
        <v>4.6643625192012292</v>
      </c>
      <c r="O100" s="9"/>
      <c r="P100" s="6">
        <v>459.89</v>
      </c>
      <c r="Q100" s="3"/>
      <c r="R100" s="7">
        <f t="shared" si="24"/>
        <v>1.10469949238447E-3</v>
      </c>
      <c r="S100" s="3"/>
      <c r="T100" s="6">
        <v>-693.06</v>
      </c>
      <c r="U100" s="3"/>
      <c r="V100" s="7">
        <f t="shared" si="25"/>
        <v>-2.1682183415203866E-3</v>
      </c>
      <c r="W100" s="3"/>
      <c r="X100" s="6">
        <f t="shared" si="26"/>
        <v>1152.9499999999998</v>
      </c>
      <c r="Y100" s="3"/>
      <c r="Z100" s="7">
        <f t="shared" si="27"/>
        <v>-1.6635644821516173</v>
      </c>
    </row>
    <row r="101" spans="1:26" s="68" customFormat="1" ht="15" customHeight="1" outlineLevel="1" collapsed="1" x14ac:dyDescent="0.3">
      <c r="A101" s="20"/>
      <c r="B101" s="11" t="str">
        <f>CONCATENATE("     ","Subscriptions &amp; Dues                              ")</f>
        <v xml:space="preserve">     Subscriptions &amp; Dues                              </v>
      </c>
      <c r="C101" s="11"/>
      <c r="D101" s="2">
        <f>SUM(OSRRefD22_13x_0)</f>
        <v>0</v>
      </c>
      <c r="E101" s="2"/>
      <c r="F101" s="5">
        <f t="shared" si="20"/>
        <v>0</v>
      </c>
      <c r="G101" s="2"/>
      <c r="H101" s="2">
        <f>SUM(OSRRefH22_13x_0)</f>
        <v>0</v>
      </c>
      <c r="I101" s="2"/>
      <c r="J101" s="5">
        <f t="shared" si="21"/>
        <v>0</v>
      </c>
      <c r="K101" s="2"/>
      <c r="L101" s="2">
        <f t="shared" si="22"/>
        <v>0</v>
      </c>
      <c r="M101" s="2"/>
      <c r="N101" s="5">
        <f t="shared" si="23"/>
        <v>0</v>
      </c>
      <c r="O101" s="11"/>
      <c r="P101" s="2">
        <f>SUM(OSRRefP22_13x_0)</f>
        <v>0</v>
      </c>
      <c r="Q101" s="2"/>
      <c r="R101" s="5">
        <f t="shared" si="24"/>
        <v>0</v>
      </c>
      <c r="S101" s="2"/>
      <c r="T101" s="2">
        <f>SUM(OSRRefT22_13x_0)</f>
        <v>2254.14</v>
      </c>
      <c r="U101" s="2"/>
      <c r="V101" s="5">
        <f t="shared" si="25"/>
        <v>7.0520123688493988E-3</v>
      </c>
      <c r="W101" s="2"/>
      <c r="X101" s="2">
        <f t="shared" si="26"/>
        <v>-2254.14</v>
      </c>
      <c r="Y101" s="2"/>
      <c r="Z101" s="5">
        <f t="shared" si="27"/>
        <v>-1</v>
      </c>
    </row>
    <row r="102" spans="1:26" s="69" customFormat="1" ht="15" hidden="1" customHeight="1" outlineLevel="2" x14ac:dyDescent="0.3">
      <c r="A102" s="21"/>
      <c r="B102" s="9" t="str">
        <f>CONCATENATE("          ","6258"," - ","MEMBERSHIP DUES")</f>
        <v xml:space="preserve">          6258 - MEMBERSHIP DUES</v>
      </c>
      <c r="C102" s="9"/>
      <c r="D102" s="6"/>
      <c r="E102" s="3"/>
      <c r="F102" s="7">
        <f t="shared" si="20"/>
        <v>0</v>
      </c>
      <c r="G102" s="3"/>
      <c r="H102" s="6"/>
      <c r="I102" s="3"/>
      <c r="J102" s="7">
        <f t="shared" si="21"/>
        <v>0</v>
      </c>
      <c r="K102" s="3"/>
      <c r="L102" s="6">
        <f t="shared" si="22"/>
        <v>0</v>
      </c>
      <c r="M102" s="3"/>
      <c r="N102" s="7">
        <f t="shared" si="23"/>
        <v>0</v>
      </c>
      <c r="O102" s="9"/>
      <c r="P102" s="6"/>
      <c r="Q102" s="3"/>
      <c r="R102" s="7">
        <f t="shared" si="24"/>
        <v>0</v>
      </c>
      <c r="S102" s="3"/>
      <c r="T102" s="6">
        <v>-60.73</v>
      </c>
      <c r="U102" s="3"/>
      <c r="V102" s="7">
        <f t="shared" si="25"/>
        <v>-1.8999206400677156E-4</v>
      </c>
      <c r="W102" s="3"/>
      <c r="X102" s="6">
        <f t="shared" si="26"/>
        <v>60.73</v>
      </c>
      <c r="Y102" s="3"/>
      <c r="Z102" s="7">
        <f t="shared" si="27"/>
        <v>-1</v>
      </c>
    </row>
    <row r="103" spans="1:26" s="69" customFormat="1" ht="15" hidden="1" customHeight="1" outlineLevel="2" x14ac:dyDescent="0.3">
      <c r="A103" s="21"/>
      <c r="B103" s="9" t="str">
        <f>CONCATENATE("          ","6275"," - ","SUBSCRIPTIONS")</f>
        <v xml:space="preserve">          6275 - SUBSCRIPTIONS</v>
      </c>
      <c r="C103" s="9"/>
      <c r="D103" s="6"/>
      <c r="E103" s="3"/>
      <c r="F103" s="7">
        <f t="shared" si="20"/>
        <v>0</v>
      </c>
      <c r="G103" s="3"/>
      <c r="H103" s="6"/>
      <c r="I103" s="3"/>
      <c r="J103" s="7">
        <f t="shared" si="21"/>
        <v>0</v>
      </c>
      <c r="K103" s="3"/>
      <c r="L103" s="6">
        <f t="shared" si="22"/>
        <v>0</v>
      </c>
      <c r="M103" s="3"/>
      <c r="N103" s="7">
        <f t="shared" si="23"/>
        <v>0</v>
      </c>
      <c r="O103" s="9"/>
      <c r="P103" s="6"/>
      <c r="Q103" s="3"/>
      <c r="R103" s="7">
        <f t="shared" si="24"/>
        <v>0</v>
      </c>
      <c r="S103" s="3"/>
      <c r="T103" s="6">
        <v>2314.87</v>
      </c>
      <c r="U103" s="3"/>
      <c r="V103" s="7">
        <f t="shared" si="25"/>
        <v>7.2420044328561708E-3</v>
      </c>
      <c r="W103" s="3"/>
      <c r="X103" s="6">
        <f t="shared" si="26"/>
        <v>-2314.87</v>
      </c>
      <c r="Y103" s="3"/>
      <c r="Z103" s="7">
        <f t="shared" si="27"/>
        <v>-1</v>
      </c>
    </row>
    <row r="104" spans="1:26" s="68" customFormat="1" ht="15" customHeight="1" outlineLevel="1" collapsed="1" x14ac:dyDescent="0.3">
      <c r="A104" s="20"/>
      <c r="B104" s="11" t="str">
        <f>CONCATENATE("     ","Supplies                                          ")</f>
        <v xml:space="preserve">     Supplies                                          </v>
      </c>
      <c r="C104" s="11"/>
      <c r="D104" s="2">
        <f>SUM(OSRRefD22_14x_0)</f>
        <v>479.31000000000006</v>
      </c>
      <c r="E104" s="2"/>
      <c r="F104" s="5">
        <f t="shared" si="20"/>
        <v>1.2543107035246102E-2</v>
      </c>
      <c r="G104" s="2"/>
      <c r="H104" s="2">
        <f>SUM(OSRRefH22_14x_0)</f>
        <v>90.59</v>
      </c>
      <c r="I104" s="2"/>
      <c r="J104" s="5">
        <f t="shared" si="21"/>
        <v>2.6932517380229234E-3</v>
      </c>
      <c r="K104" s="2"/>
      <c r="L104" s="2">
        <f t="shared" si="22"/>
        <v>388.72</v>
      </c>
      <c r="M104" s="2"/>
      <c r="N104" s="5">
        <f t="shared" si="23"/>
        <v>4.2909813445192624</v>
      </c>
      <c r="O104" s="11"/>
      <c r="P104" s="2">
        <f>SUM(OSRRefP22_14x_0)</f>
        <v>2360.8200000000002</v>
      </c>
      <c r="Q104" s="2"/>
      <c r="R104" s="5">
        <f t="shared" si="24"/>
        <v>5.6709140351194958E-3</v>
      </c>
      <c r="S104" s="2"/>
      <c r="T104" s="2">
        <f>SUM(OSRRefT22_14x_0)</f>
        <v>919.82999999999993</v>
      </c>
      <c r="U104" s="2"/>
      <c r="V104" s="5">
        <f t="shared" si="25"/>
        <v>2.8776617855318402E-3</v>
      </c>
      <c r="W104" s="2"/>
      <c r="X104" s="2">
        <f t="shared" si="26"/>
        <v>1440.9900000000002</v>
      </c>
      <c r="Y104" s="2"/>
      <c r="Z104" s="5">
        <f t="shared" si="27"/>
        <v>1.5665829555461339</v>
      </c>
    </row>
    <row r="105" spans="1:26" s="69" customFormat="1" ht="15" hidden="1" customHeight="1" outlineLevel="2" x14ac:dyDescent="0.3">
      <c r="A105" s="21"/>
      <c r="B105" s="9" t="str">
        <f>CONCATENATE("          ","6235"," - ","COVID-19 EXPENSES")</f>
        <v xml:space="preserve">          6235 - COVID-19 EXPENSES</v>
      </c>
      <c r="C105" s="9"/>
      <c r="D105" s="6"/>
      <c r="E105" s="3"/>
      <c r="F105" s="7">
        <f t="shared" si="20"/>
        <v>0</v>
      </c>
      <c r="G105" s="3"/>
      <c r="H105" s="6"/>
      <c r="I105" s="3"/>
      <c r="J105" s="7">
        <f t="shared" si="21"/>
        <v>0</v>
      </c>
      <c r="K105" s="3"/>
      <c r="L105" s="6">
        <f t="shared" si="22"/>
        <v>0</v>
      </c>
      <c r="M105" s="3"/>
      <c r="N105" s="7">
        <f t="shared" si="23"/>
        <v>0</v>
      </c>
      <c r="O105" s="9"/>
      <c r="P105" s="6"/>
      <c r="Q105" s="3"/>
      <c r="R105" s="7">
        <f t="shared" si="24"/>
        <v>0</v>
      </c>
      <c r="S105" s="3"/>
      <c r="T105" s="6">
        <v>265.7</v>
      </c>
      <c r="U105" s="3"/>
      <c r="V105" s="7">
        <f t="shared" si="25"/>
        <v>8.3123483297545199E-4</v>
      </c>
      <c r="W105" s="3"/>
      <c r="X105" s="6">
        <f t="shared" si="26"/>
        <v>-265.7</v>
      </c>
      <c r="Y105" s="3"/>
      <c r="Z105" s="7">
        <f t="shared" si="27"/>
        <v>-1</v>
      </c>
    </row>
    <row r="106" spans="1:26" s="69" customFormat="1" ht="15" hidden="1" customHeight="1" outlineLevel="2" x14ac:dyDescent="0.3">
      <c r="A106" s="21"/>
      <c r="B106" s="9" t="str">
        <f>CONCATENATE("          ","6237"," - ","JANITORIAL SUPPLIES")</f>
        <v xml:space="preserve">          6237 - JANITORIAL SUPPLIES</v>
      </c>
      <c r="C106" s="9"/>
      <c r="D106" s="6"/>
      <c r="E106" s="3"/>
      <c r="F106" s="7">
        <f t="shared" si="20"/>
        <v>0</v>
      </c>
      <c r="G106" s="3"/>
      <c r="H106" s="6"/>
      <c r="I106" s="3"/>
      <c r="J106" s="7">
        <f t="shared" si="21"/>
        <v>0</v>
      </c>
      <c r="K106" s="3"/>
      <c r="L106" s="6">
        <f t="shared" si="22"/>
        <v>0</v>
      </c>
      <c r="M106" s="3"/>
      <c r="N106" s="7">
        <f t="shared" si="23"/>
        <v>0</v>
      </c>
      <c r="O106" s="9"/>
      <c r="P106" s="6">
        <v>852.79</v>
      </c>
      <c r="Q106" s="3"/>
      <c r="R106" s="7">
        <f t="shared" si="24"/>
        <v>2.0484826373927509E-3</v>
      </c>
      <c r="S106" s="3"/>
      <c r="T106" s="6">
        <v>191.74</v>
      </c>
      <c r="U106" s="3"/>
      <c r="V106" s="7">
        <f t="shared" si="25"/>
        <v>5.9985309324318099E-4</v>
      </c>
      <c r="W106" s="3"/>
      <c r="X106" s="6">
        <f t="shared" si="26"/>
        <v>661.05</v>
      </c>
      <c r="Y106" s="3"/>
      <c r="Z106" s="7">
        <f t="shared" si="27"/>
        <v>3.4476374256806088</v>
      </c>
    </row>
    <row r="107" spans="1:26" s="69" customFormat="1" ht="15" hidden="1" customHeight="1" outlineLevel="2" x14ac:dyDescent="0.3">
      <c r="A107" s="21"/>
      <c r="B107" s="9" t="str">
        <f>CONCATENATE("          ","6241"," - ","OFFICE EXPENSE")</f>
        <v xml:space="preserve">          6241 - OFFICE EXPENSE</v>
      </c>
      <c r="C107" s="9"/>
      <c r="D107" s="6">
        <v>217.59</v>
      </c>
      <c r="E107" s="3"/>
      <c r="F107" s="7">
        <f t="shared" si="20"/>
        <v>5.6941325234174103E-3</v>
      </c>
      <c r="G107" s="3"/>
      <c r="H107" s="6">
        <v>90.59</v>
      </c>
      <c r="I107" s="3"/>
      <c r="J107" s="7">
        <f t="shared" si="21"/>
        <v>2.6932517380229234E-3</v>
      </c>
      <c r="K107" s="3"/>
      <c r="L107" s="6">
        <f t="shared" si="22"/>
        <v>127</v>
      </c>
      <c r="M107" s="3"/>
      <c r="N107" s="7">
        <f t="shared" si="23"/>
        <v>1.4019207418037309</v>
      </c>
      <c r="O107" s="9"/>
      <c r="P107" s="6">
        <v>610.36</v>
      </c>
      <c r="Q107" s="3"/>
      <c r="R107" s="7">
        <f t="shared" si="24"/>
        <v>1.4661427345056103E-3</v>
      </c>
      <c r="S107" s="3"/>
      <c r="T107" s="6">
        <v>462.39</v>
      </c>
      <c r="U107" s="3"/>
      <c r="V107" s="7">
        <f t="shared" si="25"/>
        <v>1.4465738593132077E-3</v>
      </c>
      <c r="W107" s="3"/>
      <c r="X107" s="6">
        <f t="shared" si="26"/>
        <v>147.97000000000003</v>
      </c>
      <c r="Y107" s="3"/>
      <c r="Z107" s="7">
        <f t="shared" si="27"/>
        <v>0.32001124591794811</v>
      </c>
    </row>
    <row r="108" spans="1:26" s="69" customFormat="1" ht="15" hidden="1" customHeight="1" outlineLevel="2" x14ac:dyDescent="0.3">
      <c r="A108" s="21"/>
      <c r="B108" s="9" t="str">
        <f>CONCATENATE("          ","6247"," - ","STORE SUPPLIES")</f>
        <v xml:space="preserve">          6247 - STORE SUPPLIES</v>
      </c>
      <c r="C108" s="9"/>
      <c r="D108" s="6">
        <v>261.72000000000003</v>
      </c>
      <c r="E108" s="3"/>
      <c r="F108" s="7">
        <f t="shared" si="20"/>
        <v>6.8489745118286904E-3</v>
      </c>
      <c r="G108" s="3"/>
      <c r="H108" s="6"/>
      <c r="I108" s="3"/>
      <c r="J108" s="7">
        <f t="shared" si="21"/>
        <v>0</v>
      </c>
      <c r="K108" s="3"/>
      <c r="L108" s="6">
        <f t="shared" si="22"/>
        <v>261.72000000000003</v>
      </c>
      <c r="M108" s="3"/>
      <c r="N108" s="7">
        <f t="shared" si="23"/>
        <v>0</v>
      </c>
      <c r="O108" s="9"/>
      <c r="P108" s="6">
        <v>897.67</v>
      </c>
      <c r="Q108" s="3"/>
      <c r="R108" s="7">
        <f t="shared" si="24"/>
        <v>2.1562886632211335E-3</v>
      </c>
      <c r="S108" s="3"/>
      <c r="T108" s="6"/>
      <c r="U108" s="3"/>
      <c r="V108" s="7">
        <f t="shared" si="25"/>
        <v>0</v>
      </c>
      <c r="W108" s="3"/>
      <c r="X108" s="6">
        <f t="shared" si="26"/>
        <v>897.67</v>
      </c>
      <c r="Y108" s="3"/>
      <c r="Z108" s="7">
        <f t="shared" si="27"/>
        <v>0</v>
      </c>
    </row>
    <row r="109" spans="1:26" s="68" customFormat="1" ht="15" customHeight="1" outlineLevel="1" collapsed="1" x14ac:dyDescent="0.3">
      <c r="A109" s="20"/>
      <c r="B109" s="11" t="str">
        <f>CONCATENATE("     ","Telephone/Data Lines                              ")</f>
        <v xml:space="preserve">     Telephone/Data Lines                              </v>
      </c>
      <c r="C109" s="11"/>
      <c r="D109" s="2">
        <f>SUM(OSRRefD22_15x_0)</f>
        <v>325.33999999999997</v>
      </c>
      <c r="E109" s="2"/>
      <c r="F109" s="5">
        <f t="shared" si="20"/>
        <v>8.51385208496999E-3</v>
      </c>
      <c r="G109" s="2"/>
      <c r="H109" s="2">
        <f>SUM(OSRRefH22_15x_0)</f>
        <v>437.84</v>
      </c>
      <c r="I109" s="2"/>
      <c r="J109" s="5">
        <f t="shared" si="21"/>
        <v>1.3017036549022592E-2</v>
      </c>
      <c r="K109" s="2"/>
      <c r="L109" s="2">
        <f t="shared" si="22"/>
        <v>-112.5</v>
      </c>
      <c r="M109" s="2"/>
      <c r="N109" s="5">
        <f t="shared" si="23"/>
        <v>-0.25694317558925639</v>
      </c>
      <c r="O109" s="11"/>
      <c r="P109" s="2">
        <f>SUM(OSRRefP22_15x_0)</f>
        <v>3746.28</v>
      </c>
      <c r="Q109" s="2"/>
      <c r="R109" s="5">
        <f t="shared" si="24"/>
        <v>8.9989206426103908E-3</v>
      </c>
      <c r="S109" s="2"/>
      <c r="T109" s="2">
        <f>SUM(OSRRefT22_15x_0)</f>
        <v>3535.93</v>
      </c>
      <c r="U109" s="2"/>
      <c r="V109" s="5">
        <f t="shared" si="25"/>
        <v>1.1062055637797854E-2</v>
      </c>
      <c r="W109" s="2"/>
      <c r="X109" s="2">
        <f t="shared" si="26"/>
        <v>210.35000000000036</v>
      </c>
      <c r="Y109" s="2"/>
      <c r="Z109" s="5">
        <f t="shared" si="27"/>
        <v>5.9489299844736852E-2</v>
      </c>
    </row>
    <row r="110" spans="1:26" s="69" customFormat="1" ht="15" hidden="1" customHeight="1" outlineLevel="2" x14ac:dyDescent="0.3">
      <c r="A110" s="21"/>
      <c r="B110" s="9" t="str">
        <f>CONCATENATE("          ","6309"," - ","TELEPHONE")</f>
        <v xml:space="preserve">          6309 - TELEPHONE</v>
      </c>
      <c r="C110" s="9"/>
      <c r="D110" s="6">
        <v>325.33999999999997</v>
      </c>
      <c r="E110" s="3"/>
      <c r="F110" s="7">
        <f t="shared" si="20"/>
        <v>8.51385208496999E-3</v>
      </c>
      <c r="G110" s="3"/>
      <c r="H110" s="6">
        <v>437.84</v>
      </c>
      <c r="I110" s="3"/>
      <c r="J110" s="7">
        <f t="shared" si="21"/>
        <v>1.3017036549022592E-2</v>
      </c>
      <c r="K110" s="3"/>
      <c r="L110" s="6">
        <f t="shared" si="22"/>
        <v>-112.5</v>
      </c>
      <c r="M110" s="3"/>
      <c r="N110" s="7">
        <f t="shared" si="23"/>
        <v>-0.25694317558925639</v>
      </c>
      <c r="O110" s="9"/>
      <c r="P110" s="6">
        <v>3746.28</v>
      </c>
      <c r="Q110" s="3"/>
      <c r="R110" s="7">
        <f t="shared" si="24"/>
        <v>8.9989206426103908E-3</v>
      </c>
      <c r="S110" s="3"/>
      <c r="T110" s="6">
        <v>3535.93</v>
      </c>
      <c r="U110" s="3"/>
      <c r="V110" s="7">
        <f t="shared" si="25"/>
        <v>1.1062055637797854E-2</v>
      </c>
      <c r="W110" s="3"/>
      <c r="X110" s="6">
        <f t="shared" si="26"/>
        <v>210.35000000000036</v>
      </c>
      <c r="Y110" s="3"/>
      <c r="Z110" s="7">
        <f t="shared" si="27"/>
        <v>5.9489299844736852E-2</v>
      </c>
    </row>
    <row r="111" spans="1:26" s="68" customFormat="1" ht="15" customHeight="1" outlineLevel="1" collapsed="1" x14ac:dyDescent="0.3">
      <c r="A111" s="20"/>
      <c r="B111" s="11" t="str">
        <f>CONCATENATE("     ","Travel                                            ")</f>
        <v xml:space="preserve">     Travel                                            </v>
      </c>
      <c r="C111" s="11"/>
      <c r="D111" s="2">
        <f>SUM(OSRRefD22_16x_0)</f>
        <v>31.82</v>
      </c>
      <c r="E111" s="2"/>
      <c r="F111" s="5">
        <f t="shared" si="20"/>
        <v>8.3270047748123534E-4</v>
      </c>
      <c r="G111" s="2"/>
      <c r="H111" s="2">
        <f>SUM(OSRRefH22_16x_0)</f>
        <v>0</v>
      </c>
      <c r="I111" s="2"/>
      <c r="J111" s="5">
        <f t="shared" si="21"/>
        <v>0</v>
      </c>
      <c r="K111" s="2"/>
      <c r="L111" s="2">
        <f t="shared" si="22"/>
        <v>31.82</v>
      </c>
      <c r="M111" s="2"/>
      <c r="N111" s="5">
        <f t="shared" si="23"/>
        <v>0</v>
      </c>
      <c r="O111" s="11"/>
      <c r="P111" s="2">
        <f>SUM(OSRRefP22_16x_0)</f>
        <v>376.62</v>
      </c>
      <c r="Q111" s="2"/>
      <c r="R111" s="5">
        <f t="shared" si="24"/>
        <v>9.0467703759994583E-4</v>
      </c>
      <c r="S111" s="2"/>
      <c r="T111" s="2">
        <f>SUM(OSRRefT22_16x_0)</f>
        <v>499.53</v>
      </c>
      <c r="U111" s="2"/>
      <c r="V111" s="5">
        <f t="shared" si="25"/>
        <v>1.5627652845925011E-3</v>
      </c>
      <c r="W111" s="2"/>
      <c r="X111" s="2">
        <f t="shared" si="26"/>
        <v>-122.90999999999997</v>
      </c>
      <c r="Y111" s="2"/>
      <c r="Z111" s="5">
        <f t="shared" si="27"/>
        <v>-0.24605128821091821</v>
      </c>
    </row>
    <row r="112" spans="1:26" s="69" customFormat="1" ht="15" hidden="1" customHeight="1" outlineLevel="2" x14ac:dyDescent="0.3">
      <c r="A112" s="21"/>
      <c r="B112" s="9" t="str">
        <f>CONCATENATE("          ","6294"," - ","TRAVEL OPERATIONAL")</f>
        <v xml:space="preserve">          6294 - TRAVEL OPERATIONAL</v>
      </c>
      <c r="C112" s="9"/>
      <c r="D112" s="6">
        <v>31.82</v>
      </c>
      <c r="E112" s="3"/>
      <c r="F112" s="7">
        <f t="shared" si="20"/>
        <v>8.3270047748123534E-4</v>
      </c>
      <c r="G112" s="3"/>
      <c r="H112" s="6"/>
      <c r="I112" s="3"/>
      <c r="J112" s="7">
        <f t="shared" si="21"/>
        <v>0</v>
      </c>
      <c r="K112" s="3"/>
      <c r="L112" s="6">
        <f t="shared" si="22"/>
        <v>31.82</v>
      </c>
      <c r="M112" s="3"/>
      <c r="N112" s="7">
        <f t="shared" si="23"/>
        <v>0</v>
      </c>
      <c r="O112" s="9"/>
      <c r="P112" s="6">
        <v>376.62</v>
      </c>
      <c r="Q112" s="3"/>
      <c r="R112" s="7">
        <f t="shared" si="24"/>
        <v>9.0467703759994583E-4</v>
      </c>
      <c r="S112" s="3"/>
      <c r="T112" s="6">
        <v>499.53</v>
      </c>
      <c r="U112" s="3"/>
      <c r="V112" s="7">
        <f t="shared" si="25"/>
        <v>1.5627652845925011E-3</v>
      </c>
      <c r="W112" s="3"/>
      <c r="X112" s="6">
        <f t="shared" si="26"/>
        <v>-122.90999999999997</v>
      </c>
      <c r="Y112" s="3"/>
      <c r="Z112" s="7">
        <f t="shared" si="27"/>
        <v>-0.24605128821091821</v>
      </c>
    </row>
    <row r="113" spans="1:26" s="68" customFormat="1" ht="15" customHeight="1" outlineLevel="1" collapsed="1" x14ac:dyDescent="0.3">
      <c r="A113" s="20"/>
      <c r="B113" s="11" t="str">
        <f>CONCATENATE("     ","Utilities                                         ")</f>
        <v xml:space="preserve">     Utilities                                         </v>
      </c>
      <c r="C113" s="11"/>
      <c r="D113" s="2">
        <f>SUM(OSRRefD22_17x_0)</f>
        <v>26.49</v>
      </c>
      <c r="E113" s="2"/>
      <c r="F113" s="5">
        <f t="shared" si="20"/>
        <v>6.932192221394696E-4</v>
      </c>
      <c r="G113" s="2"/>
      <c r="H113" s="2">
        <f>SUM(OSRRefH22_17x_0)</f>
        <v>29.94</v>
      </c>
      <c r="I113" s="2"/>
      <c r="J113" s="5">
        <f t="shared" si="21"/>
        <v>8.9011984806718536E-4</v>
      </c>
      <c r="K113" s="2"/>
      <c r="L113" s="2">
        <f t="shared" si="22"/>
        <v>-3.4500000000000028</v>
      </c>
      <c r="M113" s="2"/>
      <c r="N113" s="5">
        <f t="shared" si="23"/>
        <v>-0.11523046092184377</v>
      </c>
      <c r="O113" s="11"/>
      <c r="P113" s="2">
        <f>SUM(OSRRefP22_17x_0)</f>
        <v>1330.38</v>
      </c>
      <c r="Q113" s="2"/>
      <c r="R113" s="5">
        <f t="shared" si="24"/>
        <v>3.195699212156062E-3</v>
      </c>
      <c r="S113" s="2"/>
      <c r="T113" s="2">
        <f>SUM(OSRRefT22_17x_0)</f>
        <v>324.37</v>
      </c>
      <c r="U113" s="2"/>
      <c r="V113" s="5">
        <f t="shared" si="25"/>
        <v>1.0147822460378148E-3</v>
      </c>
      <c r="W113" s="2"/>
      <c r="X113" s="2">
        <f t="shared" si="26"/>
        <v>1006.0100000000001</v>
      </c>
      <c r="Y113" s="2"/>
      <c r="Z113" s="5">
        <f t="shared" si="27"/>
        <v>3.1014273823103249</v>
      </c>
    </row>
    <row r="114" spans="1:26" s="69" customFormat="1" ht="15" hidden="1" customHeight="1" outlineLevel="2" x14ac:dyDescent="0.3">
      <c r="A114" s="21"/>
      <c r="B114" s="9" t="str">
        <f>CONCATENATE("          ","6274"," - ","UTILITIES")</f>
        <v xml:space="preserve">          6274 - UTILITIES</v>
      </c>
      <c r="C114" s="9"/>
      <c r="D114" s="6">
        <v>26.49</v>
      </c>
      <c r="E114" s="3"/>
      <c r="F114" s="7">
        <f t="shared" si="20"/>
        <v>6.932192221394696E-4</v>
      </c>
      <c r="G114" s="3"/>
      <c r="H114" s="6">
        <v>29.94</v>
      </c>
      <c r="I114" s="3"/>
      <c r="J114" s="7">
        <f t="shared" si="21"/>
        <v>8.9011984806718536E-4</v>
      </c>
      <c r="K114" s="3"/>
      <c r="L114" s="6">
        <f t="shared" si="22"/>
        <v>-3.4500000000000028</v>
      </c>
      <c r="M114" s="3"/>
      <c r="N114" s="7">
        <f t="shared" si="23"/>
        <v>-0.11523046092184377</v>
      </c>
      <c r="O114" s="9"/>
      <c r="P114" s="6">
        <v>1330.38</v>
      </c>
      <c r="Q114" s="3"/>
      <c r="R114" s="7">
        <f t="shared" si="24"/>
        <v>3.195699212156062E-3</v>
      </c>
      <c r="S114" s="3"/>
      <c r="T114" s="6">
        <v>324.37</v>
      </c>
      <c r="U114" s="3"/>
      <c r="V114" s="7">
        <f t="shared" si="25"/>
        <v>1.0147822460378148E-3</v>
      </c>
      <c r="W114" s="3"/>
      <c r="X114" s="6">
        <f t="shared" si="26"/>
        <v>1006.0100000000001</v>
      </c>
      <c r="Y114" s="3"/>
      <c r="Z114" s="7">
        <f t="shared" si="27"/>
        <v>3.1014273823103249</v>
      </c>
    </row>
    <row r="115" spans="1:26" s="64" customFormat="1" ht="15" customHeight="1" x14ac:dyDescent="0.3">
      <c r="A115" s="37"/>
      <c r="B115" s="37"/>
      <c r="C115" s="37"/>
      <c r="D115" s="2"/>
      <c r="E115" s="2"/>
      <c r="F115" s="5"/>
      <c r="G115" s="2"/>
      <c r="H115" s="2"/>
      <c r="I115" s="2"/>
      <c r="J115" s="5"/>
      <c r="K115" s="2"/>
      <c r="L115" s="2"/>
      <c r="M115" s="2"/>
      <c r="N115" s="5"/>
      <c r="O115" s="37"/>
      <c r="P115" s="2"/>
      <c r="Q115" s="2"/>
      <c r="R115" s="5"/>
      <c r="S115" s="2"/>
      <c r="T115" s="2"/>
      <c r="U115" s="2"/>
      <c r="V115" s="5"/>
      <c r="W115" s="2"/>
      <c r="X115" s="2"/>
      <c r="Y115" s="2"/>
      <c r="Z115" s="5"/>
    </row>
    <row r="116" spans="1:26" s="62" customFormat="1" ht="15" customHeight="1" x14ac:dyDescent="0.3">
      <c r="A116" s="13"/>
      <c r="B116" s="27" t="s">
        <v>290</v>
      </c>
      <c r="C116" s="13"/>
      <c r="D116" s="8">
        <f>SUM(0)</f>
        <v>0</v>
      </c>
      <c r="E116" s="8"/>
      <c r="F116" s="14">
        <f>IF(D$12=0,0,D116/D$12)</f>
        <v>0</v>
      </c>
      <c r="G116" s="8"/>
      <c r="H116" s="8">
        <f>SUM(0)</f>
        <v>0</v>
      </c>
      <c r="I116" s="8"/>
      <c r="J116" s="14">
        <f>IF(H$12=0,0,H116/H$12)</f>
        <v>0</v>
      </c>
      <c r="K116" s="8"/>
      <c r="L116" s="8">
        <f>+D116-H116</f>
        <v>0</v>
      </c>
      <c r="M116" s="8"/>
      <c r="N116" s="14">
        <f>IF(H116=0,0,L116/H116)</f>
        <v>0</v>
      </c>
      <c r="O116" s="13"/>
      <c r="P116" s="8">
        <f>SUM(0)</f>
        <v>0</v>
      </c>
      <c r="Q116" s="8"/>
      <c r="R116" s="14">
        <f>IF(P$12=0,0,P116/P$12)</f>
        <v>0</v>
      </c>
      <c r="S116" s="8"/>
      <c r="T116" s="8">
        <f>SUM(0)</f>
        <v>0</v>
      </c>
      <c r="U116" s="8"/>
      <c r="V116" s="14">
        <f>IF(T$12=0,0,T116/T$12)</f>
        <v>0</v>
      </c>
      <c r="W116" s="8"/>
      <c r="X116" s="8">
        <f>+P116-T116</f>
        <v>0</v>
      </c>
      <c r="Y116" s="8"/>
      <c r="Z116" s="14">
        <f>IF(T116=0,0,X116/T116)</f>
        <v>0</v>
      </c>
    </row>
    <row r="117" spans="1:26" ht="15" customHeight="1" x14ac:dyDescent="0.3">
      <c r="A117" s="12"/>
      <c r="B117" s="13"/>
      <c r="C117" s="13"/>
      <c r="D117" s="4"/>
      <c r="E117" s="4"/>
      <c r="F117" s="10"/>
      <c r="G117" s="4"/>
      <c r="H117" s="4"/>
      <c r="I117" s="4"/>
      <c r="J117" s="10"/>
      <c r="K117" s="4"/>
      <c r="L117" s="4"/>
      <c r="M117" s="4"/>
      <c r="N117" s="10"/>
      <c r="O117" s="13"/>
      <c r="P117" s="4"/>
      <c r="Q117" s="4"/>
      <c r="R117" s="10"/>
      <c r="S117" s="4"/>
      <c r="T117" s="4"/>
      <c r="U117" s="4"/>
      <c r="V117" s="10"/>
      <c r="W117" s="4"/>
      <c r="X117" s="4"/>
      <c r="Y117" s="4"/>
      <c r="Z117" s="10"/>
    </row>
    <row r="118" spans="1:26" s="62" customFormat="1" ht="15" customHeight="1" x14ac:dyDescent="0.3">
      <c r="A118" s="13"/>
      <c r="B118" s="28" t="s">
        <v>291</v>
      </c>
      <c r="C118" s="28"/>
      <c r="D118" s="22">
        <f>+D56-D58+D116</f>
        <v>193462.68000000005</v>
      </c>
      <c r="E118" s="15"/>
      <c r="F118" s="24">
        <f>IF(D$12=0,0,D118/D$12)</f>
        <v>5.0627424893400219</v>
      </c>
      <c r="G118" s="15"/>
      <c r="H118" s="22">
        <f>+H56-H58+H116</f>
        <v>122745.68</v>
      </c>
      <c r="I118" s="15"/>
      <c r="J118" s="24">
        <f>IF(H$12=0,0,H118/H$12)</f>
        <v>3.6492440224617018</v>
      </c>
      <c r="K118" s="17"/>
      <c r="L118" s="22">
        <f>+D118-H118</f>
        <v>70717.000000000058</v>
      </c>
      <c r="M118" s="17"/>
      <c r="N118" s="24">
        <f>IF(H118=0,0,L118/H118)</f>
        <v>0.57612618220046574</v>
      </c>
      <c r="O118" s="27"/>
      <c r="P118" s="22">
        <f>+P56-P58+P116</f>
        <v>203748.05999999991</v>
      </c>
      <c r="Q118" s="15"/>
      <c r="R118" s="24">
        <f>IF(P$12=0,0,P118/P$12)</f>
        <v>0.48942220630220368</v>
      </c>
      <c r="S118" s="15"/>
      <c r="T118" s="22">
        <f>+T56-T58+T116</f>
        <v>41485.159999999887</v>
      </c>
      <c r="U118" s="15"/>
      <c r="V118" s="24">
        <f>IF(T$12=0,0,T118/T$12)</f>
        <v>0.12978513377327741</v>
      </c>
      <c r="W118" s="17"/>
      <c r="X118" s="22">
        <f>+P118-T118</f>
        <v>162262.90000000002</v>
      </c>
      <c r="Y118" s="17"/>
      <c r="Z118" s="24">
        <f>IF(T118=0,0,X118/T118)</f>
        <v>3.9113480579561575</v>
      </c>
    </row>
    <row r="119" spans="1:26" ht="15" customHeight="1" x14ac:dyDescent="0.3">
      <c r="A119" s="12"/>
      <c r="B119" s="13"/>
      <c r="C119" s="12"/>
      <c r="D119" s="4"/>
      <c r="E119" s="4"/>
      <c r="F119" s="10"/>
      <c r="G119" s="4"/>
      <c r="H119" s="4"/>
      <c r="I119" s="4"/>
      <c r="J119" s="10"/>
      <c r="K119" s="4"/>
      <c r="L119" s="4"/>
      <c r="M119" s="4"/>
      <c r="N119" s="10"/>
      <c r="P119" s="4"/>
      <c r="Q119" s="4"/>
      <c r="R119" s="10"/>
      <c r="S119" s="4"/>
      <c r="T119" s="4"/>
      <c r="U119" s="4"/>
      <c r="V119" s="10"/>
      <c r="W119" s="4"/>
      <c r="X119" s="4"/>
      <c r="Y119" s="4"/>
      <c r="Z119" s="10"/>
    </row>
    <row r="120" spans="1:26" s="62" customFormat="1" ht="15" customHeight="1" x14ac:dyDescent="0.3">
      <c r="A120" s="48"/>
      <c r="B120" s="13" t="s">
        <v>292</v>
      </c>
      <c r="C120" s="13"/>
      <c r="D120" s="8">
        <v>-90502</v>
      </c>
      <c r="E120" s="8"/>
      <c r="F120" s="14">
        <f>IF(D$12=0,0,D120/D$12)</f>
        <v>-2.3683550789756995</v>
      </c>
      <c r="G120" s="8"/>
      <c r="H120" s="8">
        <v>27358.6</v>
      </c>
      <c r="I120" s="8"/>
      <c r="J120" s="14">
        <f>IF(H$12=0,0,H120/H$12)</f>
        <v>0.81337451153409812</v>
      </c>
      <c r="K120" s="8"/>
      <c r="L120" s="8">
        <f>+D120-H120</f>
        <v>-117860.6</v>
      </c>
      <c r="M120" s="8"/>
      <c r="N120" s="14">
        <f>IF(H120=0,0,L120/H120)</f>
        <v>-4.3079909059674106</v>
      </c>
      <c r="O120" s="13"/>
      <c r="P120" s="8">
        <v>-47995.07</v>
      </c>
      <c r="Q120" s="8"/>
      <c r="R120" s="14">
        <f>IF(P$12=0,0,P120/P$12)</f>
        <v>-0.11528872005470245</v>
      </c>
      <c r="S120" s="8"/>
      <c r="T120" s="8">
        <v>88476.01</v>
      </c>
      <c r="U120" s="8"/>
      <c r="V120" s="14">
        <f>IF(T$12=0,0,T120/T$12)</f>
        <v>0.27679466087574112</v>
      </c>
      <c r="W120" s="8"/>
      <c r="X120" s="8">
        <f>+P120-T120</f>
        <v>-136471.07999999999</v>
      </c>
      <c r="Y120" s="8"/>
      <c r="Z120" s="14">
        <f>IF(T120=0,0,X120/T120)</f>
        <v>-1.5424642227876233</v>
      </c>
    </row>
    <row r="121" spans="1:26" ht="15" customHeight="1" x14ac:dyDescent="0.3">
      <c r="A121" s="12"/>
      <c r="B121" s="13"/>
      <c r="C121" s="13"/>
      <c r="D121" s="4"/>
      <c r="E121" s="4"/>
      <c r="F121" s="10"/>
      <c r="G121" s="4"/>
      <c r="H121" s="4"/>
      <c r="I121" s="4"/>
      <c r="J121" s="10"/>
      <c r="K121" s="4"/>
      <c r="L121" s="4"/>
      <c r="M121" s="4"/>
      <c r="N121" s="10"/>
      <c r="O121" s="13"/>
      <c r="P121" s="4"/>
      <c r="Q121" s="4"/>
      <c r="R121" s="10"/>
      <c r="S121" s="4"/>
      <c r="T121" s="4"/>
      <c r="U121" s="4"/>
      <c r="V121" s="10"/>
      <c r="W121" s="4"/>
      <c r="X121" s="4"/>
      <c r="Y121" s="4"/>
      <c r="Z121" s="10"/>
    </row>
    <row r="122" spans="1:26" s="62" customFormat="1" ht="15" customHeight="1" x14ac:dyDescent="0.3">
      <c r="A122" s="13"/>
      <c r="B122" s="28" t="s">
        <v>293</v>
      </c>
      <c r="C122" s="28"/>
      <c r="D122" s="29">
        <f>+D118-D120</f>
        <v>283964.68000000005</v>
      </c>
      <c r="E122" s="15"/>
      <c r="F122" s="31">
        <f>IF(D$12=0,0,D122/D$12)</f>
        <v>7.431097568315721</v>
      </c>
      <c r="G122" s="15"/>
      <c r="H122" s="29">
        <f>+H118-H120</f>
        <v>95387.079999999987</v>
      </c>
      <c r="I122" s="15"/>
      <c r="J122" s="31">
        <f>IF(H$12=0,0,H122/H$12)</f>
        <v>2.8358695109276035</v>
      </c>
      <c r="K122" s="17"/>
      <c r="L122" s="29">
        <f>D122-H122</f>
        <v>188577.60000000006</v>
      </c>
      <c r="M122" s="17"/>
      <c r="N122" s="31">
        <f>IF(H122=0,0,L122/H122)</f>
        <v>1.976972143397199</v>
      </c>
      <c r="O122" s="27"/>
      <c r="P122" s="29">
        <f>+P118-P120</f>
        <v>251743.12999999992</v>
      </c>
      <c r="Q122" s="15"/>
      <c r="R122" s="31">
        <f>IF(P$12=0,0,P122/P$12)</f>
        <v>0.60471092635690615</v>
      </c>
      <c r="S122" s="15"/>
      <c r="T122" s="29">
        <f>+T118-T120</f>
        <v>-46990.850000000108</v>
      </c>
      <c r="U122" s="15"/>
      <c r="V122" s="31">
        <f>IF(T$12=0,0,T122/T$12)</f>
        <v>-0.14700952710246371</v>
      </c>
      <c r="W122" s="17"/>
      <c r="X122" s="29">
        <f>P122-T122</f>
        <v>298733.98000000004</v>
      </c>
      <c r="Y122" s="17"/>
      <c r="Z122" s="31">
        <f>IF(T122=0,0,X122/T122)</f>
        <v>-6.3572797682953031</v>
      </c>
    </row>
    <row r="123" spans="1:26" ht="15" customHeight="1" x14ac:dyDescent="0.3">
      <c r="A123" s="12"/>
      <c r="B123" s="12"/>
      <c r="C123" s="12"/>
      <c r="D123" s="4"/>
      <c r="E123" s="4"/>
      <c r="F123" s="10"/>
      <c r="G123" s="4"/>
      <c r="H123" s="4"/>
      <c r="I123" s="4"/>
      <c r="J123" s="10"/>
      <c r="K123" s="4"/>
      <c r="L123" s="4"/>
      <c r="M123" s="4"/>
      <c r="N123" s="10"/>
      <c r="P123" s="4"/>
      <c r="Q123" s="4"/>
      <c r="R123" s="10"/>
      <c r="S123" s="4"/>
      <c r="T123" s="4"/>
      <c r="U123" s="4"/>
      <c r="V123" s="10"/>
      <c r="W123" s="4"/>
      <c r="X123" s="4"/>
      <c r="Y123" s="4"/>
      <c r="Z123" s="10"/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s="62" customFormat="1" ht="15" customHeight="1" x14ac:dyDescent="0.3">
      <c r="A125" s="13"/>
      <c r="B125" s="28" t="s">
        <v>296</v>
      </c>
      <c r="C125" s="28"/>
      <c r="D125" s="30">
        <f>SUM(D122:D124)</f>
        <v>283964.68000000005</v>
      </c>
      <c r="E125" s="15"/>
      <c r="F125" s="35">
        <f>IF(D$12=0,0,D125/D$12)</f>
        <v>7.431097568315721</v>
      </c>
      <c r="G125" s="15"/>
      <c r="H125" s="30">
        <f>SUM(H122:H124)</f>
        <v>95387.079999999987</v>
      </c>
      <c r="I125" s="15"/>
      <c r="J125" s="35">
        <f>IF(H$12=0,0,H125/H$12)</f>
        <v>2.8358695109276035</v>
      </c>
      <c r="K125" s="17"/>
      <c r="L125" s="30">
        <f>+D125-H125</f>
        <v>188577.60000000006</v>
      </c>
      <c r="M125" s="17"/>
      <c r="N125" s="35">
        <f>IF(H125=0,0,L125/H125)</f>
        <v>1.976972143397199</v>
      </c>
      <c r="O125" s="27"/>
      <c r="P125" s="30">
        <f>SUM(P122:P124)</f>
        <v>251743.12999999992</v>
      </c>
      <c r="Q125" s="15"/>
      <c r="R125" s="35">
        <f>IF(P$12=0,0,P125/P$12)</f>
        <v>0.60471092635690615</v>
      </c>
      <c r="S125" s="15"/>
      <c r="T125" s="30">
        <f>SUM(T122:T124)</f>
        <v>-46990.850000000108</v>
      </c>
      <c r="U125" s="15"/>
      <c r="V125" s="35">
        <f>IF(T$12=0,0,T125/T$12)</f>
        <v>-0.14700952710246371</v>
      </c>
      <c r="W125" s="17"/>
      <c r="X125" s="30">
        <f>+P125-T125</f>
        <v>298733.98000000004</v>
      </c>
      <c r="Y125" s="17"/>
      <c r="Z125" s="35">
        <f>IF(T125=0,0,X125/T125)</f>
        <v>-6.3572797682953031</v>
      </c>
    </row>
    <row r="126" spans="1:26" ht="15" customHeight="1" x14ac:dyDescent="0.3">
      <c r="A126" s="12"/>
      <c r="C126" s="12"/>
      <c r="D126" s="19"/>
      <c r="E126" s="19"/>
      <c r="G126" s="19"/>
      <c r="H126" s="19"/>
      <c r="I126" s="19"/>
      <c r="J126" s="41"/>
      <c r="K126" s="19"/>
      <c r="L126" s="19"/>
      <c r="M126" s="19"/>
      <c r="P126" s="19"/>
      <c r="Q126" s="19"/>
      <c r="R126" s="41"/>
      <c r="S126" s="19"/>
      <c r="T126" s="19"/>
      <c r="U126" s="19"/>
      <c r="V126" s="41"/>
      <c r="W126" s="19"/>
      <c r="X126" s="19"/>
    </row>
    <row r="127" spans="1:26" ht="15" customHeight="1" x14ac:dyDescent="0.3">
      <c r="A127" s="12"/>
      <c r="B127" s="54">
        <v>44767.815885219905</v>
      </c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3" t="s">
        <v>297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1"/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3577-50A7-64BE-BAA9-5DA3345E0B99}">
  <sheetPr>
    <tabColor rgb="FFFFFF00"/>
    <outlinePr summaryBelow="0" summaryRight="0"/>
  </sheetPr>
  <dimension ref="A2:Z10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8536.74</v>
      </c>
      <c r="E12" s="8"/>
      <c r="F12" s="14"/>
      <c r="G12" s="8"/>
      <c r="H12" s="8">
        <f>SUM(OSRRefH13x_0)</f>
        <v>4812.4399999999996</v>
      </c>
      <c r="I12" s="8"/>
      <c r="J12" s="14"/>
      <c r="K12" s="8"/>
      <c r="L12" s="8">
        <f t="shared" ref="L12:L25" si="0">+D12-H12</f>
        <v>3724.3</v>
      </c>
      <c r="M12" s="8"/>
      <c r="N12" s="14">
        <f t="shared" ref="N12:N25" si="1">IF(H12=0,0,L12/H12)</f>
        <v>0.77389016798131516</v>
      </c>
      <c r="O12" s="13"/>
      <c r="P12" s="8">
        <f>SUM(OSRRefP13x_0)</f>
        <v>232003.74</v>
      </c>
      <c r="Q12" s="8"/>
      <c r="R12" s="14"/>
      <c r="S12" s="8"/>
      <c r="T12" s="8">
        <f>SUM(OSRRefT13x_0)</f>
        <v>132456.04999999999</v>
      </c>
      <c r="U12" s="8"/>
      <c r="V12" s="14"/>
      <c r="W12" s="8"/>
      <c r="X12" s="8">
        <f t="shared" ref="X12:X25" si="2">+P12-T12</f>
        <v>99547.69</v>
      </c>
      <c r="Y12" s="8"/>
      <c r="Z12" s="14">
        <f t="shared" ref="Z12:Z25" si="3">IF(T12=0,0,X12/T12)</f>
        <v>0.75155260933721046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--7642.39</f>
        <v>7642.39</v>
      </c>
      <c r="E13" s="3"/>
      <c r="F13" s="26"/>
      <c r="G13" s="3"/>
      <c r="H13" s="3">
        <f>-39.88</f>
        <v>-39.880000000000003</v>
      </c>
      <c r="I13" s="3"/>
      <c r="J13" s="26"/>
      <c r="K13" s="3"/>
      <c r="L13" s="3">
        <f t="shared" si="0"/>
        <v>7682.27</v>
      </c>
      <c r="M13" s="3"/>
      <c r="N13" s="26">
        <f t="shared" si="1"/>
        <v>-192.63465396188565</v>
      </c>
      <c r="O13" s="9"/>
      <c r="P13" s="3">
        <f>--180921.31</f>
        <v>180921.31</v>
      </c>
      <c r="Q13" s="3"/>
      <c r="R13" s="26"/>
      <c r="S13" s="3"/>
      <c r="T13" s="3">
        <f>-50.16</f>
        <v>-50.16</v>
      </c>
      <c r="U13" s="3"/>
      <c r="V13" s="26"/>
      <c r="W13" s="3"/>
      <c r="X13" s="3">
        <f t="shared" si="2"/>
        <v>180971.47</v>
      </c>
      <c r="Y13" s="3"/>
      <c r="Z13" s="26">
        <f t="shared" si="3"/>
        <v>-3607.8841706539079</v>
      </c>
    </row>
    <row r="14" spans="1:26" s="69" customFormat="1" ht="15" hidden="1" customHeight="1" outlineLevel="1" x14ac:dyDescent="0.3">
      <c r="A14" s="47"/>
      <c r="B14" s="9" t="str">
        <f>CONCATENATE("          ","4041"," - ","TAXABLE SALES-LOGO GIFTS")</f>
        <v xml:space="preserve">          4041 - TAXABLE SALES-LOGO GIFTS</v>
      </c>
      <c r="C14" s="9"/>
      <c r="D14" s="3">
        <f>0</f>
        <v>0</v>
      </c>
      <c r="E14" s="3"/>
      <c r="F14" s="26"/>
      <c r="G14" s="3"/>
      <c r="H14" s="3">
        <f>--252.85</f>
        <v>252.85</v>
      </c>
      <c r="I14" s="3"/>
      <c r="J14" s="26"/>
      <c r="K14" s="3"/>
      <c r="L14" s="3">
        <f t="shared" si="0"/>
        <v>-252.85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--93554.57</f>
        <v>93554.57</v>
      </c>
      <c r="U14" s="3"/>
      <c r="V14" s="26"/>
      <c r="W14" s="3"/>
      <c r="X14" s="3">
        <f t="shared" si="2"/>
        <v>-93554.57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","4042"," - ","TAXABLE SALES-EVERYDAY GIFTS")</f>
        <v xml:space="preserve">          4042 - TAXABLE SALES-EVERYDAY GIFTS</v>
      </c>
      <c r="C15" s="9"/>
      <c r="D15" s="3">
        <f>0</f>
        <v>0</v>
      </c>
      <c r="E15" s="3"/>
      <c r="F15" s="26"/>
      <c r="G15" s="3"/>
      <c r="H15" s="3">
        <f>--2580.95</f>
        <v>2580.9499999999998</v>
      </c>
      <c r="I15" s="3"/>
      <c r="J15" s="26"/>
      <c r="K15" s="3"/>
      <c r="L15" s="3">
        <f t="shared" si="0"/>
        <v>-2580.9499999999998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--20906.62</f>
        <v>20906.62</v>
      </c>
      <c r="U15" s="3"/>
      <c r="V15" s="26"/>
      <c r="W15" s="3"/>
      <c r="X15" s="3">
        <f t="shared" si="2"/>
        <v>-20906.62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","4043"," - ","TAXABLE SALES-CARDS")</f>
        <v xml:space="preserve">          4043 - TAXABLE SALES-CARDS</v>
      </c>
      <c r="C16" s="9"/>
      <c r="D16" s="3">
        <f>0</f>
        <v>0</v>
      </c>
      <c r="E16" s="3"/>
      <c r="F16" s="26"/>
      <c r="G16" s="3"/>
      <c r="H16" s="3">
        <f>--44.15</f>
        <v>44.15</v>
      </c>
      <c r="I16" s="3"/>
      <c r="J16" s="26"/>
      <c r="K16" s="3"/>
      <c r="L16" s="3">
        <f t="shared" si="0"/>
        <v>-44.15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--106.3</f>
        <v>106.3</v>
      </c>
      <c r="U16" s="3"/>
      <c r="V16" s="26"/>
      <c r="W16" s="3"/>
      <c r="X16" s="3">
        <f t="shared" si="2"/>
        <v>-106.3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","4095"," - ","TAXABLE SALES-CUSTOMER SERVICE")</f>
        <v xml:space="preserve">          4095 - TAXABLE SALES-CUSTOMER SERVICE</v>
      </c>
      <c r="C17" s="9"/>
      <c r="D17" s="3">
        <f>0</f>
        <v>0</v>
      </c>
      <c r="E17" s="3"/>
      <c r="F17" s="26"/>
      <c r="G17" s="3"/>
      <c r="H17" s="3">
        <f>--1688.17</f>
        <v>1688.17</v>
      </c>
      <c r="I17" s="3"/>
      <c r="J17" s="26"/>
      <c r="K17" s="3"/>
      <c r="L17" s="3">
        <f t="shared" si="0"/>
        <v>-1688.17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--15614</f>
        <v>15614</v>
      </c>
      <c r="U17" s="3"/>
      <c r="V17" s="26"/>
      <c r="W17" s="3"/>
      <c r="X17" s="3">
        <f t="shared" si="2"/>
        <v>-15614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","4100"," - ","NON-TAXABLE SALES")</f>
        <v xml:space="preserve">          4100 - NON-TAXABLE SALES</v>
      </c>
      <c r="C18" s="9"/>
      <c r="D18" s="3">
        <f>--894.35</f>
        <v>894.35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894.35</v>
      </c>
      <c r="M18" s="3"/>
      <c r="N18" s="26">
        <f t="shared" si="1"/>
        <v>0</v>
      </c>
      <c r="O18" s="9"/>
      <c r="P18" s="3">
        <f>--52182.38</f>
        <v>52182.38</v>
      </c>
      <c r="Q18" s="3"/>
      <c r="R18" s="26"/>
      <c r="S18" s="3"/>
      <c r="T18" s="3">
        <f>0</f>
        <v>0</v>
      </c>
      <c r="U18" s="3"/>
      <c r="V18" s="26"/>
      <c r="W18" s="3"/>
      <c r="X18" s="3">
        <f t="shared" si="2"/>
        <v>52182.38</v>
      </c>
      <c r="Y18" s="3"/>
      <c r="Z18" s="26">
        <f t="shared" si="3"/>
        <v>0</v>
      </c>
    </row>
    <row r="19" spans="1:26" s="69" customFormat="1" ht="15" hidden="1" customHeight="1" outlineLevel="1" x14ac:dyDescent="0.3">
      <c r="A19" s="47"/>
      <c r="B19" s="9" t="str">
        <f>CONCATENATE("          ","4141"," - ","NON-TAXABLE SALES-LOGO GIFTS")</f>
        <v xml:space="preserve">          4141 - NON-TAXABLE SALES-LOGO GIFTS</v>
      </c>
      <c r="C19" s="9"/>
      <c r="D19" s="3">
        <f>0</f>
        <v>0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>
        <f>--1756.04</f>
        <v>1756.04</v>
      </c>
      <c r="U19" s="3"/>
      <c r="V19" s="26"/>
      <c r="W19" s="3"/>
      <c r="X19" s="3">
        <f t="shared" si="2"/>
        <v>-1756.04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","4142"," - ","NON-TAXABLE SALES-EVERYDAY GIF")</f>
        <v xml:space="preserve">          4142 - NON-TAXABLE SALES-EVERYDAY GIF</v>
      </c>
      <c r="C20" s="9"/>
      <c r="D20" s="3">
        <f>0</f>
        <v>0</v>
      </c>
      <c r="E20" s="3"/>
      <c r="F20" s="26"/>
      <c r="G20" s="3"/>
      <c r="H20" s="3">
        <f>0</f>
        <v>0</v>
      </c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0</f>
        <v>0</v>
      </c>
      <c r="Q20" s="3"/>
      <c r="R20" s="26"/>
      <c r="S20" s="3"/>
      <c r="T20" s="3">
        <f>--1137.08</f>
        <v>1137.08</v>
      </c>
      <c r="U20" s="3"/>
      <c r="V20" s="26"/>
      <c r="W20" s="3"/>
      <c r="X20" s="3">
        <f t="shared" si="2"/>
        <v>-1137.08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","4146"," - ","NON-TAXABLE SALES-COIN OP MACH")</f>
        <v xml:space="preserve">          4146 - NON-TAXABLE SALES-COIN OP MACH</v>
      </c>
      <c r="C21" s="9"/>
      <c r="D21" s="3">
        <f>0</f>
        <v>0</v>
      </c>
      <c r="E21" s="3"/>
      <c r="F21" s="26"/>
      <c r="G21" s="3"/>
      <c r="H21" s="3">
        <f>--282.2</f>
        <v>282.2</v>
      </c>
      <c r="I21" s="3"/>
      <c r="J21" s="26"/>
      <c r="K21" s="3"/>
      <c r="L21" s="3">
        <f t="shared" si="0"/>
        <v>-282.2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--668.1</f>
        <v>668.1</v>
      </c>
      <c r="U21" s="3"/>
      <c r="V21" s="26"/>
      <c r="W21" s="3"/>
      <c r="X21" s="3">
        <f t="shared" si="2"/>
        <v>-668.1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","4147"," - ","NON-TAXABLE SALES-MISC")</f>
        <v xml:space="preserve">          4147 - NON-TAXABLE SALES-MISC</v>
      </c>
      <c r="C22" s="9"/>
      <c r="D22" s="3">
        <f>0</f>
        <v>0</v>
      </c>
      <c r="E22" s="3"/>
      <c r="F22" s="26"/>
      <c r="G22" s="3"/>
      <c r="H22" s="3">
        <f>--4</f>
        <v>4</v>
      </c>
      <c r="I22" s="3"/>
      <c r="J22" s="26"/>
      <c r="K22" s="3"/>
      <c r="L22" s="3">
        <f t="shared" si="0"/>
        <v>-4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--172</f>
        <v>172</v>
      </c>
      <c r="U22" s="3"/>
      <c r="V22" s="26"/>
      <c r="W22" s="3"/>
      <c r="X22" s="3">
        <f t="shared" si="2"/>
        <v>-172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","4200"," - ","TAXABLE RETURNS")</f>
        <v xml:space="preserve">          4200 - TAXABLE RETURNS</v>
      </c>
      <c r="C23" s="9"/>
      <c r="D23" s="3">
        <f>0</f>
        <v>0</v>
      </c>
      <c r="E23" s="3"/>
      <c r="F23" s="26"/>
      <c r="G23" s="3"/>
      <c r="H23" s="3">
        <f>0</f>
        <v>0</v>
      </c>
      <c r="I23" s="3"/>
      <c r="J23" s="26"/>
      <c r="K23" s="3"/>
      <c r="L23" s="3">
        <f t="shared" si="0"/>
        <v>0</v>
      </c>
      <c r="M23" s="3"/>
      <c r="N23" s="26">
        <f t="shared" si="1"/>
        <v>0</v>
      </c>
      <c r="O23" s="9"/>
      <c r="P23" s="3">
        <f>-1099.95</f>
        <v>-1099.95</v>
      </c>
      <c r="Q23" s="3"/>
      <c r="R23" s="26"/>
      <c r="S23" s="3"/>
      <c r="T23" s="3">
        <f>0</f>
        <v>0</v>
      </c>
      <c r="U23" s="3"/>
      <c r="V23" s="26"/>
      <c r="W23" s="3"/>
      <c r="X23" s="3">
        <f t="shared" si="2"/>
        <v>-1099.95</v>
      </c>
      <c r="Y23" s="3"/>
      <c r="Z23" s="26">
        <f t="shared" si="3"/>
        <v>0</v>
      </c>
    </row>
    <row r="24" spans="1:26" s="69" customFormat="1" ht="15" hidden="1" customHeight="1" outlineLevel="1" x14ac:dyDescent="0.3">
      <c r="A24" s="47"/>
      <c r="B24" s="9" t="str">
        <f>CONCATENATE("          ","4241"," - ","SALES RETURN TAXABLE-LOGO GIFT")</f>
        <v xml:space="preserve">          4241 - SALES RETURN TAXABLE-LOGO GIFT</v>
      </c>
      <c r="C24" s="9"/>
      <c r="D24" s="3">
        <f>0</f>
        <v>0</v>
      </c>
      <c r="E24" s="3"/>
      <c r="F24" s="26"/>
      <c r="G24" s="3"/>
      <c r="H24" s="3">
        <f>0</f>
        <v>0</v>
      </c>
      <c r="I24" s="3"/>
      <c r="J24" s="26"/>
      <c r="K24" s="3"/>
      <c r="L24" s="3">
        <f t="shared" si="0"/>
        <v>0</v>
      </c>
      <c r="M24" s="3"/>
      <c r="N24" s="26">
        <f t="shared" si="1"/>
        <v>0</v>
      </c>
      <c r="O24" s="9"/>
      <c r="P24" s="3">
        <f>0</f>
        <v>0</v>
      </c>
      <c r="Q24" s="3"/>
      <c r="R24" s="26"/>
      <c r="S24" s="3"/>
      <c r="T24" s="3">
        <f>-1293</f>
        <v>-1293</v>
      </c>
      <c r="U24" s="3"/>
      <c r="V24" s="26"/>
      <c r="W24" s="3"/>
      <c r="X24" s="3">
        <f t="shared" si="2"/>
        <v>1293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","4341"," - ","SALES RETURN NON TAXABLE-LOGO")</f>
        <v xml:space="preserve">          4341 - SALES RETURN NON TAXABLE-LOGO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-115.5</f>
        <v>-115.5</v>
      </c>
      <c r="U25" s="3"/>
      <c r="V25" s="26"/>
      <c r="W25" s="3"/>
      <c r="X25" s="3">
        <f t="shared" si="2"/>
        <v>115.5</v>
      </c>
      <c r="Y25" s="3"/>
      <c r="Z25" s="26">
        <f t="shared" si="3"/>
        <v>-1</v>
      </c>
    </row>
    <row r="26" spans="1:26" ht="15" customHeight="1" x14ac:dyDescent="0.3">
      <c r="A26" s="12"/>
      <c r="B26" s="13"/>
      <c r="C26" s="12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2" customFormat="1" ht="15" customHeight="1" collapsed="1" x14ac:dyDescent="0.3">
      <c r="A27" s="13"/>
      <c r="B27" s="27" t="s">
        <v>287</v>
      </c>
      <c r="C27" s="13"/>
      <c r="D27" s="8">
        <f>SUM(OSRRefD16x_0)</f>
        <v>0</v>
      </c>
      <c r="E27" s="8"/>
      <c r="F27" s="14">
        <f>IF(D$12=0,0,D27/D$12)</f>
        <v>0</v>
      </c>
      <c r="G27" s="8"/>
      <c r="H27" s="8">
        <f>SUM(OSRRefH16x_0)</f>
        <v>0</v>
      </c>
      <c r="I27" s="8"/>
      <c r="J27" s="14">
        <f>IF(H$12=0,0,H27/H$12)</f>
        <v>0</v>
      </c>
      <c r="K27" s="8"/>
      <c r="L27" s="8">
        <f>+D27-H27</f>
        <v>0</v>
      </c>
      <c r="M27" s="8"/>
      <c r="N27" s="14">
        <f>IF(H27=0,0,L27/H27)</f>
        <v>0</v>
      </c>
      <c r="O27" s="13"/>
      <c r="P27" s="8">
        <f>SUM(OSRRefP16x_0)</f>
        <v>8.26</v>
      </c>
      <c r="Q27" s="8"/>
      <c r="R27" s="14">
        <f>IF(P$12=0,0,P27/P$12)</f>
        <v>3.5602874332974113E-5</v>
      </c>
      <c r="S27" s="8"/>
      <c r="T27" s="8">
        <f>SUM(OSRRefT16x_0)</f>
        <v>0</v>
      </c>
      <c r="U27" s="8"/>
      <c r="V27" s="14">
        <f>IF(T$12=0,0,T27/T$12)</f>
        <v>0</v>
      </c>
      <c r="W27" s="8"/>
      <c r="X27" s="8">
        <f>+P27-T27</f>
        <v>8.26</v>
      </c>
      <c r="Y27" s="8"/>
      <c r="Z27" s="14">
        <f>IF(T27=0,0,X27/T27)</f>
        <v>0</v>
      </c>
    </row>
    <row r="28" spans="1:26" s="69" customFormat="1" ht="15" hidden="1" customHeight="1" outlineLevel="1" x14ac:dyDescent="0.3">
      <c r="A28" s="47"/>
      <c r="B28" s="9" t="str">
        <f>CONCATENATE("          ","5092"," - ","PURCHASES @ COST-GRAD MERCH")</f>
        <v xml:space="preserve">          5092 - PURCHASES @ COST-GRAD MERCH</v>
      </c>
      <c r="C28" s="9"/>
      <c r="D28" s="3"/>
      <c r="E28" s="3"/>
      <c r="F28" s="26">
        <f>IF(D$12=0,0,D28/D$12)</f>
        <v>0</v>
      </c>
      <c r="G28" s="3"/>
      <c r="H28" s="3"/>
      <c r="I28" s="3"/>
      <c r="J28" s="26">
        <f>IF(H$12=0,0,H28/H$12)</f>
        <v>0</v>
      </c>
      <c r="K28" s="3"/>
      <c r="L28" s="3">
        <f>+D28-H28</f>
        <v>0</v>
      </c>
      <c r="M28" s="3"/>
      <c r="N28" s="26">
        <f>IF(H28=0,0,L28/H28)</f>
        <v>0</v>
      </c>
      <c r="O28" s="9"/>
      <c r="P28" s="3"/>
      <c r="Q28" s="3"/>
      <c r="R28" s="26">
        <f>IF(P$12=0,0,P28/P$12)</f>
        <v>0</v>
      </c>
      <c r="S28" s="3"/>
      <c r="T28" s="3">
        <v>0</v>
      </c>
      <c r="U28" s="3"/>
      <c r="V28" s="26">
        <f>IF(T$12=0,0,T28/T$12)</f>
        <v>0</v>
      </c>
      <c r="W28" s="3"/>
      <c r="X28" s="3">
        <f>+P28-T28</f>
        <v>0</v>
      </c>
      <c r="Y28" s="3"/>
      <c r="Z28" s="26">
        <f>IF(T28=0,0,X28/T28)</f>
        <v>0</v>
      </c>
    </row>
    <row r="29" spans="1:26" s="69" customFormat="1" ht="15" hidden="1" customHeight="1" outlineLevel="1" x14ac:dyDescent="0.3">
      <c r="A29" s="47"/>
      <c r="B29" s="9" t="str">
        <f>CONCATENATE("          ","5500"," - ","FREIGHT-IN")</f>
        <v xml:space="preserve">          5500 - FREIGHT-IN</v>
      </c>
      <c r="C29" s="9"/>
      <c r="D29" s="3"/>
      <c r="E29" s="3"/>
      <c r="F29" s="26">
        <f>IF(D$12=0,0,D29/D$12)</f>
        <v>0</v>
      </c>
      <c r="G29" s="3"/>
      <c r="H29" s="3"/>
      <c r="I29" s="3"/>
      <c r="J29" s="26">
        <f>IF(H$12=0,0,H29/H$12)</f>
        <v>0</v>
      </c>
      <c r="K29" s="3"/>
      <c r="L29" s="3">
        <f>+D29-H29</f>
        <v>0</v>
      </c>
      <c r="M29" s="3"/>
      <c r="N29" s="26">
        <f>IF(H29=0,0,L29/H29)</f>
        <v>0</v>
      </c>
      <c r="O29" s="9"/>
      <c r="P29" s="3">
        <v>8.26</v>
      </c>
      <c r="Q29" s="3"/>
      <c r="R29" s="26">
        <f>IF(P$12=0,0,P29/P$12)</f>
        <v>3.5602874332974113E-5</v>
      </c>
      <c r="S29" s="3"/>
      <c r="T29" s="3"/>
      <c r="U29" s="3"/>
      <c r="V29" s="26">
        <f>IF(T$12=0,0,T29/T$12)</f>
        <v>0</v>
      </c>
      <c r="W29" s="3"/>
      <c r="X29" s="3">
        <f>+P29-T29</f>
        <v>8.26</v>
      </c>
      <c r="Y29" s="3"/>
      <c r="Z29" s="26">
        <f>IF(T29=0,0,X29/T29)</f>
        <v>0</v>
      </c>
    </row>
    <row r="30" spans="1:26" s="69" customFormat="1" ht="15" hidden="1" customHeight="1" outlineLevel="1" x14ac:dyDescent="0.3">
      <c r="A30" s="47"/>
      <c r="B30" s="9" t="str">
        <f>CONCATENATE("          ","5592"," - ","FREIGHT-IN-GRAD MERCH")</f>
        <v xml:space="preserve">          5592 - FREIGHT-IN-GRAD MERCH</v>
      </c>
      <c r="C30" s="9"/>
      <c r="D30" s="3"/>
      <c r="E30" s="3"/>
      <c r="F30" s="26">
        <f>IF(D$12=0,0,D30/D$12)</f>
        <v>0</v>
      </c>
      <c r="G30" s="3"/>
      <c r="H30" s="3"/>
      <c r="I30" s="3"/>
      <c r="J30" s="26">
        <f>IF(H$12=0,0,H30/H$12)</f>
        <v>0</v>
      </c>
      <c r="K30" s="3"/>
      <c r="L30" s="3">
        <f>+D30-H30</f>
        <v>0</v>
      </c>
      <c r="M30" s="3"/>
      <c r="N30" s="26">
        <f>IF(H30=0,0,L30/H30)</f>
        <v>0</v>
      </c>
      <c r="O30" s="9"/>
      <c r="P30" s="3"/>
      <c r="Q30" s="3"/>
      <c r="R30" s="26">
        <f>IF(P$12=0,0,P30/P$12)</f>
        <v>0</v>
      </c>
      <c r="S30" s="3"/>
      <c r="T30" s="3">
        <v>0</v>
      </c>
      <c r="U30" s="3"/>
      <c r="V30" s="26">
        <f>IF(T$12=0,0,T30/T$12)</f>
        <v>0</v>
      </c>
      <c r="W30" s="3"/>
      <c r="X30" s="3">
        <f>+P30-T30</f>
        <v>0</v>
      </c>
      <c r="Y30" s="3"/>
      <c r="Z30" s="26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2" customFormat="1" ht="15" customHeight="1" x14ac:dyDescent="0.3">
      <c r="A32" s="13"/>
      <c r="B32" s="28" t="s">
        <v>288</v>
      </c>
      <c r="C32" s="28"/>
      <c r="D32" s="22">
        <f>D12-D27</f>
        <v>8536.74</v>
      </c>
      <c r="E32" s="15"/>
      <c r="F32" s="24">
        <f>IF(D$12=0,0,D32/D$12)</f>
        <v>1</v>
      </c>
      <c r="G32" s="15"/>
      <c r="H32" s="22">
        <f>H12-H27</f>
        <v>4812.4399999999996</v>
      </c>
      <c r="I32" s="15"/>
      <c r="J32" s="24">
        <f>IF(H$12=0,0,H32/H$12)</f>
        <v>1</v>
      </c>
      <c r="K32" s="17"/>
      <c r="L32" s="22">
        <f>+D32-H32</f>
        <v>3724.3</v>
      </c>
      <c r="M32" s="17"/>
      <c r="N32" s="24">
        <f>IF(H32=0,0,L32/H32)</f>
        <v>0.77389016798131516</v>
      </c>
      <c r="O32" s="27"/>
      <c r="P32" s="22">
        <f>P12-P27</f>
        <v>231995.47999999998</v>
      </c>
      <c r="Q32" s="15"/>
      <c r="R32" s="24">
        <f>IF(P$12=0,0,P32/P$12)</f>
        <v>0.99996439712566698</v>
      </c>
      <c r="S32" s="15"/>
      <c r="T32" s="22">
        <f>T12-T27</f>
        <v>132456.04999999999</v>
      </c>
      <c r="U32" s="15"/>
      <c r="V32" s="24">
        <f>IF(T$12=0,0,T32/T$12)</f>
        <v>1</v>
      </c>
      <c r="W32" s="17"/>
      <c r="X32" s="22">
        <f>+P32-T32</f>
        <v>99539.43</v>
      </c>
      <c r="Y32" s="17"/>
      <c r="Z32" s="24">
        <f>IF(T32=0,0,X32/T32)</f>
        <v>0.75149024902977257</v>
      </c>
    </row>
    <row r="33" spans="1:26" ht="15" customHeight="1" x14ac:dyDescent="0.3">
      <c r="A33" s="12"/>
      <c r="B33" s="13"/>
      <c r="C33" s="12"/>
      <c r="D33" s="2"/>
      <c r="E33" s="2"/>
      <c r="F33" s="5"/>
      <c r="G33" s="2"/>
      <c r="H33" s="2"/>
      <c r="I33" s="2"/>
      <c r="J33" s="5"/>
      <c r="K33" s="2"/>
      <c r="L33" s="2"/>
      <c r="M33" s="2"/>
      <c r="N33" s="5"/>
      <c r="O33" s="37"/>
      <c r="P33" s="2"/>
      <c r="Q33" s="2"/>
      <c r="R33" s="5"/>
      <c r="S33" s="2"/>
      <c r="T33" s="2"/>
      <c r="U33" s="2"/>
      <c r="V33" s="5"/>
      <c r="W33" s="2"/>
      <c r="X33" s="2"/>
      <c r="Y33" s="2"/>
      <c r="Z33" s="5"/>
    </row>
    <row r="34" spans="1:26" s="62" customFormat="1" ht="15" customHeight="1" x14ac:dyDescent="0.3">
      <c r="A34" s="13"/>
      <c r="B34" s="27" t="s">
        <v>289</v>
      </c>
      <c r="C34" s="13"/>
      <c r="D34" s="23" cm="1">
        <f t="array" ref="D34">SUM(OSRRefD22x_0)</f>
        <v>30325.42</v>
      </c>
      <c r="E34" s="23"/>
      <c r="F34" s="34">
        <f t="shared" ref="F34:F65" si="4">IF(D$12=0,0,D34/D$12)</f>
        <v>3.5523419947192956</v>
      </c>
      <c r="G34" s="23"/>
      <c r="H34" s="23" cm="1">
        <f t="array" ref="H34">SUM(OSRRefH22x_0)</f>
        <v>32446.999999999996</v>
      </c>
      <c r="I34" s="23"/>
      <c r="J34" s="34">
        <f t="shared" ref="J34:J65" si="5">IF(H$12=0,0,H34/H$12)</f>
        <v>6.7423178263001722</v>
      </c>
      <c r="K34" s="8"/>
      <c r="L34" s="23">
        <f t="shared" ref="L34:L65" si="6">+D34-H34</f>
        <v>-2121.5799999999981</v>
      </c>
      <c r="M34" s="8"/>
      <c r="N34" s="34">
        <f t="shared" ref="N34:N65" si="7">IF(H34=0,0,L34/H34)</f>
        <v>-6.5386014115326477E-2</v>
      </c>
      <c r="O34" s="13"/>
      <c r="P34" s="23" cm="1">
        <f t="array" ref="P34">SUM(OSRRefP22x_0)</f>
        <v>304553.09000000008</v>
      </c>
      <c r="Q34" s="23"/>
      <c r="R34" s="34">
        <f t="shared" ref="R34:R65" si="8">IF(P$12=0,0,P34/P$12)</f>
        <v>1.312707674453869</v>
      </c>
      <c r="S34" s="23"/>
      <c r="T34" s="23" cm="1">
        <f t="array" ref="T34">SUM(OSRRefT22x_0)</f>
        <v>318006.93</v>
      </c>
      <c r="U34" s="23"/>
      <c r="V34" s="34">
        <f t="shared" ref="V34:V65" si="9">IF(T$12=0,0,T34/T$12)</f>
        <v>2.4008486588570324</v>
      </c>
      <c r="W34" s="8"/>
      <c r="X34" s="23">
        <f t="shared" ref="X34:X65" si="10">+P34-T34</f>
        <v>-13453.839999999909</v>
      </c>
      <c r="Y34" s="8"/>
      <c r="Z34" s="34">
        <f t="shared" ref="Z34:Z65" si="11">IF(T34=0,0,X34/T34)</f>
        <v>-4.2306750988099252E-2</v>
      </c>
    </row>
    <row r="35" spans="1:26" s="68" customFormat="1" ht="15" customHeight="1" outlineLevel="1" collapsed="1" x14ac:dyDescent="0.3">
      <c r="A35" s="20"/>
      <c r="B35" s="11" t="str">
        <f>CONCATENATE("     ","*Benefits                                         ")</f>
        <v xml:space="preserve">     *Benefits                                         </v>
      </c>
      <c r="C35" s="11"/>
      <c r="D35" s="2">
        <f>SUM(OSRRefD22_0x_0)</f>
        <v>1722.6800000000003</v>
      </c>
      <c r="E35" s="2"/>
      <c r="F35" s="5">
        <f t="shared" si="4"/>
        <v>0.20179600175242543</v>
      </c>
      <c r="G35" s="2"/>
      <c r="H35" s="2">
        <f>SUM(OSRRefH22_0x_0)</f>
        <v>9813.18</v>
      </c>
      <c r="I35" s="2"/>
      <c r="J35" s="5">
        <f t="shared" si="5"/>
        <v>2.0391277605538982</v>
      </c>
      <c r="K35" s="2"/>
      <c r="L35" s="2">
        <f t="shared" si="6"/>
        <v>-8090.5</v>
      </c>
      <c r="M35" s="2"/>
      <c r="N35" s="5">
        <f t="shared" si="7"/>
        <v>-0.82445242011254249</v>
      </c>
      <c r="O35" s="11"/>
      <c r="P35" s="2">
        <f>SUM(OSRRefP22_0x_0)</f>
        <v>79208.69</v>
      </c>
      <c r="Q35" s="2"/>
      <c r="R35" s="5">
        <f t="shared" si="8"/>
        <v>0.34141126345635636</v>
      </c>
      <c r="S35" s="2"/>
      <c r="T35" s="2">
        <f>SUM(OSRRefT22_0x_0)</f>
        <v>113804.90000000001</v>
      </c>
      <c r="U35" s="2"/>
      <c r="V35" s="5">
        <f t="shared" si="9"/>
        <v>0.85918989732820827</v>
      </c>
      <c r="W35" s="2"/>
      <c r="X35" s="2">
        <f t="shared" si="10"/>
        <v>-34596.210000000006</v>
      </c>
      <c r="Y35" s="2"/>
      <c r="Z35" s="5">
        <f t="shared" si="11"/>
        <v>-0.30399578577020853</v>
      </c>
    </row>
    <row r="36" spans="1:26" s="69" customFormat="1" ht="15" hidden="1" customHeight="1" outlineLevel="2" x14ac:dyDescent="0.3">
      <c r="A36" s="21"/>
      <c r="B36" s="9" t="str">
        <f>CONCATENATE("          ","6111"," - ","F.I.C.A.")</f>
        <v xml:space="preserve">          6111 - F.I.C.A.</v>
      </c>
      <c r="C36" s="9"/>
      <c r="D36" s="6">
        <v>750.09</v>
      </c>
      <c r="E36" s="3"/>
      <c r="F36" s="7">
        <f t="shared" si="4"/>
        <v>8.7866094082752907E-2</v>
      </c>
      <c r="G36" s="3"/>
      <c r="H36" s="6">
        <v>1244.99</v>
      </c>
      <c r="I36" s="3"/>
      <c r="J36" s="7">
        <f t="shared" si="5"/>
        <v>0.25870244616036775</v>
      </c>
      <c r="K36" s="3"/>
      <c r="L36" s="6">
        <f t="shared" si="6"/>
        <v>-494.9</v>
      </c>
      <c r="M36" s="3"/>
      <c r="N36" s="7">
        <f t="shared" si="7"/>
        <v>-0.39751323303801633</v>
      </c>
      <c r="O36" s="9"/>
      <c r="P36" s="6">
        <v>13677.81</v>
      </c>
      <c r="Q36" s="3"/>
      <c r="R36" s="7">
        <f t="shared" si="8"/>
        <v>5.89551271888979E-2</v>
      </c>
      <c r="S36" s="3"/>
      <c r="T36" s="6">
        <v>15776.77</v>
      </c>
      <c r="U36" s="3"/>
      <c r="V36" s="7">
        <f t="shared" si="9"/>
        <v>0.11910947065083098</v>
      </c>
      <c r="W36" s="3"/>
      <c r="X36" s="6">
        <f t="shared" si="10"/>
        <v>-2098.9600000000009</v>
      </c>
      <c r="Y36" s="3"/>
      <c r="Z36" s="7">
        <f t="shared" si="11"/>
        <v>-0.13304117382708888</v>
      </c>
    </row>
    <row r="37" spans="1:26" s="69" customFormat="1" ht="15" hidden="1" customHeight="1" outlineLevel="2" x14ac:dyDescent="0.3">
      <c r="A37" s="21"/>
      <c r="B37" s="9" t="str">
        <f>CONCATENATE("          ","6112"," - ","COMPENSATION INSURANCE")</f>
        <v xml:space="preserve">          6112 - COMPENSATION INSURANCE</v>
      </c>
      <c r="C37" s="9"/>
      <c r="D37" s="6">
        <v>-2600.54</v>
      </c>
      <c r="E37" s="3"/>
      <c r="F37" s="7">
        <f t="shared" si="4"/>
        <v>-0.30462916757450736</v>
      </c>
      <c r="G37" s="3"/>
      <c r="H37" s="6">
        <v>319.12</v>
      </c>
      <c r="I37" s="3"/>
      <c r="J37" s="7">
        <f t="shared" si="5"/>
        <v>6.63114760911305E-2</v>
      </c>
      <c r="K37" s="3"/>
      <c r="L37" s="6">
        <f t="shared" si="6"/>
        <v>-2919.66</v>
      </c>
      <c r="M37" s="3"/>
      <c r="N37" s="7">
        <f t="shared" si="7"/>
        <v>-9.1490975181749814</v>
      </c>
      <c r="O37" s="9"/>
      <c r="P37" s="6">
        <v>380.35</v>
      </c>
      <c r="Q37" s="3"/>
      <c r="R37" s="7">
        <f t="shared" si="8"/>
        <v>1.6394132267005697E-3</v>
      </c>
      <c r="S37" s="3"/>
      <c r="T37" s="6">
        <v>4131.79</v>
      </c>
      <c r="U37" s="3"/>
      <c r="V37" s="7">
        <f t="shared" si="9"/>
        <v>3.1193667635415673E-2</v>
      </c>
      <c r="W37" s="3"/>
      <c r="X37" s="6">
        <f t="shared" si="10"/>
        <v>-3751.44</v>
      </c>
      <c r="Y37" s="3"/>
      <c r="Z37" s="7">
        <f t="shared" si="11"/>
        <v>-0.90794546673475662</v>
      </c>
    </row>
    <row r="38" spans="1:26" s="69" customFormat="1" ht="15" hidden="1" customHeight="1" outlineLevel="2" x14ac:dyDescent="0.3">
      <c r="A38" s="21"/>
      <c r="B38" s="9" t="str">
        <f>CONCATENATE("          ","6113"," - ","GROUP INSURANCE")</f>
        <v xml:space="preserve">          6113 - GROUP INSURANCE</v>
      </c>
      <c r="C38" s="9"/>
      <c r="D38" s="6">
        <v>1287</v>
      </c>
      <c r="E38" s="3"/>
      <c r="F38" s="7">
        <f t="shared" si="4"/>
        <v>0.15076012623085627</v>
      </c>
      <c r="G38" s="3"/>
      <c r="H38" s="6">
        <v>3421.48</v>
      </c>
      <c r="I38" s="3"/>
      <c r="J38" s="7">
        <f t="shared" si="5"/>
        <v>0.71096574710541849</v>
      </c>
      <c r="K38" s="3"/>
      <c r="L38" s="6">
        <f t="shared" si="6"/>
        <v>-2134.48</v>
      </c>
      <c r="M38" s="3"/>
      <c r="N38" s="7">
        <f t="shared" si="7"/>
        <v>-0.62384699019137912</v>
      </c>
      <c r="O38" s="9"/>
      <c r="P38" s="6">
        <v>25608.02</v>
      </c>
      <c r="Q38" s="3"/>
      <c r="R38" s="7">
        <f t="shared" si="8"/>
        <v>0.11037761718841257</v>
      </c>
      <c r="S38" s="3"/>
      <c r="T38" s="6">
        <v>42900.21</v>
      </c>
      <c r="U38" s="3"/>
      <c r="V38" s="7">
        <f t="shared" si="9"/>
        <v>0.3238826010589928</v>
      </c>
      <c r="W38" s="3"/>
      <c r="X38" s="6">
        <f t="shared" si="10"/>
        <v>-17292.189999999999</v>
      </c>
      <c r="Y38" s="3"/>
      <c r="Z38" s="7">
        <f t="shared" si="11"/>
        <v>-0.40307937886551137</v>
      </c>
    </row>
    <row r="39" spans="1:26" s="69" customFormat="1" ht="15" hidden="1" customHeight="1" outlineLevel="2" x14ac:dyDescent="0.3">
      <c r="A39" s="21"/>
      <c r="B39" s="9" t="str">
        <f>CONCATENATE("          ","6114"," - ","STATE UNEMPLOYMENT INSURANCE")</f>
        <v xml:space="preserve">          6114 - STATE UNEMPLOYMENT INSURANCE</v>
      </c>
      <c r="C39" s="9"/>
      <c r="D39" s="6"/>
      <c r="E39" s="3"/>
      <c r="F39" s="7">
        <f t="shared" si="4"/>
        <v>0</v>
      </c>
      <c r="G39" s="3"/>
      <c r="H39" s="6">
        <v>44.85</v>
      </c>
      <c r="I39" s="3"/>
      <c r="J39" s="7">
        <f t="shared" si="5"/>
        <v>9.3195967118551108E-3</v>
      </c>
      <c r="K39" s="3"/>
      <c r="L39" s="6">
        <f t="shared" si="6"/>
        <v>-44.85</v>
      </c>
      <c r="M39" s="3"/>
      <c r="N39" s="7">
        <f t="shared" si="7"/>
        <v>-1</v>
      </c>
      <c r="O39" s="9"/>
      <c r="P39" s="6">
        <v>523.66999999999996</v>
      </c>
      <c r="Q39" s="3"/>
      <c r="R39" s="7">
        <f t="shared" si="8"/>
        <v>2.2571618888557569E-3</v>
      </c>
      <c r="S39" s="3"/>
      <c r="T39" s="6">
        <v>580.66999999999996</v>
      </c>
      <c r="U39" s="3"/>
      <c r="V39" s="7">
        <f t="shared" si="9"/>
        <v>4.383869215486948E-3</v>
      </c>
      <c r="W39" s="3"/>
      <c r="X39" s="6">
        <f t="shared" si="10"/>
        <v>-57</v>
      </c>
      <c r="Y39" s="3"/>
      <c r="Z39" s="7">
        <f t="shared" si="11"/>
        <v>-9.8162467494446085E-2</v>
      </c>
    </row>
    <row r="40" spans="1:26" s="69" customFormat="1" ht="15" hidden="1" customHeight="1" outlineLevel="2" x14ac:dyDescent="0.3">
      <c r="A40" s="21"/>
      <c r="B40" s="9" t="str">
        <f>CONCATENATE("          ","6115"," - ","P.E.R.S.")</f>
        <v xml:space="preserve">          6115 - P.E.R.S.</v>
      </c>
      <c r="C40" s="9"/>
      <c r="D40" s="6">
        <v>752.91</v>
      </c>
      <c r="E40" s="3"/>
      <c r="F40" s="7">
        <f t="shared" si="4"/>
        <v>8.819643095607925E-2</v>
      </c>
      <c r="G40" s="3"/>
      <c r="H40" s="6">
        <v>2421.6799999999998</v>
      </c>
      <c r="I40" s="3"/>
      <c r="J40" s="7">
        <f t="shared" si="5"/>
        <v>0.50321250758451019</v>
      </c>
      <c r="K40" s="3"/>
      <c r="L40" s="6">
        <f t="shared" si="6"/>
        <v>-1668.77</v>
      </c>
      <c r="M40" s="3"/>
      <c r="N40" s="7">
        <f t="shared" si="7"/>
        <v>-0.6890959994714414</v>
      </c>
      <c r="O40" s="9"/>
      <c r="P40" s="6">
        <v>16772.27</v>
      </c>
      <c r="Q40" s="3"/>
      <c r="R40" s="7">
        <f t="shared" si="8"/>
        <v>7.2293101826720552E-2</v>
      </c>
      <c r="S40" s="3"/>
      <c r="T40" s="6">
        <v>21347.57</v>
      </c>
      <c r="U40" s="3"/>
      <c r="V40" s="7">
        <f t="shared" si="9"/>
        <v>0.1611671947034507</v>
      </c>
      <c r="W40" s="3"/>
      <c r="X40" s="6">
        <f t="shared" si="10"/>
        <v>-4575.2999999999993</v>
      </c>
      <c r="Y40" s="3"/>
      <c r="Z40" s="7">
        <f t="shared" si="11"/>
        <v>-0.21432415961160917</v>
      </c>
    </row>
    <row r="41" spans="1:26" s="69" customFormat="1" ht="15" hidden="1" customHeight="1" outlineLevel="2" x14ac:dyDescent="0.3">
      <c r="A41" s="21"/>
      <c r="B41" s="9" t="str">
        <f>CONCATENATE("          ","6118"," - ","VACATION")</f>
        <v xml:space="preserve">          6118 - VACATION</v>
      </c>
      <c r="C41" s="9"/>
      <c r="D41" s="6">
        <v>656.44</v>
      </c>
      <c r="E41" s="3"/>
      <c r="F41" s="7">
        <f t="shared" si="4"/>
        <v>7.6895864229202263E-2</v>
      </c>
      <c r="G41" s="3"/>
      <c r="H41" s="6">
        <v>1216.0999999999999</v>
      </c>
      <c r="I41" s="3"/>
      <c r="J41" s="7">
        <f t="shared" si="5"/>
        <v>0.25269925443226304</v>
      </c>
      <c r="K41" s="3"/>
      <c r="L41" s="6">
        <f t="shared" si="6"/>
        <v>-559.65999999999985</v>
      </c>
      <c r="M41" s="3"/>
      <c r="N41" s="7">
        <f t="shared" si="7"/>
        <v>-0.46020886440259839</v>
      </c>
      <c r="O41" s="9"/>
      <c r="P41" s="6">
        <v>9814.77</v>
      </c>
      <c r="Q41" s="3"/>
      <c r="R41" s="7">
        <f t="shared" si="8"/>
        <v>4.2304361127971472E-2</v>
      </c>
      <c r="S41" s="3"/>
      <c r="T41" s="6">
        <v>15451.76</v>
      </c>
      <c r="U41" s="3"/>
      <c r="V41" s="7">
        <f t="shared" si="9"/>
        <v>0.11665575109630705</v>
      </c>
      <c r="W41" s="3"/>
      <c r="X41" s="6">
        <f t="shared" si="10"/>
        <v>-5636.99</v>
      </c>
      <c r="Y41" s="3"/>
      <c r="Z41" s="7">
        <f t="shared" si="11"/>
        <v>-0.36481216379234466</v>
      </c>
    </row>
    <row r="42" spans="1:26" s="69" customFormat="1" ht="15" hidden="1" customHeight="1" outlineLevel="2" x14ac:dyDescent="0.3">
      <c r="A42" s="21"/>
      <c r="B42" s="9" t="str">
        <f>CONCATENATE("          ","6119"," - ","SICK LEAVE")</f>
        <v xml:space="preserve">          6119 - SICK LEAVE</v>
      </c>
      <c r="C42" s="9"/>
      <c r="D42" s="6">
        <v>411.06</v>
      </c>
      <c r="E42" s="3"/>
      <c r="F42" s="7">
        <f t="shared" si="4"/>
        <v>4.8151870620400765E-2</v>
      </c>
      <c r="G42" s="3"/>
      <c r="H42" s="6">
        <v>738.5</v>
      </c>
      <c r="I42" s="3"/>
      <c r="J42" s="7">
        <f t="shared" si="5"/>
        <v>0.1534564586779264</v>
      </c>
      <c r="K42" s="3"/>
      <c r="L42" s="6">
        <f t="shared" si="6"/>
        <v>-327.44</v>
      </c>
      <c r="M42" s="3"/>
      <c r="N42" s="7">
        <f t="shared" si="7"/>
        <v>-0.443385240352065</v>
      </c>
      <c r="O42" s="9"/>
      <c r="P42" s="6">
        <v>7225.49</v>
      </c>
      <c r="Q42" s="3"/>
      <c r="R42" s="7">
        <f t="shared" si="8"/>
        <v>3.1143851387912973E-2</v>
      </c>
      <c r="S42" s="3"/>
      <c r="T42" s="6">
        <v>9494.52</v>
      </c>
      <c r="U42" s="3"/>
      <c r="V42" s="7">
        <f t="shared" si="9"/>
        <v>7.1680531013872159E-2</v>
      </c>
      <c r="W42" s="3"/>
      <c r="X42" s="6">
        <f t="shared" si="10"/>
        <v>-2269.0300000000007</v>
      </c>
      <c r="Y42" s="3"/>
      <c r="Z42" s="7">
        <f t="shared" si="11"/>
        <v>-0.23898311868319835</v>
      </c>
    </row>
    <row r="43" spans="1:26" s="69" customFormat="1" ht="15" hidden="1" customHeight="1" outlineLevel="2" x14ac:dyDescent="0.3">
      <c r="A43" s="21"/>
      <c r="B43" s="9" t="str">
        <f>CONCATENATE("          ","6156"," - ","EMPLOYEE MEALS")</f>
        <v xml:space="preserve">          6156 - EMPLOYEE MEALS</v>
      </c>
      <c r="C43" s="9"/>
      <c r="D43" s="6">
        <v>465.72</v>
      </c>
      <c r="E43" s="3"/>
      <c r="F43" s="7">
        <f t="shared" si="4"/>
        <v>5.455478320764133E-2</v>
      </c>
      <c r="G43" s="3"/>
      <c r="H43" s="6">
        <v>406.46</v>
      </c>
      <c r="I43" s="3"/>
      <c r="J43" s="7">
        <f t="shared" si="5"/>
        <v>8.4460273790426477E-2</v>
      </c>
      <c r="K43" s="3"/>
      <c r="L43" s="6">
        <f t="shared" si="6"/>
        <v>59.260000000000048</v>
      </c>
      <c r="M43" s="3"/>
      <c r="N43" s="7">
        <f t="shared" si="7"/>
        <v>0.14579540422181778</v>
      </c>
      <c r="O43" s="9"/>
      <c r="P43" s="6">
        <v>5206.3100000000004</v>
      </c>
      <c r="Q43" s="3"/>
      <c r="R43" s="7">
        <f t="shared" si="8"/>
        <v>2.2440629620884563E-2</v>
      </c>
      <c r="S43" s="3"/>
      <c r="T43" s="6">
        <v>4121.6099999999997</v>
      </c>
      <c r="U43" s="3"/>
      <c r="V43" s="7">
        <f t="shared" si="9"/>
        <v>3.1116811953851863E-2</v>
      </c>
      <c r="W43" s="3"/>
      <c r="X43" s="6">
        <f t="shared" si="10"/>
        <v>1084.7000000000007</v>
      </c>
      <c r="Y43" s="3"/>
      <c r="Z43" s="7">
        <f t="shared" si="11"/>
        <v>0.26317385681808825</v>
      </c>
    </row>
    <row r="44" spans="1:26" s="68" customFormat="1" ht="15" customHeight="1" outlineLevel="1" collapsed="1" x14ac:dyDescent="0.3">
      <c r="A44" s="20"/>
      <c r="B44" s="11" t="str">
        <f>CONCATENATE("     ","*Payroll                                          ")</f>
        <v xml:space="preserve">     *Payroll                                          </v>
      </c>
      <c r="C44" s="11"/>
      <c r="D44" s="2">
        <f>SUM(OSRRefD22_1x_0)</f>
        <v>9778.94</v>
      </c>
      <c r="E44" s="2"/>
      <c r="F44" s="5">
        <f t="shared" si="4"/>
        <v>1.1455122212929059</v>
      </c>
      <c r="G44" s="2"/>
      <c r="H44" s="2">
        <f>SUM(OSRRefH22_1x_0)</f>
        <v>14325.42</v>
      </c>
      <c r="I44" s="2"/>
      <c r="J44" s="5">
        <f t="shared" si="5"/>
        <v>2.9767477620500205</v>
      </c>
      <c r="K44" s="2"/>
      <c r="L44" s="2">
        <f t="shared" si="6"/>
        <v>-4546.4799999999996</v>
      </c>
      <c r="M44" s="2"/>
      <c r="N44" s="5">
        <f t="shared" si="7"/>
        <v>-0.31737149765940542</v>
      </c>
      <c r="O44" s="11"/>
      <c r="P44" s="2">
        <f>SUM(OSRRefP22_1x_0)</f>
        <v>161949.43</v>
      </c>
      <c r="Q44" s="2"/>
      <c r="R44" s="5">
        <f t="shared" si="8"/>
        <v>0.69804663493786778</v>
      </c>
      <c r="S44" s="2"/>
      <c r="T44" s="2">
        <f>SUM(OSRRefT22_1x_0)</f>
        <v>184511.34</v>
      </c>
      <c r="U44" s="2"/>
      <c r="V44" s="5">
        <f t="shared" si="9"/>
        <v>1.3930004707221755</v>
      </c>
      <c r="W44" s="2"/>
      <c r="X44" s="2">
        <f t="shared" si="10"/>
        <v>-22561.910000000003</v>
      </c>
      <c r="Y44" s="2"/>
      <c r="Z44" s="5">
        <f t="shared" si="11"/>
        <v>-0.12227925936693107</v>
      </c>
    </row>
    <row r="45" spans="1:26" s="69" customFormat="1" ht="15" hidden="1" customHeight="1" outlineLevel="2" x14ac:dyDescent="0.3">
      <c r="A45" s="21"/>
      <c r="B45" s="9" t="str">
        <f>CONCATENATE("          ","6002"," - ","STAFF SALARIES")</f>
        <v xml:space="preserve">          6002 - STAFF SALARIES</v>
      </c>
      <c r="C45" s="9"/>
      <c r="D45" s="6">
        <v>8466.44</v>
      </c>
      <c r="E45" s="3"/>
      <c r="F45" s="7">
        <f t="shared" si="4"/>
        <v>0.99176500631388576</v>
      </c>
      <c r="G45" s="3"/>
      <c r="H45" s="6">
        <v>13915.64</v>
      </c>
      <c r="I45" s="3"/>
      <c r="J45" s="7">
        <f t="shared" si="5"/>
        <v>2.8915976095286382</v>
      </c>
      <c r="K45" s="3"/>
      <c r="L45" s="6">
        <f t="shared" si="6"/>
        <v>-5449.1999999999989</v>
      </c>
      <c r="M45" s="3"/>
      <c r="N45" s="7">
        <f t="shared" si="7"/>
        <v>-0.39158816985780021</v>
      </c>
      <c r="O45" s="9"/>
      <c r="P45" s="6">
        <v>129895.58</v>
      </c>
      <c r="Q45" s="3"/>
      <c r="R45" s="7">
        <f t="shared" si="8"/>
        <v>0.5598857156354462</v>
      </c>
      <c r="S45" s="3"/>
      <c r="T45" s="6">
        <v>176389.94</v>
      </c>
      <c r="U45" s="3"/>
      <c r="V45" s="7">
        <f t="shared" si="9"/>
        <v>1.3316865481040694</v>
      </c>
      <c r="W45" s="3"/>
      <c r="X45" s="6">
        <f t="shared" si="10"/>
        <v>-46494.36</v>
      </c>
      <c r="Y45" s="3"/>
      <c r="Z45" s="7">
        <f t="shared" si="11"/>
        <v>-0.26358850170253473</v>
      </c>
    </row>
    <row r="46" spans="1:26" s="69" customFormat="1" ht="15" hidden="1" customHeight="1" outlineLevel="2" x14ac:dyDescent="0.3">
      <c r="A46" s="21"/>
      <c r="B46" s="9" t="str">
        <f>CONCATENATE("          ","6005"," - ","TEMPORARY WAGES-HOURLY")</f>
        <v xml:space="preserve">          6005 - TEMPORARY WAGES-HOURLY</v>
      </c>
      <c r="C46" s="9"/>
      <c r="D46" s="6"/>
      <c r="E46" s="3"/>
      <c r="F46" s="7">
        <f t="shared" si="4"/>
        <v>0</v>
      </c>
      <c r="G46" s="3"/>
      <c r="H46" s="6"/>
      <c r="I46" s="3"/>
      <c r="J46" s="7">
        <f t="shared" si="5"/>
        <v>0</v>
      </c>
      <c r="K46" s="3"/>
      <c r="L46" s="6">
        <f t="shared" si="6"/>
        <v>0</v>
      </c>
      <c r="M46" s="3"/>
      <c r="N46" s="7">
        <f t="shared" si="7"/>
        <v>0</v>
      </c>
      <c r="O46" s="9"/>
      <c r="P46" s="6"/>
      <c r="Q46" s="3"/>
      <c r="R46" s="7">
        <f t="shared" si="8"/>
        <v>0</v>
      </c>
      <c r="S46" s="3"/>
      <c r="T46" s="6">
        <v>383.25</v>
      </c>
      <c r="U46" s="3"/>
      <c r="V46" s="7">
        <f t="shared" si="9"/>
        <v>2.8934125696787731E-3</v>
      </c>
      <c r="W46" s="3"/>
      <c r="X46" s="6">
        <f t="shared" si="10"/>
        <v>-383.25</v>
      </c>
      <c r="Y46" s="3"/>
      <c r="Z46" s="7">
        <f t="shared" si="11"/>
        <v>-1</v>
      </c>
    </row>
    <row r="47" spans="1:26" s="69" customFormat="1" ht="15" hidden="1" customHeight="1" outlineLevel="2" x14ac:dyDescent="0.3">
      <c r="A47" s="21"/>
      <c r="B47" s="9" t="str">
        <f>CONCATENATE("          ","6007"," - ","STUDENT HOURLY")</f>
        <v xml:space="preserve">          6007 - STUDENT HOURLY</v>
      </c>
      <c r="C47" s="9"/>
      <c r="D47" s="6">
        <v>1312.5</v>
      </c>
      <c r="E47" s="3"/>
      <c r="F47" s="7">
        <f t="shared" si="4"/>
        <v>0.15374721497902011</v>
      </c>
      <c r="G47" s="3"/>
      <c r="H47" s="6">
        <v>409.78</v>
      </c>
      <c r="I47" s="3"/>
      <c r="J47" s="7">
        <f t="shared" si="5"/>
        <v>8.5150152521382083E-2</v>
      </c>
      <c r="K47" s="3"/>
      <c r="L47" s="6">
        <f t="shared" si="6"/>
        <v>902.72</v>
      </c>
      <c r="M47" s="3"/>
      <c r="N47" s="7">
        <f t="shared" si="7"/>
        <v>2.2029381619405535</v>
      </c>
      <c r="O47" s="9"/>
      <c r="P47" s="6">
        <v>31035.35</v>
      </c>
      <c r="Q47" s="3"/>
      <c r="R47" s="7">
        <f t="shared" si="8"/>
        <v>0.13377090386560148</v>
      </c>
      <c r="S47" s="3"/>
      <c r="T47" s="6">
        <v>7738.15</v>
      </c>
      <c r="U47" s="3"/>
      <c r="V47" s="7">
        <f t="shared" si="9"/>
        <v>5.8420510048427389E-2</v>
      </c>
      <c r="W47" s="3"/>
      <c r="X47" s="6">
        <f t="shared" si="10"/>
        <v>23297.199999999997</v>
      </c>
      <c r="Y47" s="3"/>
      <c r="Z47" s="7">
        <f t="shared" si="11"/>
        <v>3.0106937704748549</v>
      </c>
    </row>
    <row r="48" spans="1:26" s="69" customFormat="1" ht="15" hidden="1" customHeight="1" outlineLevel="2" x14ac:dyDescent="0.3">
      <c r="A48" s="21"/>
      <c r="B48" s="9" t="str">
        <f>CONCATENATE("          ","6008"," - ","STUDENT HOURLY-FICA EXEMPT")</f>
        <v xml:space="preserve">          6008 - STUDENT HOURLY-FICA EXEMPT</v>
      </c>
      <c r="C48" s="9"/>
      <c r="D48" s="6"/>
      <c r="E48" s="3"/>
      <c r="F48" s="7">
        <f t="shared" si="4"/>
        <v>0</v>
      </c>
      <c r="G48" s="3"/>
      <c r="H48" s="6"/>
      <c r="I48" s="3"/>
      <c r="J48" s="7">
        <f t="shared" si="5"/>
        <v>0</v>
      </c>
      <c r="K48" s="3"/>
      <c r="L48" s="6">
        <f t="shared" si="6"/>
        <v>0</v>
      </c>
      <c r="M48" s="3"/>
      <c r="N48" s="7">
        <f t="shared" si="7"/>
        <v>0</v>
      </c>
      <c r="O48" s="9"/>
      <c r="P48" s="6">
        <v>1018.5</v>
      </c>
      <c r="Q48" s="3"/>
      <c r="R48" s="7">
        <f t="shared" si="8"/>
        <v>4.3900154368201137E-3</v>
      </c>
      <c r="S48" s="3"/>
      <c r="T48" s="6"/>
      <c r="U48" s="3"/>
      <c r="V48" s="7">
        <f t="shared" si="9"/>
        <v>0</v>
      </c>
      <c r="W48" s="3"/>
      <c r="X48" s="6">
        <f t="shared" si="10"/>
        <v>1018.5</v>
      </c>
      <c r="Y48" s="3"/>
      <c r="Z48" s="7">
        <f t="shared" si="11"/>
        <v>0</v>
      </c>
    </row>
    <row r="49" spans="1:26" s="68" customFormat="1" ht="15" customHeight="1" outlineLevel="1" collapsed="1" x14ac:dyDescent="0.3">
      <c r="A49" s="20"/>
      <c r="B49" s="11" t="str">
        <f>CONCATENATE("     ","Advertising/Promo                                 ")</f>
        <v xml:space="preserve">     Advertising/Promo                                 </v>
      </c>
      <c r="C49" s="11"/>
      <c r="D49" s="2">
        <f>SUM(OSRRefD22_2x_0)</f>
        <v>36.700000000000003</v>
      </c>
      <c r="E49" s="2"/>
      <c r="F49" s="5">
        <f t="shared" si="4"/>
        <v>4.2990649826514576E-3</v>
      </c>
      <c r="G49" s="2"/>
      <c r="H49" s="2">
        <f>SUM(OSRRefH22_2x_0)</f>
        <v>0</v>
      </c>
      <c r="I49" s="2"/>
      <c r="J49" s="5">
        <f t="shared" si="5"/>
        <v>0</v>
      </c>
      <c r="K49" s="2"/>
      <c r="L49" s="2">
        <f t="shared" si="6"/>
        <v>36.700000000000003</v>
      </c>
      <c r="M49" s="2"/>
      <c r="N49" s="5">
        <f t="shared" si="7"/>
        <v>0</v>
      </c>
      <c r="O49" s="11"/>
      <c r="P49" s="2">
        <f>SUM(OSRRefP22_2x_0)</f>
        <v>188.55</v>
      </c>
      <c r="Q49" s="2"/>
      <c r="R49" s="5">
        <f t="shared" si="8"/>
        <v>8.1270241591795036E-4</v>
      </c>
      <c r="S49" s="2"/>
      <c r="T49" s="2">
        <f>SUM(OSRRefT22_2x_0)</f>
        <v>0</v>
      </c>
      <c r="U49" s="2"/>
      <c r="V49" s="5">
        <f t="shared" si="9"/>
        <v>0</v>
      </c>
      <c r="W49" s="2"/>
      <c r="X49" s="2">
        <f t="shared" si="10"/>
        <v>188.55</v>
      </c>
      <c r="Y49" s="2"/>
      <c r="Z49" s="5">
        <f t="shared" si="11"/>
        <v>0</v>
      </c>
    </row>
    <row r="50" spans="1:26" s="69" customFormat="1" ht="15" hidden="1" customHeight="1" outlineLevel="2" x14ac:dyDescent="0.3">
      <c r="A50" s="21"/>
      <c r="B50" s="9" t="str">
        <f>CONCATENATE("          ","6362"," - ","ADVERTISING EXPENSE")</f>
        <v xml:space="preserve">          6362 - ADVERTISING EXPENSE</v>
      </c>
      <c r="C50" s="9"/>
      <c r="D50" s="6">
        <v>36.700000000000003</v>
      </c>
      <c r="E50" s="3"/>
      <c r="F50" s="7">
        <f t="shared" si="4"/>
        <v>4.2990649826514576E-3</v>
      </c>
      <c r="G50" s="3"/>
      <c r="H50" s="6"/>
      <c r="I50" s="3"/>
      <c r="J50" s="7">
        <f t="shared" si="5"/>
        <v>0</v>
      </c>
      <c r="K50" s="3"/>
      <c r="L50" s="6">
        <f t="shared" si="6"/>
        <v>36.700000000000003</v>
      </c>
      <c r="M50" s="3"/>
      <c r="N50" s="7">
        <f t="shared" si="7"/>
        <v>0</v>
      </c>
      <c r="O50" s="9"/>
      <c r="P50" s="6">
        <v>188.55</v>
      </c>
      <c r="Q50" s="3"/>
      <c r="R50" s="7">
        <f t="shared" si="8"/>
        <v>8.1270241591795036E-4</v>
      </c>
      <c r="S50" s="3"/>
      <c r="T50" s="6"/>
      <c r="U50" s="3"/>
      <c r="V50" s="7">
        <f t="shared" si="9"/>
        <v>0</v>
      </c>
      <c r="W50" s="3"/>
      <c r="X50" s="6">
        <f t="shared" si="10"/>
        <v>188.55</v>
      </c>
      <c r="Y50" s="3"/>
      <c r="Z50" s="7">
        <f t="shared" si="11"/>
        <v>0</v>
      </c>
    </row>
    <row r="51" spans="1:26" s="68" customFormat="1" ht="15" customHeight="1" outlineLevel="1" collapsed="1" x14ac:dyDescent="0.3">
      <c r="A51" s="20"/>
      <c r="B51" s="11" t="str">
        <f>CONCATENATE("     ","Depreciation                                      ")</f>
        <v xml:space="preserve">     Depreciation                                      </v>
      </c>
      <c r="C51" s="11"/>
      <c r="D51" s="2">
        <f>SUM(OSRRefD22_3x_0)</f>
        <v>169.92</v>
      </c>
      <c r="E51" s="2"/>
      <c r="F51" s="5">
        <f t="shared" si="4"/>
        <v>1.9904553728941024E-2</v>
      </c>
      <c r="G51" s="2"/>
      <c r="H51" s="2">
        <f>SUM(OSRRefH22_3x_0)</f>
        <v>169.92</v>
      </c>
      <c r="I51" s="2"/>
      <c r="J51" s="5">
        <f t="shared" si="5"/>
        <v>3.5308492157824306E-2</v>
      </c>
      <c r="K51" s="2"/>
      <c r="L51" s="2">
        <f t="shared" si="6"/>
        <v>0</v>
      </c>
      <c r="M51" s="2"/>
      <c r="N51" s="5">
        <f t="shared" si="7"/>
        <v>0</v>
      </c>
      <c r="O51" s="11"/>
      <c r="P51" s="2">
        <f>SUM(OSRRefP22_3x_0)</f>
        <v>2038.6</v>
      </c>
      <c r="Q51" s="2"/>
      <c r="R51" s="5">
        <f t="shared" si="8"/>
        <v>8.7869273141889873E-3</v>
      </c>
      <c r="S51" s="2"/>
      <c r="T51" s="2">
        <f>SUM(OSRRefT22_3x_0)</f>
        <v>2038.6</v>
      </c>
      <c r="U51" s="2"/>
      <c r="V51" s="5">
        <f t="shared" si="9"/>
        <v>1.5390765465224126E-2</v>
      </c>
      <c r="W51" s="2"/>
      <c r="X51" s="2">
        <f t="shared" si="10"/>
        <v>0</v>
      </c>
      <c r="Y51" s="2"/>
      <c r="Z51" s="5">
        <f t="shared" si="11"/>
        <v>0</v>
      </c>
    </row>
    <row r="52" spans="1:26" s="69" customFormat="1" ht="15" hidden="1" customHeight="1" outlineLevel="2" x14ac:dyDescent="0.3">
      <c r="A52" s="21"/>
      <c r="B52" s="9" t="str">
        <f>CONCATENATE("          ","6322"," - ","EQUIPMENT DEPRECIATION EXPENSE")</f>
        <v xml:space="preserve">          6322 - EQUIPMENT DEPRECIATION EXPENSE</v>
      </c>
      <c r="C52" s="9"/>
      <c r="D52" s="6">
        <v>169.92</v>
      </c>
      <c r="E52" s="3"/>
      <c r="F52" s="7">
        <f t="shared" si="4"/>
        <v>1.9904553728941024E-2</v>
      </c>
      <c r="G52" s="3"/>
      <c r="H52" s="6">
        <v>169.92</v>
      </c>
      <c r="I52" s="3"/>
      <c r="J52" s="7">
        <f t="shared" si="5"/>
        <v>3.5308492157824306E-2</v>
      </c>
      <c r="K52" s="3"/>
      <c r="L52" s="6">
        <f t="shared" si="6"/>
        <v>0</v>
      </c>
      <c r="M52" s="3"/>
      <c r="N52" s="7">
        <f t="shared" si="7"/>
        <v>0</v>
      </c>
      <c r="O52" s="9"/>
      <c r="P52" s="6">
        <v>2038.6</v>
      </c>
      <c r="Q52" s="3"/>
      <c r="R52" s="7">
        <f t="shared" si="8"/>
        <v>8.7869273141889873E-3</v>
      </c>
      <c r="S52" s="3"/>
      <c r="T52" s="6">
        <v>2038.6</v>
      </c>
      <c r="U52" s="3"/>
      <c r="V52" s="7">
        <f t="shared" si="9"/>
        <v>1.5390765465224126E-2</v>
      </c>
      <c r="W52" s="3"/>
      <c r="X52" s="6">
        <f t="shared" si="10"/>
        <v>0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0"/>
      <c r="B53" s="11" t="str">
        <f>CONCATENATE("     ","Discounts and Markdowns                           ")</f>
        <v xml:space="preserve">     Discounts and Markdowns                           </v>
      </c>
      <c r="C53" s="11"/>
      <c r="D53" s="2">
        <f>SUM(OSRRefD22_4x_0)</f>
        <v>0</v>
      </c>
      <c r="E53" s="2"/>
      <c r="F53" s="5">
        <f t="shared" si="4"/>
        <v>0</v>
      </c>
      <c r="G53" s="2"/>
      <c r="H53" s="2">
        <f>SUM(OSRRefH22_4x_0)</f>
        <v>0</v>
      </c>
      <c r="I53" s="2"/>
      <c r="J53" s="5">
        <f t="shared" si="5"/>
        <v>0</v>
      </c>
      <c r="K53" s="2"/>
      <c r="L53" s="2">
        <f t="shared" si="6"/>
        <v>0</v>
      </c>
      <c r="M53" s="2"/>
      <c r="N53" s="5">
        <f t="shared" si="7"/>
        <v>0</v>
      </c>
      <c r="O53" s="11"/>
      <c r="P53" s="2">
        <f>SUM(OSRRefP22_4x_0)</f>
        <v>0</v>
      </c>
      <c r="Q53" s="2"/>
      <c r="R53" s="5">
        <f t="shared" si="8"/>
        <v>0</v>
      </c>
      <c r="S53" s="2"/>
      <c r="T53" s="2">
        <f>SUM(OSRRefT22_4x_0)</f>
        <v>0</v>
      </c>
      <c r="U53" s="2"/>
      <c r="V53" s="5">
        <f t="shared" si="9"/>
        <v>0</v>
      </c>
      <c r="W53" s="2"/>
      <c r="X53" s="2">
        <f t="shared" si="10"/>
        <v>0</v>
      </c>
      <c r="Y53" s="2"/>
      <c r="Z53" s="5">
        <f t="shared" si="11"/>
        <v>0</v>
      </c>
    </row>
    <row r="54" spans="1:26" s="69" customFormat="1" ht="15" hidden="1" customHeight="1" outlineLevel="2" x14ac:dyDescent="0.3">
      <c r="A54" s="21"/>
      <c r="B54" s="9" t="str">
        <f>CONCATENATE("          ","6382"," - ","DISCOUNTS/MARK DOWNS")</f>
        <v xml:space="preserve">          6382 - DISCOUNTS/MARK DOWNS</v>
      </c>
      <c r="C54" s="9"/>
      <c r="D54" s="6"/>
      <c r="E54" s="3"/>
      <c r="F54" s="7">
        <f t="shared" si="4"/>
        <v>0</v>
      </c>
      <c r="G54" s="3"/>
      <c r="H54" s="6"/>
      <c r="I54" s="3"/>
      <c r="J54" s="7">
        <f t="shared" si="5"/>
        <v>0</v>
      </c>
      <c r="K54" s="3"/>
      <c r="L54" s="6">
        <f t="shared" si="6"/>
        <v>0</v>
      </c>
      <c r="M54" s="3"/>
      <c r="N54" s="7">
        <f t="shared" si="7"/>
        <v>0</v>
      </c>
      <c r="O54" s="9"/>
      <c r="P54" s="6"/>
      <c r="Q54" s="3"/>
      <c r="R54" s="7">
        <f t="shared" si="8"/>
        <v>0</v>
      </c>
      <c r="S54" s="3"/>
      <c r="T54" s="6">
        <v>0</v>
      </c>
      <c r="U54" s="3"/>
      <c r="V54" s="7">
        <f t="shared" si="9"/>
        <v>0</v>
      </c>
      <c r="W54" s="3"/>
      <c r="X54" s="6">
        <f t="shared" si="10"/>
        <v>0</v>
      </c>
      <c r="Y54" s="3"/>
      <c r="Z54" s="7">
        <f t="shared" si="11"/>
        <v>0</v>
      </c>
    </row>
    <row r="55" spans="1:26" s="68" customFormat="1" ht="15" customHeight="1" outlineLevel="1" collapsed="1" x14ac:dyDescent="0.3">
      <c r="A55" s="20"/>
      <c r="B55" s="11" t="str">
        <f>CONCATENATE("     ","Equipment Rental                                  ")</f>
        <v xml:space="preserve">     Equipment Rental                                  </v>
      </c>
      <c r="C55" s="11"/>
      <c r="D55" s="2">
        <f>SUM(OSRRefD22_5x_0)</f>
        <v>1609.35</v>
      </c>
      <c r="E55" s="2"/>
      <c r="F55" s="5">
        <f t="shared" si="4"/>
        <v>0.1885204422297036</v>
      </c>
      <c r="G55" s="2"/>
      <c r="H55" s="2">
        <f>SUM(OSRRefH22_5x_0)</f>
        <v>1205.6400000000001</v>
      </c>
      <c r="I55" s="2"/>
      <c r="J55" s="5">
        <f t="shared" si="5"/>
        <v>0.25052572084015595</v>
      </c>
      <c r="K55" s="2"/>
      <c r="L55" s="2">
        <f t="shared" si="6"/>
        <v>403.70999999999981</v>
      </c>
      <c r="M55" s="2"/>
      <c r="N55" s="5">
        <f t="shared" si="7"/>
        <v>0.33485119936299373</v>
      </c>
      <c r="O55" s="11"/>
      <c r="P55" s="2">
        <f>SUM(OSRRefP22_5x_0)</f>
        <v>14962.65</v>
      </c>
      <c r="Q55" s="2"/>
      <c r="R55" s="5">
        <f t="shared" si="8"/>
        <v>6.4493141360565998E-2</v>
      </c>
      <c r="S55" s="2"/>
      <c r="T55" s="2">
        <f>SUM(OSRRefT22_5x_0)</f>
        <v>14467.68</v>
      </c>
      <c r="U55" s="2"/>
      <c r="V55" s="5">
        <f t="shared" si="9"/>
        <v>0.1092262678828185</v>
      </c>
      <c r="W55" s="2"/>
      <c r="X55" s="2">
        <f t="shared" si="10"/>
        <v>494.96999999999935</v>
      </c>
      <c r="Y55" s="2"/>
      <c r="Z55" s="5">
        <f t="shared" si="11"/>
        <v>3.4212119704057548E-2</v>
      </c>
    </row>
    <row r="56" spans="1:26" s="69" customFormat="1" ht="15" hidden="1" customHeight="1" outlineLevel="2" x14ac:dyDescent="0.3">
      <c r="A56" s="21"/>
      <c r="B56" s="9" t="str">
        <f>CONCATENATE("          ","6351"," - ","EQUIPMENT RENTAL")</f>
        <v xml:space="preserve">          6351 - EQUIPMENT RENTAL</v>
      </c>
      <c r="C56" s="9"/>
      <c r="D56" s="6">
        <v>1609.35</v>
      </c>
      <c r="E56" s="3"/>
      <c r="F56" s="7">
        <f t="shared" si="4"/>
        <v>0.1885204422297036</v>
      </c>
      <c r="G56" s="3"/>
      <c r="H56" s="6">
        <v>1205.6400000000001</v>
      </c>
      <c r="I56" s="3"/>
      <c r="J56" s="7">
        <f t="shared" si="5"/>
        <v>0.25052572084015595</v>
      </c>
      <c r="K56" s="3"/>
      <c r="L56" s="6">
        <f t="shared" si="6"/>
        <v>403.70999999999981</v>
      </c>
      <c r="M56" s="3"/>
      <c r="N56" s="7">
        <f t="shared" si="7"/>
        <v>0.33485119936299373</v>
      </c>
      <c r="O56" s="9"/>
      <c r="P56" s="6">
        <v>14962.65</v>
      </c>
      <c r="Q56" s="3"/>
      <c r="R56" s="7">
        <f t="shared" si="8"/>
        <v>6.4493141360565998E-2</v>
      </c>
      <c r="S56" s="3"/>
      <c r="T56" s="6">
        <v>14467.68</v>
      </c>
      <c r="U56" s="3"/>
      <c r="V56" s="7">
        <f t="shared" si="9"/>
        <v>0.1092262678828185</v>
      </c>
      <c r="W56" s="3"/>
      <c r="X56" s="6">
        <f t="shared" si="10"/>
        <v>494.96999999999935</v>
      </c>
      <c r="Y56" s="3"/>
      <c r="Z56" s="7">
        <f t="shared" si="11"/>
        <v>3.4212119704057548E-2</v>
      </c>
    </row>
    <row r="57" spans="1:26" s="68" customFormat="1" ht="15" customHeight="1" outlineLevel="1" collapsed="1" x14ac:dyDescent="0.3">
      <c r="A57" s="20"/>
      <c r="B57" s="11" t="str">
        <f>CONCATENATE("     ","Freight out/Postage                               ")</f>
        <v xml:space="preserve">     Freight out/Postage                               </v>
      </c>
      <c r="C57" s="11"/>
      <c r="D57" s="2">
        <f>SUM(OSRRefD22_6x_0)</f>
        <v>-1027.2299999999996</v>
      </c>
      <c r="E57" s="2"/>
      <c r="F57" s="5">
        <f t="shared" si="4"/>
        <v>-0.12033047744220857</v>
      </c>
      <c r="G57" s="2"/>
      <c r="H57" s="2">
        <f>SUM(OSRRefH22_6x_0)</f>
        <v>-7826.5199999999995</v>
      </c>
      <c r="I57" s="2"/>
      <c r="J57" s="5">
        <f t="shared" si="5"/>
        <v>-1.6263101462044203</v>
      </c>
      <c r="K57" s="2"/>
      <c r="L57" s="2">
        <f t="shared" si="6"/>
        <v>6799.29</v>
      </c>
      <c r="M57" s="2"/>
      <c r="N57" s="5">
        <f t="shared" si="7"/>
        <v>-0.86875009582803087</v>
      </c>
      <c r="O57" s="11"/>
      <c r="P57" s="2">
        <f>SUM(OSRRefP22_6x_0)</f>
        <v>-71731.819999999978</v>
      </c>
      <c r="Q57" s="2"/>
      <c r="R57" s="5">
        <f t="shared" si="8"/>
        <v>-0.3091838950527262</v>
      </c>
      <c r="S57" s="2"/>
      <c r="T57" s="2">
        <f>SUM(OSRRefT22_6x_0)</f>
        <v>-104296.18999999997</v>
      </c>
      <c r="U57" s="2"/>
      <c r="V57" s="5">
        <f t="shared" si="9"/>
        <v>-0.78740223643993601</v>
      </c>
      <c r="W57" s="2"/>
      <c r="X57" s="2">
        <f t="shared" si="10"/>
        <v>32564.369999999995</v>
      </c>
      <c r="Y57" s="2"/>
      <c r="Z57" s="5">
        <f t="shared" si="11"/>
        <v>-0.3122297180750323</v>
      </c>
    </row>
    <row r="58" spans="1:26" s="69" customFormat="1" ht="15" hidden="1" customHeight="1" outlineLevel="2" x14ac:dyDescent="0.3">
      <c r="A58" s="21"/>
      <c r="B58" s="9" t="str">
        <f>CONCATENATE("          ","6305"," - ","FREIGHT OUT")</f>
        <v xml:space="preserve">          6305 - FREIGHT OUT</v>
      </c>
      <c r="C58" s="9"/>
      <c r="D58" s="6">
        <v>12430.73</v>
      </c>
      <c r="E58" s="3"/>
      <c r="F58" s="7">
        <f t="shared" si="4"/>
        <v>1.4561448515475461</v>
      </c>
      <c r="G58" s="3"/>
      <c r="H58" s="6">
        <v>7003.44</v>
      </c>
      <c r="I58" s="3"/>
      <c r="J58" s="7">
        <f t="shared" si="5"/>
        <v>1.4552784034710045</v>
      </c>
      <c r="K58" s="3"/>
      <c r="L58" s="6">
        <f t="shared" si="6"/>
        <v>5427.29</v>
      </c>
      <c r="M58" s="3"/>
      <c r="N58" s="7">
        <f t="shared" si="7"/>
        <v>0.77494631209805476</v>
      </c>
      <c r="O58" s="9"/>
      <c r="P58" s="6">
        <v>132752.45000000001</v>
      </c>
      <c r="Q58" s="3"/>
      <c r="R58" s="7">
        <f t="shared" si="8"/>
        <v>0.57219961195453151</v>
      </c>
      <c r="S58" s="3"/>
      <c r="T58" s="6">
        <v>204791.35</v>
      </c>
      <c r="U58" s="3"/>
      <c r="V58" s="7">
        <f t="shared" si="9"/>
        <v>1.5461079354246183</v>
      </c>
      <c r="W58" s="3"/>
      <c r="X58" s="6">
        <f t="shared" si="10"/>
        <v>-72038.899999999994</v>
      </c>
      <c r="Y58" s="3"/>
      <c r="Z58" s="7">
        <f t="shared" si="11"/>
        <v>-0.35176729876530427</v>
      </c>
    </row>
    <row r="59" spans="1:26" s="69" customFormat="1" ht="15" hidden="1" customHeight="1" outlineLevel="2" x14ac:dyDescent="0.3">
      <c r="A59" s="21"/>
      <c r="B59" s="9" t="str">
        <f>CONCATENATE("          ","6307"," - ","POSTAGE")</f>
        <v xml:space="preserve">          6307 - POSTAGE</v>
      </c>
      <c r="C59" s="9"/>
      <c r="D59" s="6">
        <v>-13457.96</v>
      </c>
      <c r="E59" s="3"/>
      <c r="F59" s="7">
        <f t="shared" si="4"/>
        <v>-1.5764753289897548</v>
      </c>
      <c r="G59" s="3"/>
      <c r="H59" s="6">
        <v>-14829.96</v>
      </c>
      <c r="I59" s="3"/>
      <c r="J59" s="7">
        <f t="shared" si="5"/>
        <v>-3.0815885496754247</v>
      </c>
      <c r="K59" s="3"/>
      <c r="L59" s="6">
        <f t="shared" si="6"/>
        <v>1372</v>
      </c>
      <c r="M59" s="3"/>
      <c r="N59" s="7">
        <f t="shared" si="7"/>
        <v>-9.2515421484616278E-2</v>
      </c>
      <c r="O59" s="9"/>
      <c r="P59" s="6">
        <v>-204484.27</v>
      </c>
      <c r="Q59" s="3"/>
      <c r="R59" s="7">
        <f t="shared" si="8"/>
        <v>-0.88138350700725776</v>
      </c>
      <c r="S59" s="3"/>
      <c r="T59" s="6">
        <v>-309087.53999999998</v>
      </c>
      <c r="U59" s="3"/>
      <c r="V59" s="7">
        <f t="shared" si="9"/>
        <v>-2.3335101718645546</v>
      </c>
      <c r="W59" s="3"/>
      <c r="X59" s="6">
        <f t="shared" si="10"/>
        <v>104603.26999999999</v>
      </c>
      <c r="Y59" s="3"/>
      <c r="Z59" s="7">
        <f t="shared" si="11"/>
        <v>-0.33842603296140633</v>
      </c>
    </row>
    <row r="60" spans="1:26" s="68" customFormat="1" ht="15" customHeight="1" outlineLevel="1" collapsed="1" x14ac:dyDescent="0.3">
      <c r="A60" s="20"/>
      <c r="B60" s="11" t="str">
        <f>CONCATENATE("     ","General                                           ")</f>
        <v xml:space="preserve">     General                                           </v>
      </c>
      <c r="C60" s="11"/>
      <c r="D60" s="2">
        <f>SUM(OSRRefD22_7x_0)</f>
        <v>0</v>
      </c>
      <c r="E60" s="2"/>
      <c r="F60" s="5">
        <f t="shared" si="4"/>
        <v>0</v>
      </c>
      <c r="G60" s="2"/>
      <c r="H60" s="2">
        <f>SUM(OSRRefH22_7x_0)</f>
        <v>0</v>
      </c>
      <c r="I60" s="2"/>
      <c r="J60" s="5">
        <f t="shared" si="5"/>
        <v>0</v>
      </c>
      <c r="K60" s="2"/>
      <c r="L60" s="2">
        <f t="shared" si="6"/>
        <v>0</v>
      </c>
      <c r="M60" s="2"/>
      <c r="N60" s="5">
        <f t="shared" si="7"/>
        <v>0</v>
      </c>
      <c r="O60" s="11"/>
      <c r="P60" s="2">
        <f>SUM(OSRRefP22_7x_0)</f>
        <v>91.31</v>
      </c>
      <c r="Q60" s="2"/>
      <c r="R60" s="5">
        <f t="shared" si="8"/>
        <v>3.9357124156705407E-4</v>
      </c>
      <c r="S60" s="2"/>
      <c r="T60" s="2">
        <f>SUM(OSRRefT22_7x_0)</f>
        <v>0</v>
      </c>
      <c r="U60" s="2"/>
      <c r="V60" s="5">
        <f t="shared" si="9"/>
        <v>0</v>
      </c>
      <c r="W60" s="2"/>
      <c r="X60" s="2">
        <f t="shared" si="10"/>
        <v>91.31</v>
      </c>
      <c r="Y60" s="2"/>
      <c r="Z60" s="5">
        <f t="shared" si="11"/>
        <v>0</v>
      </c>
    </row>
    <row r="61" spans="1:26" s="69" customFormat="1" ht="15" hidden="1" customHeight="1" outlineLevel="2" x14ac:dyDescent="0.3">
      <c r="A61" s="21"/>
      <c r="B61" s="9" t="str">
        <f>CONCATENATE("          ","6279"," - ","GENERAL EXPENSE")</f>
        <v xml:space="preserve">          6279 - GENERAL EXPENSE</v>
      </c>
      <c r="C61" s="9"/>
      <c r="D61" s="6"/>
      <c r="E61" s="3"/>
      <c r="F61" s="7">
        <f t="shared" si="4"/>
        <v>0</v>
      </c>
      <c r="G61" s="3"/>
      <c r="H61" s="6"/>
      <c r="I61" s="3"/>
      <c r="J61" s="7">
        <f t="shared" si="5"/>
        <v>0</v>
      </c>
      <c r="K61" s="3"/>
      <c r="L61" s="6">
        <f t="shared" si="6"/>
        <v>0</v>
      </c>
      <c r="M61" s="3"/>
      <c r="N61" s="7">
        <f t="shared" si="7"/>
        <v>0</v>
      </c>
      <c r="O61" s="9"/>
      <c r="P61" s="6">
        <v>91.31</v>
      </c>
      <c r="Q61" s="3"/>
      <c r="R61" s="7">
        <f t="shared" si="8"/>
        <v>3.9357124156705407E-4</v>
      </c>
      <c r="S61" s="3"/>
      <c r="T61" s="6"/>
      <c r="U61" s="3"/>
      <c r="V61" s="7">
        <f t="shared" si="9"/>
        <v>0</v>
      </c>
      <c r="W61" s="3"/>
      <c r="X61" s="6">
        <f t="shared" si="10"/>
        <v>91.31</v>
      </c>
      <c r="Y61" s="3"/>
      <c r="Z61" s="7">
        <f t="shared" si="11"/>
        <v>0</v>
      </c>
    </row>
    <row r="62" spans="1:26" s="68" customFormat="1" ht="15" customHeight="1" outlineLevel="1" collapsed="1" x14ac:dyDescent="0.3">
      <c r="A62" s="20"/>
      <c r="B62" s="11" t="str">
        <f>CONCATENATE("     ","Professional Services                             ")</f>
        <v xml:space="preserve">     Professional Services                             </v>
      </c>
      <c r="C62" s="11"/>
      <c r="D62" s="2">
        <f>SUM(OSRRefD22_8x_0)</f>
        <v>150</v>
      </c>
      <c r="E62" s="2"/>
      <c r="F62" s="5">
        <f t="shared" si="4"/>
        <v>1.7571110283316583E-2</v>
      </c>
      <c r="G62" s="2"/>
      <c r="H62" s="2">
        <f>SUM(OSRRefH22_8x_0)</f>
        <v>0</v>
      </c>
      <c r="I62" s="2"/>
      <c r="J62" s="5">
        <f t="shared" si="5"/>
        <v>0</v>
      </c>
      <c r="K62" s="2"/>
      <c r="L62" s="2">
        <f t="shared" si="6"/>
        <v>150</v>
      </c>
      <c r="M62" s="2"/>
      <c r="N62" s="5">
        <f t="shared" si="7"/>
        <v>0</v>
      </c>
      <c r="O62" s="11"/>
      <c r="P62" s="2">
        <f>SUM(OSRRefP22_8x_0)</f>
        <v>150</v>
      </c>
      <c r="Q62" s="2"/>
      <c r="R62" s="5">
        <f t="shared" si="8"/>
        <v>6.4654130144626122E-4</v>
      </c>
      <c r="S62" s="2"/>
      <c r="T62" s="2">
        <f>SUM(OSRRefT22_8x_0)</f>
        <v>0</v>
      </c>
      <c r="U62" s="2"/>
      <c r="V62" s="5">
        <f t="shared" si="9"/>
        <v>0</v>
      </c>
      <c r="W62" s="2"/>
      <c r="X62" s="2">
        <f t="shared" si="10"/>
        <v>150</v>
      </c>
      <c r="Y62" s="2"/>
      <c r="Z62" s="5">
        <f t="shared" si="11"/>
        <v>0</v>
      </c>
    </row>
    <row r="63" spans="1:26" s="69" customFormat="1" ht="15" hidden="1" customHeight="1" outlineLevel="2" x14ac:dyDescent="0.3">
      <c r="A63" s="21"/>
      <c r="B63" s="9" t="str">
        <f>CONCATENATE("          ","6336"," - ","PROFESSIONAL SERVICES")</f>
        <v xml:space="preserve">          6336 - PROFESSIONAL SERVICES</v>
      </c>
      <c r="C63" s="9"/>
      <c r="D63" s="6">
        <v>150</v>
      </c>
      <c r="E63" s="3"/>
      <c r="F63" s="7">
        <f t="shared" si="4"/>
        <v>1.7571110283316583E-2</v>
      </c>
      <c r="G63" s="3"/>
      <c r="H63" s="6"/>
      <c r="I63" s="3"/>
      <c r="J63" s="7">
        <f t="shared" si="5"/>
        <v>0</v>
      </c>
      <c r="K63" s="3"/>
      <c r="L63" s="6">
        <f t="shared" si="6"/>
        <v>150</v>
      </c>
      <c r="M63" s="3"/>
      <c r="N63" s="7">
        <f t="shared" si="7"/>
        <v>0</v>
      </c>
      <c r="O63" s="9"/>
      <c r="P63" s="6">
        <v>150</v>
      </c>
      <c r="Q63" s="3"/>
      <c r="R63" s="7">
        <f t="shared" si="8"/>
        <v>6.4654130144626122E-4</v>
      </c>
      <c r="S63" s="3"/>
      <c r="T63" s="6"/>
      <c r="U63" s="3"/>
      <c r="V63" s="7">
        <f t="shared" si="9"/>
        <v>0</v>
      </c>
      <c r="W63" s="3"/>
      <c r="X63" s="6">
        <f t="shared" si="10"/>
        <v>150</v>
      </c>
      <c r="Y63" s="3"/>
      <c r="Z63" s="7">
        <f t="shared" si="11"/>
        <v>0</v>
      </c>
    </row>
    <row r="64" spans="1:26" s="68" customFormat="1" ht="15" customHeight="1" outlineLevel="1" collapsed="1" x14ac:dyDescent="0.3">
      <c r="A64" s="20"/>
      <c r="B64" s="11" t="str">
        <f>CONCATENATE("     ","Repair and Maintenance                            ")</f>
        <v xml:space="preserve">     Repair and Maintenance                            </v>
      </c>
      <c r="C64" s="11"/>
      <c r="D64" s="2">
        <f>SUM(OSRRefD22_9x_0)</f>
        <v>2089.2200000000003</v>
      </c>
      <c r="E64" s="2"/>
      <c r="F64" s="5">
        <f t="shared" si="4"/>
        <v>0.24473276684073783</v>
      </c>
      <c r="G64" s="2"/>
      <c r="H64" s="2">
        <f>SUM(OSRRefH22_9x_0)</f>
        <v>2435.08</v>
      </c>
      <c r="I64" s="2"/>
      <c r="J64" s="5">
        <f t="shared" si="5"/>
        <v>0.50599695788415022</v>
      </c>
      <c r="K64" s="2"/>
      <c r="L64" s="2">
        <f t="shared" si="6"/>
        <v>-345.85999999999967</v>
      </c>
      <c r="M64" s="2"/>
      <c r="N64" s="5">
        <f t="shared" si="7"/>
        <v>-0.14203229462687045</v>
      </c>
      <c r="O64" s="11"/>
      <c r="P64" s="2">
        <f>SUM(OSRRefP22_9x_0)</f>
        <v>33448.79</v>
      </c>
      <c r="Q64" s="2"/>
      <c r="R64" s="5">
        <f t="shared" si="8"/>
        <v>0.14417349478935124</v>
      </c>
      <c r="S64" s="2"/>
      <c r="T64" s="2">
        <f>SUM(OSRRefT22_9x_0)</f>
        <v>37311.89</v>
      </c>
      <c r="U64" s="2"/>
      <c r="V64" s="5">
        <f t="shared" si="9"/>
        <v>0.28169260671747348</v>
      </c>
      <c r="W64" s="2"/>
      <c r="X64" s="2">
        <f t="shared" si="10"/>
        <v>-3863.0999999999985</v>
      </c>
      <c r="Y64" s="2"/>
      <c r="Z64" s="5">
        <f t="shared" si="11"/>
        <v>-0.10353536098010577</v>
      </c>
    </row>
    <row r="65" spans="1:26" s="69" customFormat="1" ht="15" hidden="1" customHeight="1" outlineLevel="2" x14ac:dyDescent="0.3">
      <c r="A65" s="21"/>
      <c r="B65" s="9" t="str">
        <f>CONCATENATE("          ","6371"," - ","COMPUTER SOFTWARE MAINTENANCE")</f>
        <v xml:space="preserve">          6371 - COMPUTER SOFTWARE MAINTENANCE</v>
      </c>
      <c r="C65" s="9"/>
      <c r="D65" s="6"/>
      <c r="E65" s="3"/>
      <c r="F65" s="7">
        <f t="shared" si="4"/>
        <v>0</v>
      </c>
      <c r="G65" s="3"/>
      <c r="H65" s="6"/>
      <c r="I65" s="3"/>
      <c r="J65" s="7">
        <f t="shared" si="5"/>
        <v>0</v>
      </c>
      <c r="K65" s="3"/>
      <c r="L65" s="6">
        <f t="shared" si="6"/>
        <v>0</v>
      </c>
      <c r="M65" s="3"/>
      <c r="N65" s="7">
        <f t="shared" si="7"/>
        <v>0</v>
      </c>
      <c r="O65" s="9"/>
      <c r="P65" s="6"/>
      <c r="Q65" s="3"/>
      <c r="R65" s="7">
        <f t="shared" si="8"/>
        <v>0</v>
      </c>
      <c r="S65" s="3"/>
      <c r="T65" s="6">
        <v>7.69</v>
      </c>
      <c r="U65" s="3"/>
      <c r="V65" s="7">
        <f t="shared" si="9"/>
        <v>5.8056993244174205E-5</v>
      </c>
      <c r="W65" s="3"/>
      <c r="X65" s="6">
        <f t="shared" si="10"/>
        <v>-7.69</v>
      </c>
      <c r="Y65" s="3"/>
      <c r="Z65" s="7">
        <f t="shared" si="11"/>
        <v>-1</v>
      </c>
    </row>
    <row r="66" spans="1:26" s="69" customFormat="1" ht="15" hidden="1" customHeight="1" outlineLevel="2" x14ac:dyDescent="0.3">
      <c r="A66" s="21"/>
      <c r="B66" s="9" t="str">
        <f>CONCATENATE("          ","6373"," - ","MAINTENANCE CONTRACTS")</f>
        <v xml:space="preserve">          6373 - MAINTENANCE CONTRACTS</v>
      </c>
      <c r="C66" s="9"/>
      <c r="D66" s="6">
        <v>513.59</v>
      </c>
      <c r="E66" s="3"/>
      <c r="F66" s="7">
        <f t="shared" ref="F66:F82" si="12">IF(D$12=0,0,D66/D$12)</f>
        <v>6.0162310202723765E-2</v>
      </c>
      <c r="G66" s="3"/>
      <c r="H66" s="6">
        <v>720.33</v>
      </c>
      <c r="I66" s="3"/>
      <c r="J66" s="7">
        <f t="shared" ref="J66:J82" si="13">IF(H$12=0,0,H66/H$12)</f>
        <v>0.14968082718953382</v>
      </c>
      <c r="K66" s="3"/>
      <c r="L66" s="6">
        <f t="shared" ref="L66:L82" si="14">+D66-H66</f>
        <v>-206.74</v>
      </c>
      <c r="M66" s="3"/>
      <c r="N66" s="7">
        <f t="shared" ref="N66:N82" si="15">IF(H66=0,0,L66/H66)</f>
        <v>-0.28700734385628807</v>
      </c>
      <c r="O66" s="9"/>
      <c r="P66" s="6">
        <v>11056.42</v>
      </c>
      <c r="Q66" s="3"/>
      <c r="R66" s="7">
        <f t="shared" ref="R66:R82" si="16">IF(P$12=0,0,P66/P$12)</f>
        <v>4.7656214507576476E-2</v>
      </c>
      <c r="S66" s="3"/>
      <c r="T66" s="6">
        <v>32072.67</v>
      </c>
      <c r="U66" s="3"/>
      <c r="V66" s="7">
        <f t="shared" ref="V66:V82" si="17">IF(T$12=0,0,T66/T$12)</f>
        <v>0.24213820357771504</v>
      </c>
      <c r="W66" s="3"/>
      <c r="X66" s="6">
        <f t="shared" ref="X66:X82" si="18">+P66-T66</f>
        <v>-21016.25</v>
      </c>
      <c r="Y66" s="3"/>
      <c r="Z66" s="7">
        <f t="shared" ref="Z66:Z82" si="19">IF(T66=0,0,X66/T66)</f>
        <v>-0.65526973588416559</v>
      </c>
    </row>
    <row r="67" spans="1:26" s="69" customFormat="1" ht="15" hidden="1" customHeight="1" outlineLevel="2" x14ac:dyDescent="0.3">
      <c r="A67" s="21"/>
      <c r="B67" s="9" t="str">
        <f>CONCATENATE("          ","6375"," - ","OUTSIDE REPAIRS &amp; MAINTENANCE")</f>
        <v xml:space="preserve">          6375 - OUTSIDE REPAIRS &amp; MAINTENANCE</v>
      </c>
      <c r="C67" s="9"/>
      <c r="D67" s="6">
        <v>1575.63</v>
      </c>
      <c r="E67" s="3"/>
      <c r="F67" s="7">
        <f t="shared" si="12"/>
        <v>0.18457045663801405</v>
      </c>
      <c r="G67" s="3"/>
      <c r="H67" s="6">
        <v>1714.75</v>
      </c>
      <c r="I67" s="3"/>
      <c r="J67" s="7">
        <f t="shared" si="13"/>
        <v>0.35631613069461648</v>
      </c>
      <c r="K67" s="3"/>
      <c r="L67" s="6">
        <f t="shared" si="14"/>
        <v>-139.11999999999989</v>
      </c>
      <c r="M67" s="3"/>
      <c r="N67" s="7">
        <f t="shared" si="15"/>
        <v>-8.1131360256597104E-2</v>
      </c>
      <c r="O67" s="9"/>
      <c r="P67" s="6">
        <v>22392.37</v>
      </c>
      <c r="Q67" s="3"/>
      <c r="R67" s="7">
        <f t="shared" si="16"/>
        <v>9.6517280281774767E-2</v>
      </c>
      <c r="S67" s="3"/>
      <c r="T67" s="6">
        <v>5231.53</v>
      </c>
      <c r="U67" s="3"/>
      <c r="V67" s="7">
        <f t="shared" si="17"/>
        <v>3.9496346146514261E-2</v>
      </c>
      <c r="W67" s="3"/>
      <c r="X67" s="6">
        <f t="shared" si="18"/>
        <v>17160.84</v>
      </c>
      <c r="Y67" s="3"/>
      <c r="Z67" s="7">
        <f t="shared" si="19"/>
        <v>3.2802717369488468</v>
      </c>
    </row>
    <row r="68" spans="1:26" s="68" customFormat="1" ht="15" customHeight="1" outlineLevel="1" collapsed="1" x14ac:dyDescent="0.3">
      <c r="A68" s="20"/>
      <c r="B68" s="11" t="str">
        <f>CONCATENATE("     ","Royalty &amp; Commissions                             ")</f>
        <v xml:space="preserve">     Royalty &amp; Commissions                             </v>
      </c>
      <c r="C68" s="11"/>
      <c r="D68" s="2">
        <f>SUM(OSRRefD22_10x_0)</f>
        <v>395.53</v>
      </c>
      <c r="E68" s="2"/>
      <c r="F68" s="5">
        <f t="shared" si="12"/>
        <v>4.6332675002401381E-2</v>
      </c>
      <c r="G68" s="2"/>
      <c r="H68" s="2">
        <f>SUM(OSRRefH22_10x_0)</f>
        <v>2549.25</v>
      </c>
      <c r="I68" s="2"/>
      <c r="J68" s="5">
        <f t="shared" si="13"/>
        <v>0.52972089002668088</v>
      </c>
      <c r="K68" s="2"/>
      <c r="L68" s="2">
        <f t="shared" si="14"/>
        <v>-2153.7200000000003</v>
      </c>
      <c r="M68" s="2"/>
      <c r="N68" s="5">
        <f t="shared" si="15"/>
        <v>-0.84484456212611558</v>
      </c>
      <c r="O68" s="11"/>
      <c r="P68" s="2">
        <f>SUM(OSRRefP22_10x_0)</f>
        <v>13706.99</v>
      </c>
      <c r="Q68" s="2"/>
      <c r="R68" s="5">
        <f t="shared" si="16"/>
        <v>5.9080901023405914E-2</v>
      </c>
      <c r="S68" s="2"/>
      <c r="T68" s="2">
        <f>SUM(OSRRefT22_10x_0)</f>
        <v>16177.12</v>
      </c>
      <c r="U68" s="2"/>
      <c r="V68" s="5">
        <f t="shared" si="17"/>
        <v>0.1221319826463193</v>
      </c>
      <c r="W68" s="2"/>
      <c r="X68" s="2">
        <f t="shared" si="18"/>
        <v>-2470.130000000001</v>
      </c>
      <c r="Y68" s="2"/>
      <c r="Z68" s="5">
        <f t="shared" si="19"/>
        <v>-0.15269281553206016</v>
      </c>
    </row>
    <row r="69" spans="1:26" s="69" customFormat="1" ht="15" hidden="1" customHeight="1" outlineLevel="2" x14ac:dyDescent="0.3">
      <c r="A69" s="21"/>
      <c r="B69" s="9" t="str">
        <f>CONCATENATE("          ","6259"," - ","ROYALTY &amp; COMMISSIONS")</f>
        <v xml:space="preserve">          6259 - ROYALTY &amp; COMMISSIONS</v>
      </c>
      <c r="C69" s="9"/>
      <c r="D69" s="6">
        <v>395.53</v>
      </c>
      <c r="E69" s="3"/>
      <c r="F69" s="7">
        <f t="shared" si="12"/>
        <v>4.6332675002401381E-2</v>
      </c>
      <c r="G69" s="3"/>
      <c r="H69" s="6">
        <v>2549.25</v>
      </c>
      <c r="I69" s="3"/>
      <c r="J69" s="7">
        <f t="shared" si="13"/>
        <v>0.52972089002668088</v>
      </c>
      <c r="K69" s="3"/>
      <c r="L69" s="6">
        <f t="shared" si="14"/>
        <v>-2153.7200000000003</v>
      </c>
      <c r="M69" s="3"/>
      <c r="N69" s="7">
        <f t="shared" si="15"/>
        <v>-0.84484456212611558</v>
      </c>
      <c r="O69" s="9"/>
      <c r="P69" s="6">
        <v>13706.99</v>
      </c>
      <c r="Q69" s="3"/>
      <c r="R69" s="7">
        <f t="shared" si="16"/>
        <v>5.9080901023405914E-2</v>
      </c>
      <c r="S69" s="3"/>
      <c r="T69" s="6">
        <v>16177.12</v>
      </c>
      <c r="U69" s="3"/>
      <c r="V69" s="7">
        <f t="shared" si="17"/>
        <v>0.1221319826463193</v>
      </c>
      <c r="W69" s="3"/>
      <c r="X69" s="6">
        <f t="shared" si="18"/>
        <v>-2470.130000000001</v>
      </c>
      <c r="Y69" s="3"/>
      <c r="Z69" s="7">
        <f t="shared" si="19"/>
        <v>-0.15269281553206016</v>
      </c>
    </row>
    <row r="70" spans="1:26" s="68" customFormat="1" ht="15" customHeight="1" outlineLevel="1" collapsed="1" x14ac:dyDescent="0.3">
      <c r="A70" s="20"/>
      <c r="B70" s="11" t="str">
        <f>CONCATENATE("     ","Subscriptions &amp; Dues                              ")</f>
        <v xml:space="preserve">     Subscriptions &amp; Dues                              </v>
      </c>
      <c r="C70" s="11"/>
      <c r="D70" s="2">
        <f>SUM(OSRRefD22_11x_0)</f>
        <v>0</v>
      </c>
      <c r="E70" s="2"/>
      <c r="F70" s="5">
        <f t="shared" si="12"/>
        <v>0</v>
      </c>
      <c r="G70" s="2"/>
      <c r="H70" s="2">
        <f>SUM(OSRRefH22_11x_0)</f>
        <v>0</v>
      </c>
      <c r="I70" s="2"/>
      <c r="J70" s="5">
        <f t="shared" si="13"/>
        <v>0</v>
      </c>
      <c r="K70" s="2"/>
      <c r="L70" s="2">
        <f t="shared" si="14"/>
        <v>0</v>
      </c>
      <c r="M70" s="2"/>
      <c r="N70" s="5">
        <f t="shared" si="15"/>
        <v>0</v>
      </c>
      <c r="O70" s="11"/>
      <c r="P70" s="2">
        <f>SUM(OSRRefP22_11x_0)</f>
        <v>5.28</v>
      </c>
      <c r="Q70" s="2"/>
      <c r="R70" s="5">
        <f t="shared" si="16"/>
        <v>2.2758253810908395E-5</v>
      </c>
      <c r="S70" s="2"/>
      <c r="T70" s="2">
        <f>SUM(OSRRefT22_11x_0)</f>
        <v>31.75</v>
      </c>
      <c r="U70" s="2"/>
      <c r="V70" s="5">
        <f t="shared" si="17"/>
        <v>2.3970215026040715E-4</v>
      </c>
      <c r="W70" s="2"/>
      <c r="X70" s="2">
        <f t="shared" si="18"/>
        <v>-26.47</v>
      </c>
      <c r="Y70" s="2"/>
      <c r="Z70" s="5">
        <f t="shared" si="19"/>
        <v>-0.83370078740157472</v>
      </c>
    </row>
    <row r="71" spans="1:26" s="69" customFormat="1" ht="15" hidden="1" customHeight="1" outlineLevel="2" x14ac:dyDescent="0.3">
      <c r="A71" s="21"/>
      <c r="B71" s="9" t="str">
        <f>CONCATENATE("          ","6258"," - ","MEMBERSHIP DUES")</f>
        <v xml:space="preserve">          6258 - MEMBERSHIP DUES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5.28</v>
      </c>
      <c r="Q71" s="3"/>
      <c r="R71" s="7">
        <f t="shared" si="16"/>
        <v>2.2758253810908395E-5</v>
      </c>
      <c r="S71" s="3"/>
      <c r="T71" s="6">
        <v>31.75</v>
      </c>
      <c r="U71" s="3"/>
      <c r="V71" s="7">
        <f t="shared" si="17"/>
        <v>2.3970215026040715E-4</v>
      </c>
      <c r="W71" s="3"/>
      <c r="X71" s="6">
        <f t="shared" si="18"/>
        <v>-26.47</v>
      </c>
      <c r="Y71" s="3"/>
      <c r="Z71" s="7">
        <f t="shared" si="19"/>
        <v>-0.83370078740157472</v>
      </c>
    </row>
    <row r="72" spans="1:26" s="68" customFormat="1" ht="15" customHeight="1" outlineLevel="1" collapsed="1" x14ac:dyDescent="0.3">
      <c r="A72" s="20"/>
      <c r="B72" s="11" t="str">
        <f>CONCATENATE("     ","Supplies                                          ")</f>
        <v xml:space="preserve">     Supplies                                          </v>
      </c>
      <c r="C72" s="11"/>
      <c r="D72" s="2">
        <f>SUM(OSRRefD22_12x_0)</f>
        <v>15341.210000000001</v>
      </c>
      <c r="E72" s="2"/>
      <c r="F72" s="5">
        <f t="shared" si="12"/>
        <v>1.7970806185967947</v>
      </c>
      <c r="G72" s="2"/>
      <c r="H72" s="2">
        <f>SUM(OSRRefH22_12x_0)</f>
        <v>9540.7799999999988</v>
      </c>
      <c r="I72" s="2"/>
      <c r="J72" s="5">
        <f t="shared" si="13"/>
        <v>1.9825244574477812</v>
      </c>
      <c r="K72" s="2"/>
      <c r="L72" s="2">
        <f t="shared" si="14"/>
        <v>5800.4300000000021</v>
      </c>
      <c r="M72" s="2"/>
      <c r="N72" s="5">
        <f t="shared" si="15"/>
        <v>0.60796182282790323</v>
      </c>
      <c r="O72" s="11"/>
      <c r="P72" s="2">
        <f>SUM(OSRRefP22_12x_0)</f>
        <v>69219.22</v>
      </c>
      <c r="Q72" s="2"/>
      <c r="R72" s="5">
        <f t="shared" si="16"/>
        <v>0.29835389722596717</v>
      </c>
      <c r="S72" s="2"/>
      <c r="T72" s="2">
        <f>SUM(OSRRefT22_12x_0)</f>
        <v>51967.22</v>
      </c>
      <c r="U72" s="2"/>
      <c r="V72" s="5">
        <f t="shared" si="17"/>
        <v>0.39233557093088617</v>
      </c>
      <c r="W72" s="2"/>
      <c r="X72" s="2">
        <f t="shared" si="18"/>
        <v>17252</v>
      </c>
      <c r="Y72" s="2"/>
      <c r="Z72" s="5">
        <f t="shared" si="19"/>
        <v>0.33197850491136527</v>
      </c>
    </row>
    <row r="73" spans="1:26" s="69" customFormat="1" ht="15" hidden="1" customHeight="1" outlineLevel="2" x14ac:dyDescent="0.3">
      <c r="A73" s="21"/>
      <c r="B73" s="9" t="str">
        <f>CONCATENATE("          ","6234"," - ","EXPENDABLE SUPPLIES &amp; EQUIPMEN")</f>
        <v xml:space="preserve">          6234 - EXPENDABLE SUPPLIES &amp; EQUIPMEN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>
        <v>4993.3100000000004</v>
      </c>
      <c r="Q73" s="3"/>
      <c r="R73" s="7">
        <f t="shared" si="16"/>
        <v>2.1522540972830871E-2</v>
      </c>
      <c r="S73" s="3"/>
      <c r="T73" s="6"/>
      <c r="U73" s="3"/>
      <c r="V73" s="7">
        <f t="shared" si="17"/>
        <v>0</v>
      </c>
      <c r="W73" s="3"/>
      <c r="X73" s="6">
        <f t="shared" si="18"/>
        <v>4993.3100000000004</v>
      </c>
      <c r="Y73" s="3"/>
      <c r="Z73" s="7">
        <f t="shared" si="19"/>
        <v>0</v>
      </c>
    </row>
    <row r="74" spans="1:26" s="69" customFormat="1" ht="15" hidden="1" customHeight="1" outlineLevel="2" x14ac:dyDescent="0.3">
      <c r="A74" s="21"/>
      <c r="B74" s="9" t="str">
        <f>CONCATENATE("          ","6235"," - ","COVID-19 EXPENSES")</f>
        <v xml:space="preserve">          6235 - COVID-19 EXPENSES</v>
      </c>
      <c r="C74" s="9"/>
      <c r="D74" s="6"/>
      <c r="E74" s="3"/>
      <c r="F74" s="7">
        <f t="shared" si="12"/>
        <v>0</v>
      </c>
      <c r="G74" s="3"/>
      <c r="H74" s="6"/>
      <c r="I74" s="3"/>
      <c r="J74" s="7">
        <f t="shared" si="13"/>
        <v>0</v>
      </c>
      <c r="K74" s="3"/>
      <c r="L74" s="6">
        <f t="shared" si="14"/>
        <v>0</v>
      </c>
      <c r="M74" s="3"/>
      <c r="N74" s="7">
        <f t="shared" si="15"/>
        <v>0</v>
      </c>
      <c r="O74" s="9"/>
      <c r="P74" s="6"/>
      <c r="Q74" s="3"/>
      <c r="R74" s="7">
        <f t="shared" si="16"/>
        <v>0</v>
      </c>
      <c r="S74" s="3"/>
      <c r="T74" s="6">
        <v>310.91000000000003</v>
      </c>
      <c r="U74" s="3"/>
      <c r="V74" s="7">
        <f t="shared" si="17"/>
        <v>2.3472691507862424E-3</v>
      </c>
      <c r="W74" s="3"/>
      <c r="X74" s="6">
        <f t="shared" si="18"/>
        <v>-310.91000000000003</v>
      </c>
      <c r="Y74" s="3"/>
      <c r="Z74" s="7">
        <f t="shared" si="19"/>
        <v>-1</v>
      </c>
    </row>
    <row r="75" spans="1:26" s="69" customFormat="1" ht="15" hidden="1" customHeight="1" outlineLevel="2" x14ac:dyDescent="0.3">
      <c r="A75" s="21"/>
      <c r="B75" s="9" t="str">
        <f>CONCATENATE("          ","6241"," - ","OFFICE EXPENSE")</f>
        <v xml:space="preserve">          6241 - OFFICE EXPENSE</v>
      </c>
      <c r="C75" s="9"/>
      <c r="D75" s="6">
        <v>3343.05</v>
      </c>
      <c r="E75" s="3"/>
      <c r="F75" s="7">
        <f t="shared" si="12"/>
        <v>0.39160733488427668</v>
      </c>
      <c r="G75" s="3"/>
      <c r="H75" s="6">
        <v>56.39</v>
      </c>
      <c r="I75" s="3"/>
      <c r="J75" s="7">
        <f t="shared" si="13"/>
        <v>1.1717548686321286E-2</v>
      </c>
      <c r="K75" s="3"/>
      <c r="L75" s="6">
        <f t="shared" si="14"/>
        <v>3286.6600000000003</v>
      </c>
      <c r="M75" s="3"/>
      <c r="N75" s="7">
        <f t="shared" si="15"/>
        <v>58.284447597091685</v>
      </c>
      <c r="O75" s="9"/>
      <c r="P75" s="6">
        <v>14366.35</v>
      </c>
      <c r="Q75" s="3"/>
      <c r="R75" s="7">
        <f t="shared" si="16"/>
        <v>6.1922924173549963E-2</v>
      </c>
      <c r="S75" s="3"/>
      <c r="T75" s="6">
        <v>4732.3999999999996</v>
      </c>
      <c r="U75" s="3"/>
      <c r="V75" s="7">
        <f t="shared" si="17"/>
        <v>3.5728077350940184E-2</v>
      </c>
      <c r="W75" s="3"/>
      <c r="X75" s="6">
        <f t="shared" si="18"/>
        <v>9633.9500000000007</v>
      </c>
      <c r="Y75" s="3"/>
      <c r="Z75" s="7">
        <f t="shared" si="19"/>
        <v>2.0357429634012343</v>
      </c>
    </row>
    <row r="76" spans="1:26" s="69" customFormat="1" ht="15" hidden="1" customHeight="1" outlineLevel="2" x14ac:dyDescent="0.3">
      <c r="A76" s="21"/>
      <c r="B76" s="9" t="str">
        <f>CONCATENATE("          ","6243"," - ","PAPER SUPPLIES")</f>
        <v xml:space="preserve">          6243 - PAPER SUPPLIES</v>
      </c>
      <c r="C76" s="9"/>
      <c r="D76" s="6">
        <v>742</v>
      </c>
      <c r="E76" s="3"/>
      <c r="F76" s="7">
        <f t="shared" si="12"/>
        <v>8.6918425534806026E-2</v>
      </c>
      <c r="G76" s="3"/>
      <c r="H76" s="6">
        <v>548.02</v>
      </c>
      <c r="I76" s="3"/>
      <c r="J76" s="7">
        <f t="shared" si="13"/>
        <v>0.11387570546334085</v>
      </c>
      <c r="K76" s="3"/>
      <c r="L76" s="6">
        <f t="shared" si="14"/>
        <v>193.98000000000002</v>
      </c>
      <c r="M76" s="3"/>
      <c r="N76" s="7">
        <f t="shared" si="15"/>
        <v>0.35396518375241787</v>
      </c>
      <c r="O76" s="9"/>
      <c r="P76" s="6">
        <v>10832.94</v>
      </c>
      <c r="Q76" s="3"/>
      <c r="R76" s="7">
        <f t="shared" si="16"/>
        <v>4.6692954173928408E-2</v>
      </c>
      <c r="S76" s="3"/>
      <c r="T76" s="6">
        <v>7230.6</v>
      </c>
      <c r="U76" s="3"/>
      <c r="V76" s="7">
        <f t="shared" si="17"/>
        <v>5.4588672997571655E-2</v>
      </c>
      <c r="W76" s="3"/>
      <c r="X76" s="6">
        <f t="shared" si="18"/>
        <v>3602.34</v>
      </c>
      <c r="Y76" s="3"/>
      <c r="Z76" s="7">
        <f t="shared" si="19"/>
        <v>0.49820761762509336</v>
      </c>
    </row>
    <row r="77" spans="1:26" s="69" customFormat="1" ht="15" hidden="1" customHeight="1" outlineLevel="2" x14ac:dyDescent="0.3">
      <c r="A77" s="21"/>
      <c r="B77" s="9" t="str">
        <f>CONCATENATE("          ","6245"," - ","PRINTING")</f>
        <v xml:space="preserve">          6245 - PRINTING</v>
      </c>
      <c r="C77" s="9"/>
      <c r="D77" s="6">
        <v>4517.24</v>
      </c>
      <c r="E77" s="3"/>
      <c r="F77" s="7">
        <f t="shared" si="12"/>
        <v>0.52915281477472664</v>
      </c>
      <c r="G77" s="3"/>
      <c r="H77" s="6">
        <v>2921.89</v>
      </c>
      <c r="I77" s="3"/>
      <c r="J77" s="7">
        <f t="shared" si="13"/>
        <v>0.60715354373249331</v>
      </c>
      <c r="K77" s="3"/>
      <c r="L77" s="6">
        <f t="shared" si="14"/>
        <v>1595.35</v>
      </c>
      <c r="M77" s="3"/>
      <c r="N77" s="7">
        <f t="shared" si="15"/>
        <v>0.54599933604618922</v>
      </c>
      <c r="O77" s="9"/>
      <c r="P77" s="6">
        <v>14566.65</v>
      </c>
      <c r="Q77" s="3"/>
      <c r="R77" s="7">
        <f t="shared" si="16"/>
        <v>6.2786272324747872E-2</v>
      </c>
      <c r="S77" s="3"/>
      <c r="T77" s="6">
        <v>11937.61</v>
      </c>
      <c r="U77" s="3"/>
      <c r="V77" s="7">
        <f t="shared" si="17"/>
        <v>9.0125064125043758E-2</v>
      </c>
      <c r="W77" s="3"/>
      <c r="X77" s="6">
        <f t="shared" si="18"/>
        <v>2629.0399999999991</v>
      </c>
      <c r="Y77" s="3"/>
      <c r="Z77" s="7">
        <f t="shared" si="19"/>
        <v>0.22023168791743061</v>
      </c>
    </row>
    <row r="78" spans="1:26" s="69" customFormat="1" ht="15" hidden="1" customHeight="1" outlineLevel="2" x14ac:dyDescent="0.3">
      <c r="A78" s="21"/>
      <c r="B78" s="9" t="str">
        <f>CONCATENATE("          ","6247"," - ","STORE SUPPLIES")</f>
        <v xml:space="preserve">          6247 - STORE SUPPLIES</v>
      </c>
      <c r="C78" s="9"/>
      <c r="D78" s="6">
        <v>6738.92</v>
      </c>
      <c r="E78" s="3"/>
      <c r="F78" s="7">
        <f t="shared" si="12"/>
        <v>0.78940204340298525</v>
      </c>
      <c r="G78" s="3"/>
      <c r="H78" s="6">
        <v>6014.48</v>
      </c>
      <c r="I78" s="3"/>
      <c r="J78" s="7">
        <f t="shared" si="13"/>
        <v>1.2497776595656258</v>
      </c>
      <c r="K78" s="3"/>
      <c r="L78" s="6">
        <f t="shared" si="14"/>
        <v>724.44000000000051</v>
      </c>
      <c r="M78" s="3"/>
      <c r="N78" s="7">
        <f t="shared" si="15"/>
        <v>0.12044931565156099</v>
      </c>
      <c r="O78" s="9"/>
      <c r="P78" s="6">
        <v>24459.97</v>
      </c>
      <c r="Q78" s="3"/>
      <c r="R78" s="7">
        <f t="shared" si="16"/>
        <v>0.10542920558091004</v>
      </c>
      <c r="S78" s="3"/>
      <c r="T78" s="6">
        <v>27755.7</v>
      </c>
      <c r="U78" s="3"/>
      <c r="V78" s="7">
        <f t="shared" si="17"/>
        <v>0.20954648730654435</v>
      </c>
      <c r="W78" s="3"/>
      <c r="X78" s="6">
        <f t="shared" si="18"/>
        <v>-3295.7299999999996</v>
      </c>
      <c r="Y78" s="3"/>
      <c r="Z78" s="7">
        <f t="shared" si="19"/>
        <v>-0.11874065507265172</v>
      </c>
    </row>
    <row r="79" spans="1:26" s="68" customFormat="1" ht="15" customHeight="1" outlineLevel="1" collapsed="1" x14ac:dyDescent="0.3">
      <c r="A79" s="20"/>
      <c r="B79" s="11" t="str">
        <f>CONCATENATE("     ","Telephone/Data Lines                              ")</f>
        <v xml:space="preserve">     Telephone/Data Lines                              </v>
      </c>
      <c r="C79" s="11"/>
      <c r="D79" s="2">
        <f>SUM(OSRRefD22_13x_0)</f>
        <v>59.1</v>
      </c>
      <c r="E79" s="2"/>
      <c r="F79" s="5">
        <f t="shared" si="12"/>
        <v>6.9230174516267335E-3</v>
      </c>
      <c r="G79" s="2"/>
      <c r="H79" s="2">
        <f>SUM(OSRRefH22_13x_0)</f>
        <v>234.25</v>
      </c>
      <c r="I79" s="2"/>
      <c r="J79" s="5">
        <f t="shared" si="13"/>
        <v>4.8675931544081591E-2</v>
      </c>
      <c r="K79" s="2"/>
      <c r="L79" s="2">
        <f t="shared" si="14"/>
        <v>-175.15</v>
      </c>
      <c r="M79" s="2"/>
      <c r="N79" s="5">
        <f t="shared" si="15"/>
        <v>-0.74770544290288155</v>
      </c>
      <c r="O79" s="11"/>
      <c r="P79" s="2">
        <f>SUM(OSRRefP22_13x_0)</f>
        <v>1315.4</v>
      </c>
      <c r="Q79" s="2"/>
      <c r="R79" s="5">
        <f t="shared" si="16"/>
        <v>5.6697361861494135E-3</v>
      </c>
      <c r="S79" s="2"/>
      <c r="T79" s="2">
        <f>SUM(OSRRefT22_13x_0)</f>
        <v>1977.6</v>
      </c>
      <c r="U79" s="2"/>
      <c r="V79" s="5">
        <f t="shared" si="17"/>
        <v>1.4930235349763185E-2</v>
      </c>
      <c r="W79" s="2"/>
      <c r="X79" s="2">
        <f t="shared" si="18"/>
        <v>-662.19999999999982</v>
      </c>
      <c r="Y79" s="2"/>
      <c r="Z79" s="5">
        <f t="shared" si="19"/>
        <v>-0.33485032362459538</v>
      </c>
    </row>
    <row r="80" spans="1:26" s="69" customFormat="1" ht="15" hidden="1" customHeight="1" outlineLevel="2" x14ac:dyDescent="0.3">
      <c r="A80" s="21"/>
      <c r="B80" s="9" t="str">
        <f>CONCATENATE("          ","6309"," - ","TELEPHONE")</f>
        <v xml:space="preserve">          6309 - TELEPHONE</v>
      </c>
      <c r="C80" s="9"/>
      <c r="D80" s="6">
        <v>59.1</v>
      </c>
      <c r="E80" s="3"/>
      <c r="F80" s="7">
        <f t="shared" si="12"/>
        <v>6.9230174516267335E-3</v>
      </c>
      <c r="G80" s="3"/>
      <c r="H80" s="6">
        <v>234.25</v>
      </c>
      <c r="I80" s="3"/>
      <c r="J80" s="7">
        <f t="shared" si="13"/>
        <v>4.8675931544081591E-2</v>
      </c>
      <c r="K80" s="3"/>
      <c r="L80" s="6">
        <f t="shared" si="14"/>
        <v>-175.15</v>
      </c>
      <c r="M80" s="3"/>
      <c r="N80" s="7">
        <f t="shared" si="15"/>
        <v>-0.74770544290288155</v>
      </c>
      <c r="O80" s="9"/>
      <c r="P80" s="6">
        <v>1315.4</v>
      </c>
      <c r="Q80" s="3"/>
      <c r="R80" s="7">
        <f t="shared" si="16"/>
        <v>5.6697361861494135E-3</v>
      </c>
      <c r="S80" s="3"/>
      <c r="T80" s="6">
        <v>1977.6</v>
      </c>
      <c r="U80" s="3"/>
      <c r="V80" s="7">
        <f t="shared" si="17"/>
        <v>1.4930235349763185E-2</v>
      </c>
      <c r="W80" s="3"/>
      <c r="X80" s="6">
        <f t="shared" si="18"/>
        <v>-662.19999999999982</v>
      </c>
      <c r="Y80" s="3"/>
      <c r="Z80" s="7">
        <f t="shared" si="19"/>
        <v>-0.33485032362459538</v>
      </c>
    </row>
    <row r="81" spans="1:26" s="68" customFormat="1" ht="15" customHeight="1" outlineLevel="1" collapsed="1" x14ac:dyDescent="0.3">
      <c r="A81" s="20"/>
      <c r="B81" s="11" t="str">
        <f>CONCATENATE("     ","Utilities                                         ")</f>
        <v xml:space="preserve">     Utilities                                         </v>
      </c>
      <c r="C81" s="11"/>
      <c r="D81" s="2">
        <f>SUM(OSRRefD22_14x_0)</f>
        <v>0</v>
      </c>
      <c r="E81" s="2"/>
      <c r="F81" s="5">
        <f t="shared" si="12"/>
        <v>0</v>
      </c>
      <c r="G81" s="2"/>
      <c r="H81" s="2">
        <f>SUM(OSRRefH22_14x_0)</f>
        <v>0</v>
      </c>
      <c r="I81" s="2"/>
      <c r="J81" s="5">
        <f t="shared" si="13"/>
        <v>0</v>
      </c>
      <c r="K81" s="2"/>
      <c r="L81" s="2">
        <f t="shared" si="14"/>
        <v>0</v>
      </c>
      <c r="M81" s="2"/>
      <c r="N81" s="5">
        <f t="shared" si="15"/>
        <v>0</v>
      </c>
      <c r="O81" s="11"/>
      <c r="P81" s="2">
        <f>SUM(OSRRefP22_14x_0)</f>
        <v>0</v>
      </c>
      <c r="Q81" s="2"/>
      <c r="R81" s="5">
        <f t="shared" si="16"/>
        <v>0</v>
      </c>
      <c r="S81" s="2"/>
      <c r="T81" s="2">
        <f>SUM(OSRRefT22_14x_0)</f>
        <v>15.02</v>
      </c>
      <c r="U81" s="2"/>
      <c r="V81" s="5">
        <f t="shared" si="17"/>
        <v>1.1339610383972647E-4</v>
      </c>
      <c r="W81" s="2"/>
      <c r="X81" s="2">
        <f t="shared" si="18"/>
        <v>-15.02</v>
      </c>
      <c r="Y81" s="2"/>
      <c r="Z81" s="5">
        <f t="shared" si="19"/>
        <v>-1</v>
      </c>
    </row>
    <row r="82" spans="1:26" s="69" customFormat="1" ht="15" hidden="1" customHeight="1" outlineLevel="2" x14ac:dyDescent="0.3">
      <c r="A82" s="21"/>
      <c r="B82" s="9" t="str">
        <f>CONCATENATE("          ","6274"," - ","UTILITIES")</f>
        <v xml:space="preserve">          6274 - UTILITIES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/>
      <c r="Q82" s="3"/>
      <c r="R82" s="7">
        <f t="shared" si="16"/>
        <v>0</v>
      </c>
      <c r="S82" s="3"/>
      <c r="T82" s="6">
        <v>15.02</v>
      </c>
      <c r="U82" s="3"/>
      <c r="V82" s="7">
        <f t="shared" si="17"/>
        <v>1.1339610383972647E-4</v>
      </c>
      <c r="W82" s="3"/>
      <c r="X82" s="6">
        <f t="shared" si="18"/>
        <v>-15.02</v>
      </c>
      <c r="Y82" s="3"/>
      <c r="Z82" s="7">
        <f t="shared" si="19"/>
        <v>-1</v>
      </c>
    </row>
    <row r="83" spans="1:26" s="64" customFormat="1" ht="15" customHeight="1" x14ac:dyDescent="0.3">
      <c r="A83" s="37"/>
      <c r="B83" s="37"/>
      <c r="C83" s="37"/>
      <c r="D83" s="2"/>
      <c r="E83" s="2"/>
      <c r="F83" s="5"/>
      <c r="G83" s="2"/>
      <c r="H83" s="2"/>
      <c r="I83" s="2"/>
      <c r="J83" s="5"/>
      <c r="K83" s="2"/>
      <c r="L83" s="2"/>
      <c r="M83" s="2"/>
      <c r="N83" s="5"/>
      <c r="O83" s="37"/>
      <c r="P83" s="2"/>
      <c r="Q83" s="2"/>
      <c r="R83" s="5"/>
      <c r="S83" s="2"/>
      <c r="T83" s="2"/>
      <c r="U83" s="2"/>
      <c r="V83" s="5"/>
      <c r="W83" s="2"/>
      <c r="X83" s="2"/>
      <c r="Y83" s="2"/>
      <c r="Z83" s="5"/>
    </row>
    <row r="84" spans="1:26" s="62" customFormat="1" ht="15" customHeight="1" collapsed="1" x14ac:dyDescent="0.3">
      <c r="A84" s="13"/>
      <c r="B84" s="27" t="s">
        <v>290</v>
      </c>
      <c r="C84" s="13"/>
      <c r="D84" s="8">
        <f>SUM(OSRRefD25x_0)</f>
        <v>121.72</v>
      </c>
      <c r="E84" s="8"/>
      <c r="F84" s="14">
        <f>IF(D$12=0,0,D84/D$12)</f>
        <v>1.4258370291235296E-2</v>
      </c>
      <c r="G84" s="8"/>
      <c r="H84" s="8">
        <f>SUM(OSRRefH25x_0)</f>
        <v>16577.560000000001</v>
      </c>
      <c r="I84" s="8"/>
      <c r="J84" s="14">
        <f>IF(H$12=0,0,H84/H$12)</f>
        <v>3.4447307395001294</v>
      </c>
      <c r="K84" s="8"/>
      <c r="L84" s="8">
        <f>+D84-H84</f>
        <v>-16455.84</v>
      </c>
      <c r="M84" s="8"/>
      <c r="N84" s="14">
        <f>IF(H84=0,0,L84/H84)</f>
        <v>-0.99265754429481778</v>
      </c>
      <c r="O84" s="13"/>
      <c r="P84" s="8">
        <f>SUM(OSRRefP25x_0)</f>
        <v>18516.169999999998</v>
      </c>
      <c r="Q84" s="8"/>
      <c r="R84" s="14">
        <f>IF(P$12=0,0,P84/P$12)</f>
        <v>7.9809790997334776E-2</v>
      </c>
      <c r="S84" s="8"/>
      <c r="T84" s="8">
        <f>SUM(OSRRefT25x_0)</f>
        <v>91179.56</v>
      </c>
      <c r="U84" s="8"/>
      <c r="V84" s="14">
        <f>IF(T$12=0,0,T84/T$12)</f>
        <v>0.68837595564717513</v>
      </c>
      <c r="W84" s="8"/>
      <c r="X84" s="8">
        <f>+P84-T84</f>
        <v>-72663.39</v>
      </c>
      <c r="Y84" s="8"/>
      <c r="Z84" s="14">
        <f>IF(T84=0,0,X84/T84)</f>
        <v>-0.79692630672927134</v>
      </c>
    </row>
    <row r="85" spans="1:26" s="69" customFormat="1" ht="15" hidden="1" customHeight="1" outlineLevel="1" x14ac:dyDescent="0.3">
      <c r="A85" s="47"/>
      <c r="B85" s="9" t="str">
        <f>CONCATENATE("          ","9150"," - ","MISC. INCOME")</f>
        <v xml:space="preserve">          9150 - MISC. INCOME</v>
      </c>
      <c r="C85" s="9"/>
      <c r="D85" s="3">
        <f>--121.72</f>
        <v>121.72</v>
      </c>
      <c r="E85" s="3"/>
      <c r="F85" s="26">
        <f>IF(D$12=0,0,D85/D$12)</f>
        <v>1.4258370291235296E-2</v>
      </c>
      <c r="G85" s="3"/>
      <c r="H85" s="3">
        <f>--16577.56</f>
        <v>16577.560000000001</v>
      </c>
      <c r="I85" s="3"/>
      <c r="J85" s="26">
        <f>IF(H$12=0,0,H85/H$12)</f>
        <v>3.4447307395001294</v>
      </c>
      <c r="K85" s="3"/>
      <c r="L85" s="3">
        <f>+D85-H85</f>
        <v>-16455.84</v>
      </c>
      <c r="M85" s="3"/>
      <c r="N85" s="26">
        <f>IF(H85=0,0,L85/H85)</f>
        <v>-0.99265754429481778</v>
      </c>
      <c r="O85" s="9"/>
      <c r="P85" s="3">
        <f>--18516.17</f>
        <v>18516.169999999998</v>
      </c>
      <c r="Q85" s="3"/>
      <c r="R85" s="26">
        <f>IF(P$12=0,0,P85/P$12)</f>
        <v>7.9809790997334776E-2</v>
      </c>
      <c r="S85" s="3"/>
      <c r="T85" s="3">
        <f>--91179.56</f>
        <v>91179.56</v>
      </c>
      <c r="U85" s="3"/>
      <c r="V85" s="26">
        <f>IF(T$12=0,0,T85/T$12)</f>
        <v>0.68837595564717513</v>
      </c>
      <c r="W85" s="3"/>
      <c r="X85" s="3">
        <f>+P85-T85</f>
        <v>-72663.39</v>
      </c>
      <c r="Y85" s="3"/>
      <c r="Z85" s="26">
        <f>IF(T85=0,0,X85/T85)</f>
        <v>-0.79692630672927134</v>
      </c>
    </row>
    <row r="86" spans="1:26" s="69" customFormat="1" ht="15" hidden="1" customHeight="1" outlineLevel="1" x14ac:dyDescent="0.3">
      <c r="A86" s="47"/>
      <c r="B86" s="9" t="str">
        <f>CONCATENATE("          ","9163"," - ","MISC. INCOME")</f>
        <v xml:space="preserve">          9163 - MISC. INCOME</v>
      </c>
      <c r="C86" s="9"/>
      <c r="D86" s="3">
        <f>0</f>
        <v>0</v>
      </c>
      <c r="E86" s="3"/>
      <c r="F86" s="26">
        <f>IF(D$12=0,0,D86/D$12)</f>
        <v>0</v>
      </c>
      <c r="G86" s="3"/>
      <c r="H86" s="3">
        <f>0</f>
        <v>0</v>
      </c>
      <c r="I86" s="3"/>
      <c r="J86" s="26">
        <f>IF(H$12=0,0,H86/H$12)</f>
        <v>0</v>
      </c>
      <c r="K86" s="3"/>
      <c r="L86" s="3">
        <f>+D86-H86</f>
        <v>0</v>
      </c>
      <c r="M86" s="3"/>
      <c r="N86" s="26">
        <f>IF(H86=0,0,L86/H86)</f>
        <v>0</v>
      </c>
      <c r="O86" s="9"/>
      <c r="P86" s="3">
        <f>0</f>
        <v>0</v>
      </c>
      <c r="Q86" s="3"/>
      <c r="R86" s="26">
        <f>IF(P$12=0,0,P86/P$12)</f>
        <v>0</v>
      </c>
      <c r="S86" s="3"/>
      <c r="T86" s="3">
        <f>0</f>
        <v>0</v>
      </c>
      <c r="U86" s="3"/>
      <c r="V86" s="26">
        <f>IF(T$12=0,0,T86/T$12)</f>
        <v>0</v>
      </c>
      <c r="W86" s="3"/>
      <c r="X86" s="3">
        <f>+P86-T86</f>
        <v>0</v>
      </c>
      <c r="Y86" s="3"/>
      <c r="Z86" s="26">
        <f>IF(T86=0,0,X86/T86)</f>
        <v>0</v>
      </c>
    </row>
    <row r="87" spans="1:26" ht="15" customHeight="1" x14ac:dyDescent="0.3">
      <c r="A87" s="12"/>
      <c r="B87" s="13"/>
      <c r="C87" s="13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O87" s="13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s="62" customFormat="1" ht="15" customHeight="1" x14ac:dyDescent="0.3">
      <c r="A88" s="13"/>
      <c r="B88" s="28" t="s">
        <v>291</v>
      </c>
      <c r="C88" s="28"/>
      <c r="D88" s="22">
        <f>+D32-D34+D84</f>
        <v>-21666.959999999999</v>
      </c>
      <c r="E88" s="15"/>
      <c r="F88" s="24">
        <f>IF(D$12=0,0,D88/D$12)</f>
        <v>-2.5380836244280602</v>
      </c>
      <c r="G88" s="15"/>
      <c r="H88" s="22">
        <f>+H32-H34+H84</f>
        <v>-11056.999999999996</v>
      </c>
      <c r="I88" s="15"/>
      <c r="J88" s="24">
        <f>IF(H$12=0,0,H88/H$12)</f>
        <v>-2.2975870868000428</v>
      </c>
      <c r="K88" s="17"/>
      <c r="L88" s="22">
        <f>+D88-H88</f>
        <v>-10609.960000000003</v>
      </c>
      <c r="M88" s="17"/>
      <c r="N88" s="24">
        <f>IF(H88=0,0,L88/H88)</f>
        <v>0.95956950348195769</v>
      </c>
      <c r="O88" s="27"/>
      <c r="P88" s="22">
        <f>+P32-P34+P84</f>
        <v>-54041.440000000104</v>
      </c>
      <c r="Q88" s="15"/>
      <c r="R88" s="24">
        <f>IF(P$12=0,0,P88/P$12)</f>
        <v>-0.23293348633086736</v>
      </c>
      <c r="S88" s="15"/>
      <c r="T88" s="22">
        <f>+T32-T34+T84</f>
        <v>-94371.32</v>
      </c>
      <c r="U88" s="15"/>
      <c r="V88" s="24">
        <f>IF(T$12=0,0,T88/T$12)</f>
        <v>-0.71247270320985723</v>
      </c>
      <c r="W88" s="17"/>
      <c r="X88" s="22">
        <f>+P88-T88</f>
        <v>40329.879999999903</v>
      </c>
      <c r="Y88" s="17"/>
      <c r="Z88" s="24">
        <f>IF(T88=0,0,X88/T88)</f>
        <v>-0.42735314076352754</v>
      </c>
    </row>
    <row r="89" spans="1:26" ht="15" customHeight="1" x14ac:dyDescent="0.3">
      <c r="A89" s="12"/>
      <c r="B89" s="13"/>
      <c r="C89" s="12"/>
      <c r="D89" s="4"/>
      <c r="E89" s="4"/>
      <c r="F89" s="10"/>
      <c r="G89" s="4"/>
      <c r="H89" s="4"/>
      <c r="I89" s="4"/>
      <c r="J89" s="10"/>
      <c r="K89" s="4"/>
      <c r="L89" s="4"/>
      <c r="M89" s="4"/>
      <c r="N89" s="10"/>
      <c r="P89" s="4"/>
      <c r="Q89" s="4"/>
      <c r="R89" s="10"/>
      <c r="S89" s="4"/>
      <c r="T89" s="4"/>
      <c r="U89" s="4"/>
      <c r="V89" s="10"/>
      <c r="W89" s="4"/>
      <c r="X89" s="4"/>
      <c r="Y89" s="4"/>
      <c r="Z89" s="10"/>
    </row>
    <row r="90" spans="1:26" s="62" customFormat="1" ht="15" customHeight="1" x14ac:dyDescent="0.3">
      <c r="A90" s="48"/>
      <c r="B90" s="13" t="s">
        <v>292</v>
      </c>
      <c r="C90" s="13"/>
      <c r="D90" s="8">
        <v>-51870.78</v>
      </c>
      <c r="E90" s="8"/>
      <c r="F90" s="14">
        <f>IF(D$12=0,0,D90/D$12)</f>
        <v>-6.0761813057443472</v>
      </c>
      <c r="G90" s="8"/>
      <c r="H90" s="8">
        <v>9386.9</v>
      </c>
      <c r="I90" s="8"/>
      <c r="J90" s="14">
        <f>IF(H$12=0,0,H90/H$12)</f>
        <v>1.9505489938575857</v>
      </c>
      <c r="K90" s="8"/>
      <c r="L90" s="8">
        <f>+D90-H90</f>
        <v>-61257.68</v>
      </c>
      <c r="M90" s="8"/>
      <c r="N90" s="14">
        <f>IF(H90=0,0,L90/H90)</f>
        <v>-6.5258690302442766</v>
      </c>
      <c r="O90" s="13"/>
      <c r="P90" s="8">
        <v>-26747.42</v>
      </c>
      <c r="Q90" s="8"/>
      <c r="R90" s="14">
        <f>IF(P$12=0,0,P90/P$12)</f>
        <v>-0.11528874491419837</v>
      </c>
      <c r="S90" s="8"/>
      <c r="T90" s="8">
        <v>36663.129999999997</v>
      </c>
      <c r="U90" s="8"/>
      <c r="V90" s="14">
        <f>IF(T$12=0,0,T90/T$12)</f>
        <v>0.27679468019769576</v>
      </c>
      <c r="W90" s="8"/>
      <c r="X90" s="8">
        <f>+P90-T90</f>
        <v>-63410.549999999996</v>
      </c>
      <c r="Y90" s="8"/>
      <c r="Z90" s="14">
        <f>IF(T90=0,0,X90/T90)</f>
        <v>-1.7295454588847161</v>
      </c>
    </row>
    <row r="91" spans="1:26" ht="15" customHeight="1" x14ac:dyDescent="0.3">
      <c r="A91" s="12"/>
      <c r="B91" s="13"/>
      <c r="C91" s="13"/>
      <c r="D91" s="4"/>
      <c r="E91" s="4"/>
      <c r="F91" s="10"/>
      <c r="G91" s="4"/>
      <c r="H91" s="4"/>
      <c r="I91" s="4"/>
      <c r="J91" s="10"/>
      <c r="K91" s="4"/>
      <c r="L91" s="4"/>
      <c r="M91" s="4"/>
      <c r="N91" s="10"/>
      <c r="O91" s="13"/>
      <c r="P91" s="4"/>
      <c r="Q91" s="4"/>
      <c r="R91" s="10"/>
      <c r="S91" s="4"/>
      <c r="T91" s="4"/>
      <c r="U91" s="4"/>
      <c r="V91" s="10"/>
      <c r="W91" s="4"/>
      <c r="X91" s="4"/>
      <c r="Y91" s="4"/>
      <c r="Z91" s="10"/>
    </row>
    <row r="92" spans="1:26" s="62" customFormat="1" ht="15" customHeight="1" x14ac:dyDescent="0.3">
      <c r="A92" s="13"/>
      <c r="B92" s="28" t="s">
        <v>293</v>
      </c>
      <c r="C92" s="28"/>
      <c r="D92" s="29">
        <f>+D88-D90</f>
        <v>30203.82</v>
      </c>
      <c r="E92" s="15"/>
      <c r="F92" s="31">
        <f>IF(D$12=0,0,D92/D$12)</f>
        <v>3.538097681316287</v>
      </c>
      <c r="G92" s="15"/>
      <c r="H92" s="29">
        <f>+H88-H90</f>
        <v>-20443.899999999994</v>
      </c>
      <c r="I92" s="15"/>
      <c r="J92" s="31">
        <f>IF(H$12=0,0,H92/H$12)</f>
        <v>-4.2481360806576278</v>
      </c>
      <c r="K92" s="17"/>
      <c r="L92" s="29">
        <f>D92-H92</f>
        <v>50647.719999999994</v>
      </c>
      <c r="M92" s="17"/>
      <c r="N92" s="31">
        <f>IF(H92=0,0,L92/H92)</f>
        <v>-2.4774001046767009</v>
      </c>
      <c r="O92" s="27"/>
      <c r="P92" s="29">
        <f>+P88-P90</f>
        <v>-27294.020000000106</v>
      </c>
      <c r="Q92" s="15"/>
      <c r="R92" s="31">
        <f>IF(P$12=0,0,P92/P$12)</f>
        <v>-0.117644741416669</v>
      </c>
      <c r="S92" s="15"/>
      <c r="T92" s="29">
        <f>+T88-T90</f>
        <v>-131034.45000000001</v>
      </c>
      <c r="U92" s="15"/>
      <c r="V92" s="31">
        <f>IF(T$12=0,0,T92/T$12)</f>
        <v>-0.98926738340755305</v>
      </c>
      <c r="W92" s="17"/>
      <c r="X92" s="29">
        <f>P92-T92</f>
        <v>103740.42999999991</v>
      </c>
      <c r="Y92" s="17"/>
      <c r="Z92" s="31">
        <f>IF(T92=0,0,X92/T92)</f>
        <v>-0.79170347950481645</v>
      </c>
    </row>
    <row r="93" spans="1:26" ht="15" customHeight="1" x14ac:dyDescent="0.3">
      <c r="A93" s="12"/>
      <c r="B93" s="12"/>
      <c r="C93" s="12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ht="15" customHeight="1" x14ac:dyDescent="0.3">
      <c r="A94" s="12"/>
      <c r="B94" s="12"/>
      <c r="C94" s="12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2" customFormat="1" ht="15" customHeight="1" x14ac:dyDescent="0.3">
      <c r="A95" s="13"/>
      <c r="B95" s="28" t="s">
        <v>296</v>
      </c>
      <c r="C95" s="28"/>
      <c r="D95" s="30">
        <f>SUM(D92:D94)</f>
        <v>30203.82</v>
      </c>
      <c r="E95" s="15"/>
      <c r="F95" s="35">
        <f>IF(D$12=0,0,D95/D$12)</f>
        <v>3.538097681316287</v>
      </c>
      <c r="G95" s="15"/>
      <c r="H95" s="30">
        <f>SUM(H92:H94)</f>
        <v>-20443.899999999994</v>
      </c>
      <c r="I95" s="15"/>
      <c r="J95" s="35">
        <f>IF(H$12=0,0,H95/H$12)</f>
        <v>-4.2481360806576278</v>
      </c>
      <c r="K95" s="17"/>
      <c r="L95" s="30">
        <f>+D95-H95</f>
        <v>50647.719999999994</v>
      </c>
      <c r="M95" s="17"/>
      <c r="N95" s="35">
        <f>IF(H95=0,0,L95/H95)</f>
        <v>-2.4774001046767009</v>
      </c>
      <c r="O95" s="27"/>
      <c r="P95" s="30">
        <f>SUM(P92:P94)</f>
        <v>-27294.020000000106</v>
      </c>
      <c r="Q95" s="15"/>
      <c r="R95" s="35">
        <f>IF(P$12=0,0,P95/P$12)</f>
        <v>-0.117644741416669</v>
      </c>
      <c r="S95" s="15"/>
      <c r="T95" s="30">
        <f>SUM(T92:T94)</f>
        <v>-131034.45000000001</v>
      </c>
      <c r="U95" s="15"/>
      <c r="V95" s="35">
        <f>IF(T$12=0,0,T95/T$12)</f>
        <v>-0.98926738340755305</v>
      </c>
      <c r="W95" s="17"/>
      <c r="X95" s="30">
        <f>+P95-T95</f>
        <v>103740.42999999991</v>
      </c>
      <c r="Y95" s="17"/>
      <c r="Z95" s="35">
        <f>IF(T95=0,0,X95/T95)</f>
        <v>-0.79170347950481645</v>
      </c>
    </row>
    <row r="96" spans="1:26" ht="15" customHeight="1" x14ac:dyDescent="0.3">
      <c r="A96" s="12"/>
      <c r="C96" s="12"/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2"/>
      <c r="B97" s="54">
        <v>44767.815851238425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2"/>
      <c r="B98" s="53" t="s">
        <v>297</v>
      </c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A99" s="12"/>
      <c r="B99" s="51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4" ht="15" customHeight="1" x14ac:dyDescent="0.3"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5035-B798-C8C6-E828-C7C30F4805DA}">
  <sheetPr>
    <tabColor rgb="FF92D050"/>
    <outlinePr summaryBelow="0" summaryRight="0"/>
  </sheetPr>
  <dimension ref="A2:Z9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","316"," - ","Campus Copy Center")</f>
        <v>Department 316 - Campus Copy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8536.74</v>
      </c>
      <c r="E12" s="8"/>
      <c r="F12" s="14"/>
      <c r="G12" s="8"/>
      <c r="H12" s="8">
        <f>SUM(OSRRefH13x_0)</f>
        <v>4812.4399999999996</v>
      </c>
      <c r="I12" s="8"/>
      <c r="J12" s="14"/>
      <c r="K12" s="8"/>
      <c r="L12" s="8">
        <f t="shared" ref="L12:L25" si="0">+D12-H12</f>
        <v>3724.3</v>
      </c>
      <c r="M12" s="8"/>
      <c r="N12" s="14">
        <f t="shared" ref="N12:N25" si="1">IF(H12=0,0,L12/H12)</f>
        <v>0.77389016798131516</v>
      </c>
      <c r="O12" s="13"/>
      <c r="P12" s="8">
        <f>SUM(OSRRefP13x_0)</f>
        <v>232003.74</v>
      </c>
      <c r="Q12" s="8"/>
      <c r="R12" s="14"/>
      <c r="S12" s="8"/>
      <c r="T12" s="8">
        <f>SUM(OSRRefT13x_0)</f>
        <v>132456.04999999999</v>
      </c>
      <c r="U12" s="8"/>
      <c r="V12" s="14"/>
      <c r="W12" s="8"/>
      <c r="X12" s="8">
        <f t="shared" ref="X12:X25" si="2">+P12-T12</f>
        <v>99547.69</v>
      </c>
      <c r="Y12" s="8"/>
      <c r="Z12" s="14">
        <f t="shared" ref="Z12:Z25" si="3">IF(T12=0,0,X12/T12)</f>
        <v>0.75155260933721046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--7642.39</f>
        <v>7642.39</v>
      </c>
      <c r="E13" s="3"/>
      <c r="F13" s="26"/>
      <c r="G13" s="3"/>
      <c r="H13" s="3">
        <f>-39.88</f>
        <v>-39.880000000000003</v>
      </c>
      <c r="I13" s="3"/>
      <c r="J13" s="26"/>
      <c r="K13" s="3"/>
      <c r="L13" s="3">
        <f t="shared" si="0"/>
        <v>7682.27</v>
      </c>
      <c r="M13" s="3"/>
      <c r="N13" s="26">
        <f t="shared" si="1"/>
        <v>-192.63465396188565</v>
      </c>
      <c r="O13" s="9"/>
      <c r="P13" s="3">
        <f>--180921.31</f>
        <v>180921.31</v>
      </c>
      <c r="Q13" s="3"/>
      <c r="R13" s="26"/>
      <c r="S13" s="3"/>
      <c r="T13" s="3">
        <f>-50.16</f>
        <v>-50.16</v>
      </c>
      <c r="U13" s="3"/>
      <c r="V13" s="26"/>
      <c r="W13" s="3"/>
      <c r="X13" s="3">
        <f t="shared" si="2"/>
        <v>180971.47</v>
      </c>
      <c r="Y13" s="3"/>
      <c r="Z13" s="26">
        <f t="shared" si="3"/>
        <v>-3607.8841706539079</v>
      </c>
    </row>
    <row r="14" spans="1:26" s="69" customFormat="1" ht="15" hidden="1" customHeight="1" outlineLevel="1" x14ac:dyDescent="0.3">
      <c r="A14" s="47"/>
      <c r="B14" s="9" t="str">
        <f>CONCATENATE("          ","4041"," - ","TAXABLE SALES-LOGO GIFTS")</f>
        <v xml:space="preserve">          4041 - TAXABLE SALES-LOGO GIFTS</v>
      </c>
      <c r="C14" s="9"/>
      <c r="D14" s="3">
        <f>0</f>
        <v>0</v>
      </c>
      <c r="E14" s="3"/>
      <c r="F14" s="26"/>
      <c r="G14" s="3"/>
      <c r="H14" s="3">
        <f>--252.85</f>
        <v>252.85</v>
      </c>
      <c r="I14" s="3"/>
      <c r="J14" s="26"/>
      <c r="K14" s="3"/>
      <c r="L14" s="3">
        <f t="shared" si="0"/>
        <v>-252.85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--93554.57</f>
        <v>93554.57</v>
      </c>
      <c r="U14" s="3"/>
      <c r="V14" s="26"/>
      <c r="W14" s="3"/>
      <c r="X14" s="3">
        <f t="shared" si="2"/>
        <v>-93554.57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","4042"," - ","TAXABLE SALES-EVERYDAY GIFTS")</f>
        <v xml:space="preserve">          4042 - TAXABLE SALES-EVERYDAY GIFTS</v>
      </c>
      <c r="C15" s="9"/>
      <c r="D15" s="3">
        <f>0</f>
        <v>0</v>
      </c>
      <c r="E15" s="3"/>
      <c r="F15" s="26"/>
      <c r="G15" s="3"/>
      <c r="H15" s="3">
        <f>--2580.95</f>
        <v>2580.9499999999998</v>
      </c>
      <c r="I15" s="3"/>
      <c r="J15" s="26"/>
      <c r="K15" s="3"/>
      <c r="L15" s="3">
        <f t="shared" si="0"/>
        <v>-2580.9499999999998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--20906.62</f>
        <v>20906.62</v>
      </c>
      <c r="U15" s="3"/>
      <c r="V15" s="26"/>
      <c r="W15" s="3"/>
      <c r="X15" s="3">
        <f t="shared" si="2"/>
        <v>-20906.62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","4043"," - ","TAXABLE SALES-CARDS")</f>
        <v xml:space="preserve">          4043 - TAXABLE SALES-CARDS</v>
      </c>
      <c r="C16" s="9"/>
      <c r="D16" s="3">
        <f>0</f>
        <v>0</v>
      </c>
      <c r="E16" s="3"/>
      <c r="F16" s="26"/>
      <c r="G16" s="3"/>
      <c r="H16" s="3">
        <f>--44.15</f>
        <v>44.15</v>
      </c>
      <c r="I16" s="3"/>
      <c r="J16" s="26"/>
      <c r="K16" s="3"/>
      <c r="L16" s="3">
        <f t="shared" si="0"/>
        <v>-44.15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--106.3</f>
        <v>106.3</v>
      </c>
      <c r="U16" s="3"/>
      <c r="V16" s="26"/>
      <c r="W16" s="3"/>
      <c r="X16" s="3">
        <f t="shared" si="2"/>
        <v>-106.3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","4095"," - ","TAXABLE SALES-CUSTOMER SERVICE")</f>
        <v xml:space="preserve">          4095 - TAXABLE SALES-CUSTOMER SERVICE</v>
      </c>
      <c r="C17" s="9"/>
      <c r="D17" s="3">
        <f>0</f>
        <v>0</v>
      </c>
      <c r="E17" s="3"/>
      <c r="F17" s="26"/>
      <c r="G17" s="3"/>
      <c r="H17" s="3">
        <f>--1688.17</f>
        <v>1688.17</v>
      </c>
      <c r="I17" s="3"/>
      <c r="J17" s="26"/>
      <c r="K17" s="3"/>
      <c r="L17" s="3">
        <f t="shared" si="0"/>
        <v>-1688.17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--15614</f>
        <v>15614</v>
      </c>
      <c r="U17" s="3"/>
      <c r="V17" s="26"/>
      <c r="W17" s="3"/>
      <c r="X17" s="3">
        <f t="shared" si="2"/>
        <v>-15614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","4100"," - ","NON-TAXABLE SALES")</f>
        <v xml:space="preserve">          4100 - NON-TAXABLE SALES</v>
      </c>
      <c r="C18" s="9"/>
      <c r="D18" s="3">
        <f>--894.35</f>
        <v>894.35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894.35</v>
      </c>
      <c r="M18" s="3"/>
      <c r="N18" s="26">
        <f t="shared" si="1"/>
        <v>0</v>
      </c>
      <c r="O18" s="9"/>
      <c r="P18" s="3">
        <f>--52182.38</f>
        <v>52182.38</v>
      </c>
      <c r="Q18" s="3"/>
      <c r="R18" s="26"/>
      <c r="S18" s="3"/>
      <c r="T18" s="3">
        <f>0</f>
        <v>0</v>
      </c>
      <c r="U18" s="3"/>
      <c r="V18" s="26"/>
      <c r="W18" s="3"/>
      <c r="X18" s="3">
        <f t="shared" si="2"/>
        <v>52182.38</v>
      </c>
      <c r="Y18" s="3"/>
      <c r="Z18" s="26">
        <f t="shared" si="3"/>
        <v>0</v>
      </c>
    </row>
    <row r="19" spans="1:26" s="69" customFormat="1" ht="15" hidden="1" customHeight="1" outlineLevel="1" x14ac:dyDescent="0.3">
      <c r="A19" s="47"/>
      <c r="B19" s="9" t="str">
        <f>CONCATENATE("          ","4141"," - ","NON-TAXABLE SALES-LOGO GIFTS")</f>
        <v xml:space="preserve">          4141 - NON-TAXABLE SALES-LOGO GIFTS</v>
      </c>
      <c r="C19" s="9"/>
      <c r="D19" s="3">
        <f>0</f>
        <v>0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>
        <f>--1756.04</f>
        <v>1756.04</v>
      </c>
      <c r="U19" s="3"/>
      <c r="V19" s="26"/>
      <c r="W19" s="3"/>
      <c r="X19" s="3">
        <f t="shared" si="2"/>
        <v>-1756.04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","4142"," - ","NON-TAXABLE SALES-EVERYDAY GIF")</f>
        <v xml:space="preserve">          4142 - NON-TAXABLE SALES-EVERYDAY GIF</v>
      </c>
      <c r="C20" s="9"/>
      <c r="D20" s="3">
        <f>0</f>
        <v>0</v>
      </c>
      <c r="E20" s="3"/>
      <c r="F20" s="26"/>
      <c r="G20" s="3"/>
      <c r="H20" s="3">
        <f>0</f>
        <v>0</v>
      </c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0</f>
        <v>0</v>
      </c>
      <c r="Q20" s="3"/>
      <c r="R20" s="26"/>
      <c r="S20" s="3"/>
      <c r="T20" s="3">
        <f>--1137.08</f>
        <v>1137.08</v>
      </c>
      <c r="U20" s="3"/>
      <c r="V20" s="26"/>
      <c r="W20" s="3"/>
      <c r="X20" s="3">
        <f t="shared" si="2"/>
        <v>-1137.08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","4146"," - ","NON-TAXABLE SALES-COIN OP MACH")</f>
        <v xml:space="preserve">          4146 - NON-TAXABLE SALES-COIN OP MACH</v>
      </c>
      <c r="C21" s="9"/>
      <c r="D21" s="3">
        <f>0</f>
        <v>0</v>
      </c>
      <c r="E21" s="3"/>
      <c r="F21" s="26"/>
      <c r="G21" s="3"/>
      <c r="H21" s="3">
        <f>--282.2</f>
        <v>282.2</v>
      </c>
      <c r="I21" s="3"/>
      <c r="J21" s="26"/>
      <c r="K21" s="3"/>
      <c r="L21" s="3">
        <f t="shared" si="0"/>
        <v>-282.2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--668.1</f>
        <v>668.1</v>
      </c>
      <c r="U21" s="3"/>
      <c r="V21" s="26"/>
      <c r="W21" s="3"/>
      <c r="X21" s="3">
        <f t="shared" si="2"/>
        <v>-668.1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","4147"," - ","NON-TAXABLE SALES-MISC")</f>
        <v xml:space="preserve">          4147 - NON-TAXABLE SALES-MISC</v>
      </c>
      <c r="C22" s="9"/>
      <c r="D22" s="3">
        <f>0</f>
        <v>0</v>
      </c>
      <c r="E22" s="3"/>
      <c r="F22" s="26"/>
      <c r="G22" s="3"/>
      <c r="H22" s="3">
        <f>--4</f>
        <v>4</v>
      </c>
      <c r="I22" s="3"/>
      <c r="J22" s="26"/>
      <c r="K22" s="3"/>
      <c r="L22" s="3">
        <f t="shared" si="0"/>
        <v>-4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--172</f>
        <v>172</v>
      </c>
      <c r="U22" s="3"/>
      <c r="V22" s="26"/>
      <c r="W22" s="3"/>
      <c r="X22" s="3">
        <f t="shared" si="2"/>
        <v>-172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","4200"," - ","TAXABLE RETURNS")</f>
        <v xml:space="preserve">          4200 - TAXABLE RETURNS</v>
      </c>
      <c r="C23" s="9"/>
      <c r="D23" s="3">
        <f>0</f>
        <v>0</v>
      </c>
      <c r="E23" s="3"/>
      <c r="F23" s="26"/>
      <c r="G23" s="3"/>
      <c r="H23" s="3">
        <f>0</f>
        <v>0</v>
      </c>
      <c r="I23" s="3"/>
      <c r="J23" s="26"/>
      <c r="K23" s="3"/>
      <c r="L23" s="3">
        <f t="shared" si="0"/>
        <v>0</v>
      </c>
      <c r="M23" s="3"/>
      <c r="N23" s="26">
        <f t="shared" si="1"/>
        <v>0</v>
      </c>
      <c r="O23" s="9"/>
      <c r="P23" s="3">
        <f>-1099.95</f>
        <v>-1099.95</v>
      </c>
      <c r="Q23" s="3"/>
      <c r="R23" s="26"/>
      <c r="S23" s="3"/>
      <c r="T23" s="3">
        <f>0</f>
        <v>0</v>
      </c>
      <c r="U23" s="3"/>
      <c r="V23" s="26"/>
      <c r="W23" s="3"/>
      <c r="X23" s="3">
        <f t="shared" si="2"/>
        <v>-1099.95</v>
      </c>
      <c r="Y23" s="3"/>
      <c r="Z23" s="26">
        <f t="shared" si="3"/>
        <v>0</v>
      </c>
    </row>
    <row r="24" spans="1:26" s="69" customFormat="1" ht="15" hidden="1" customHeight="1" outlineLevel="1" x14ac:dyDescent="0.3">
      <c r="A24" s="47"/>
      <c r="B24" s="9" t="str">
        <f>CONCATENATE("          ","4241"," - ","SALES RETURN TAXABLE-LOGO GIFT")</f>
        <v xml:space="preserve">          4241 - SALES RETURN TAXABLE-LOGO GIFT</v>
      </c>
      <c r="C24" s="9"/>
      <c r="D24" s="3">
        <f>0</f>
        <v>0</v>
      </c>
      <c r="E24" s="3"/>
      <c r="F24" s="26"/>
      <c r="G24" s="3"/>
      <c r="H24" s="3">
        <f>0</f>
        <v>0</v>
      </c>
      <c r="I24" s="3"/>
      <c r="J24" s="26"/>
      <c r="K24" s="3"/>
      <c r="L24" s="3">
        <f t="shared" si="0"/>
        <v>0</v>
      </c>
      <c r="M24" s="3"/>
      <c r="N24" s="26">
        <f t="shared" si="1"/>
        <v>0</v>
      </c>
      <c r="O24" s="9"/>
      <c r="P24" s="3">
        <f>0</f>
        <v>0</v>
      </c>
      <c r="Q24" s="3"/>
      <c r="R24" s="26"/>
      <c r="S24" s="3"/>
      <c r="T24" s="3">
        <f>-1293</f>
        <v>-1293</v>
      </c>
      <c r="U24" s="3"/>
      <c r="V24" s="26"/>
      <c r="W24" s="3"/>
      <c r="X24" s="3">
        <f t="shared" si="2"/>
        <v>1293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","4341"," - ","SALES RETURN NON TAXABLE-LOGO")</f>
        <v xml:space="preserve">          4341 - SALES RETURN NON TAXABLE-LOGO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-115.5</f>
        <v>-115.5</v>
      </c>
      <c r="U25" s="3"/>
      <c r="V25" s="26"/>
      <c r="W25" s="3"/>
      <c r="X25" s="3">
        <f t="shared" si="2"/>
        <v>115.5</v>
      </c>
      <c r="Y25" s="3"/>
      <c r="Z25" s="26">
        <f t="shared" si="3"/>
        <v>-1</v>
      </c>
    </row>
    <row r="26" spans="1:26" ht="15" customHeight="1" x14ac:dyDescent="0.3">
      <c r="A26" s="12"/>
      <c r="B26" s="13"/>
      <c r="C26" s="12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2" customFormat="1" ht="15" customHeight="1" collapsed="1" x14ac:dyDescent="0.3">
      <c r="A27" s="13"/>
      <c r="B27" s="27" t="s">
        <v>287</v>
      </c>
      <c r="C27" s="13"/>
      <c r="D27" s="8">
        <f>SUM(OSRRefD16x_0)</f>
        <v>0</v>
      </c>
      <c r="E27" s="8"/>
      <c r="F27" s="14">
        <f>IF(D$12=0,0,D27/D$12)</f>
        <v>0</v>
      </c>
      <c r="G27" s="8"/>
      <c r="H27" s="8">
        <f>SUM(OSRRefH16x_0)</f>
        <v>0</v>
      </c>
      <c r="I27" s="8"/>
      <c r="J27" s="14">
        <f>IF(H$12=0,0,H27/H$12)</f>
        <v>0</v>
      </c>
      <c r="K27" s="8"/>
      <c r="L27" s="8">
        <f>+D27-H27</f>
        <v>0</v>
      </c>
      <c r="M27" s="8"/>
      <c r="N27" s="14">
        <f>IF(H27=0,0,L27/H27)</f>
        <v>0</v>
      </c>
      <c r="O27" s="13"/>
      <c r="P27" s="8">
        <f>SUM(OSRRefP16x_0)</f>
        <v>8.26</v>
      </c>
      <c r="Q27" s="8"/>
      <c r="R27" s="14">
        <f>IF(P$12=0,0,P27/P$12)</f>
        <v>3.5602874332974113E-5</v>
      </c>
      <c r="S27" s="8"/>
      <c r="T27" s="8">
        <f>SUM(OSRRefT16x_0)</f>
        <v>0</v>
      </c>
      <c r="U27" s="8"/>
      <c r="V27" s="14">
        <f>IF(T$12=0,0,T27/T$12)</f>
        <v>0</v>
      </c>
      <c r="W27" s="8"/>
      <c r="X27" s="8">
        <f>+P27-T27</f>
        <v>8.26</v>
      </c>
      <c r="Y27" s="8"/>
      <c r="Z27" s="14">
        <f>IF(T27=0,0,X27/T27)</f>
        <v>0</v>
      </c>
    </row>
    <row r="28" spans="1:26" s="69" customFormat="1" ht="15" hidden="1" customHeight="1" outlineLevel="1" x14ac:dyDescent="0.3">
      <c r="A28" s="47"/>
      <c r="B28" s="9" t="str">
        <f>CONCATENATE("          ","5500"," - ","FREIGHT-IN")</f>
        <v xml:space="preserve">          5500 - FREIGHT-IN</v>
      </c>
      <c r="C28" s="9"/>
      <c r="D28" s="3"/>
      <c r="E28" s="3"/>
      <c r="F28" s="26">
        <f>IF(D$12=0,0,D28/D$12)</f>
        <v>0</v>
      </c>
      <c r="G28" s="3"/>
      <c r="H28" s="3"/>
      <c r="I28" s="3"/>
      <c r="J28" s="26">
        <f>IF(H$12=0,0,H28/H$12)</f>
        <v>0</v>
      </c>
      <c r="K28" s="3"/>
      <c r="L28" s="3">
        <f>+D28-H28</f>
        <v>0</v>
      </c>
      <c r="M28" s="3"/>
      <c r="N28" s="26">
        <f>IF(H28=0,0,L28/H28)</f>
        <v>0</v>
      </c>
      <c r="O28" s="9"/>
      <c r="P28" s="3">
        <v>8.26</v>
      </c>
      <c r="Q28" s="3"/>
      <c r="R28" s="26">
        <f>IF(P$12=0,0,P28/P$12)</f>
        <v>3.5602874332974113E-5</v>
      </c>
      <c r="S28" s="3"/>
      <c r="T28" s="3"/>
      <c r="U28" s="3"/>
      <c r="V28" s="26">
        <f>IF(T$12=0,0,T28/T$12)</f>
        <v>0</v>
      </c>
      <c r="W28" s="3"/>
      <c r="X28" s="3">
        <f>+P28-T28</f>
        <v>8.26</v>
      </c>
      <c r="Y28" s="3"/>
      <c r="Z28" s="26">
        <f>IF(T28=0,0,X28/T28)</f>
        <v>0</v>
      </c>
    </row>
    <row r="29" spans="1:26" ht="15" customHeight="1" x14ac:dyDescent="0.3">
      <c r="A29" s="12"/>
      <c r="B29" s="13"/>
      <c r="C29" s="13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O29" s="13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2" customFormat="1" ht="15" customHeight="1" x14ac:dyDescent="0.3">
      <c r="A30" s="13"/>
      <c r="B30" s="28" t="s">
        <v>288</v>
      </c>
      <c r="C30" s="28"/>
      <c r="D30" s="22">
        <f>D12-D27</f>
        <v>8536.74</v>
      </c>
      <c r="E30" s="15"/>
      <c r="F30" s="24">
        <f>IF(D$12=0,0,D30/D$12)</f>
        <v>1</v>
      </c>
      <c r="G30" s="15"/>
      <c r="H30" s="22">
        <f>H12-H27</f>
        <v>4812.4399999999996</v>
      </c>
      <c r="I30" s="15"/>
      <c r="J30" s="24">
        <f>IF(H$12=0,0,H30/H$12)</f>
        <v>1</v>
      </c>
      <c r="K30" s="17"/>
      <c r="L30" s="22">
        <f>+D30-H30</f>
        <v>3724.3</v>
      </c>
      <c r="M30" s="17"/>
      <c r="N30" s="24">
        <f>IF(H30=0,0,L30/H30)</f>
        <v>0.77389016798131516</v>
      </c>
      <c r="O30" s="27"/>
      <c r="P30" s="22">
        <f>P12-P27</f>
        <v>231995.47999999998</v>
      </c>
      <c r="Q30" s="15"/>
      <c r="R30" s="24">
        <f>IF(P$12=0,0,P30/P$12)</f>
        <v>0.99996439712566698</v>
      </c>
      <c r="S30" s="15"/>
      <c r="T30" s="22">
        <f>T12-T27</f>
        <v>132456.04999999999</v>
      </c>
      <c r="U30" s="15"/>
      <c r="V30" s="24">
        <f>IF(T$12=0,0,T30/T$12)</f>
        <v>1</v>
      </c>
      <c r="W30" s="17"/>
      <c r="X30" s="22">
        <f>+P30-T30</f>
        <v>99539.43</v>
      </c>
      <c r="Y30" s="17"/>
      <c r="Z30" s="24">
        <f>IF(T30=0,0,X30/T30)</f>
        <v>0.75149024902977257</v>
      </c>
    </row>
    <row r="31" spans="1:26" ht="15" customHeight="1" x14ac:dyDescent="0.3">
      <c r="A31" s="12"/>
      <c r="B31" s="13"/>
      <c r="C31" s="12"/>
      <c r="D31" s="2"/>
      <c r="E31" s="2"/>
      <c r="F31" s="5"/>
      <c r="G31" s="2"/>
      <c r="H31" s="2"/>
      <c r="I31" s="2"/>
      <c r="J31" s="5"/>
      <c r="K31" s="2"/>
      <c r="L31" s="2"/>
      <c r="M31" s="2"/>
      <c r="N31" s="5"/>
      <c r="O31" s="37"/>
      <c r="P31" s="2"/>
      <c r="Q31" s="2"/>
      <c r="R31" s="5"/>
      <c r="S31" s="2"/>
      <c r="T31" s="2"/>
      <c r="U31" s="2"/>
      <c r="V31" s="5"/>
      <c r="W31" s="2"/>
      <c r="X31" s="2"/>
      <c r="Y31" s="2"/>
      <c r="Z31" s="5"/>
    </row>
    <row r="32" spans="1:26" s="62" customFormat="1" ht="15" customHeight="1" x14ac:dyDescent="0.3">
      <c r="A32" s="13"/>
      <c r="B32" s="27" t="s">
        <v>289</v>
      </c>
      <c r="C32" s="13"/>
      <c r="D32" s="23" cm="1">
        <f t="array" ref="D32">SUM(OSRRefD22x_0)</f>
        <v>30325.42</v>
      </c>
      <c r="E32" s="23"/>
      <c r="F32" s="34">
        <f t="shared" ref="F32:F63" si="4">IF(D$12=0,0,D32/D$12)</f>
        <v>3.5523419947192956</v>
      </c>
      <c r="G32" s="23"/>
      <c r="H32" s="23" cm="1">
        <f t="array" ref="H32">SUM(OSRRefH22x_0)</f>
        <v>32446.999999999996</v>
      </c>
      <c r="I32" s="23"/>
      <c r="J32" s="34">
        <f t="shared" ref="J32:J63" si="5">IF(H$12=0,0,H32/H$12)</f>
        <v>6.7423178263001722</v>
      </c>
      <c r="K32" s="8"/>
      <c r="L32" s="23">
        <f t="shared" ref="L32:L63" si="6">+D32-H32</f>
        <v>-2121.5799999999981</v>
      </c>
      <c r="M32" s="8"/>
      <c r="N32" s="34">
        <f t="shared" ref="N32:N63" si="7">IF(H32=0,0,L32/H32)</f>
        <v>-6.5386014115326477E-2</v>
      </c>
      <c r="O32" s="13"/>
      <c r="P32" s="23" cm="1">
        <f t="array" ref="P32">SUM(OSRRefP22x_0)</f>
        <v>304553.09000000008</v>
      </c>
      <c r="Q32" s="23"/>
      <c r="R32" s="34">
        <f t="shared" ref="R32:R63" si="8">IF(P$12=0,0,P32/P$12)</f>
        <v>1.312707674453869</v>
      </c>
      <c r="S32" s="23"/>
      <c r="T32" s="23" cm="1">
        <f t="array" ref="T32">SUM(OSRRefT22x_0)</f>
        <v>318006.93</v>
      </c>
      <c r="U32" s="23"/>
      <c r="V32" s="34">
        <f t="shared" ref="V32:V63" si="9">IF(T$12=0,0,T32/T$12)</f>
        <v>2.4008486588570324</v>
      </c>
      <c r="W32" s="8"/>
      <c r="X32" s="23">
        <f t="shared" ref="X32:X63" si="10">+P32-T32</f>
        <v>-13453.839999999909</v>
      </c>
      <c r="Y32" s="8"/>
      <c r="Z32" s="34">
        <f t="shared" ref="Z32:Z63" si="11">IF(T32=0,0,X32/T32)</f>
        <v>-4.2306750988099252E-2</v>
      </c>
    </row>
    <row r="33" spans="1:26" s="68" customFormat="1" ht="15" customHeight="1" outlineLevel="1" collapsed="1" x14ac:dyDescent="0.3">
      <c r="A33" s="20"/>
      <c r="B33" s="11" t="str">
        <f>CONCATENATE("     ","*Benefits                                         ")</f>
        <v xml:space="preserve">     *Benefits                                         </v>
      </c>
      <c r="C33" s="11"/>
      <c r="D33" s="2">
        <f>SUM(OSRRefD22_0x_0)</f>
        <v>1722.6800000000003</v>
      </c>
      <c r="E33" s="2"/>
      <c r="F33" s="5">
        <f t="shared" si="4"/>
        <v>0.20179600175242543</v>
      </c>
      <c r="G33" s="2"/>
      <c r="H33" s="2">
        <f>SUM(OSRRefH22_0x_0)</f>
        <v>9813.18</v>
      </c>
      <c r="I33" s="2"/>
      <c r="J33" s="5">
        <f t="shared" si="5"/>
        <v>2.0391277605538982</v>
      </c>
      <c r="K33" s="2"/>
      <c r="L33" s="2">
        <f t="shared" si="6"/>
        <v>-8090.5</v>
      </c>
      <c r="M33" s="2"/>
      <c r="N33" s="5">
        <f t="shared" si="7"/>
        <v>-0.82445242011254249</v>
      </c>
      <c r="O33" s="11"/>
      <c r="P33" s="2">
        <f>SUM(OSRRefP22_0x_0)</f>
        <v>79208.69</v>
      </c>
      <c r="Q33" s="2"/>
      <c r="R33" s="5">
        <f t="shared" si="8"/>
        <v>0.34141126345635636</v>
      </c>
      <c r="S33" s="2"/>
      <c r="T33" s="2">
        <f>SUM(OSRRefT22_0x_0)</f>
        <v>113804.90000000001</v>
      </c>
      <c r="U33" s="2"/>
      <c r="V33" s="5">
        <f t="shared" si="9"/>
        <v>0.85918989732820827</v>
      </c>
      <c r="W33" s="2"/>
      <c r="X33" s="2">
        <f t="shared" si="10"/>
        <v>-34596.210000000006</v>
      </c>
      <c r="Y33" s="2"/>
      <c r="Z33" s="5">
        <f t="shared" si="11"/>
        <v>-0.30399578577020853</v>
      </c>
    </row>
    <row r="34" spans="1:26" s="69" customFormat="1" ht="15" hidden="1" customHeight="1" outlineLevel="2" x14ac:dyDescent="0.3">
      <c r="A34" s="21"/>
      <c r="B34" s="9" t="str">
        <f>CONCATENATE("          ","6111"," - ","F.I.C.A.")</f>
        <v xml:space="preserve">          6111 - F.I.C.A.</v>
      </c>
      <c r="C34" s="9"/>
      <c r="D34" s="6">
        <v>750.09</v>
      </c>
      <c r="E34" s="3"/>
      <c r="F34" s="7">
        <f t="shared" si="4"/>
        <v>8.7866094082752907E-2</v>
      </c>
      <c r="G34" s="3"/>
      <c r="H34" s="6">
        <v>1244.99</v>
      </c>
      <c r="I34" s="3"/>
      <c r="J34" s="7">
        <f t="shared" si="5"/>
        <v>0.25870244616036775</v>
      </c>
      <c r="K34" s="3"/>
      <c r="L34" s="6">
        <f t="shared" si="6"/>
        <v>-494.9</v>
      </c>
      <c r="M34" s="3"/>
      <c r="N34" s="7">
        <f t="shared" si="7"/>
        <v>-0.39751323303801633</v>
      </c>
      <c r="O34" s="9"/>
      <c r="P34" s="6">
        <v>13677.81</v>
      </c>
      <c r="Q34" s="3"/>
      <c r="R34" s="7">
        <f t="shared" si="8"/>
        <v>5.89551271888979E-2</v>
      </c>
      <c r="S34" s="3"/>
      <c r="T34" s="6">
        <v>15776.77</v>
      </c>
      <c r="U34" s="3"/>
      <c r="V34" s="7">
        <f t="shared" si="9"/>
        <v>0.11910947065083098</v>
      </c>
      <c r="W34" s="3"/>
      <c r="X34" s="6">
        <f t="shared" si="10"/>
        <v>-2098.9600000000009</v>
      </c>
      <c r="Y34" s="3"/>
      <c r="Z34" s="7">
        <f t="shared" si="11"/>
        <v>-0.13304117382708888</v>
      </c>
    </row>
    <row r="35" spans="1:26" s="69" customFormat="1" ht="15" hidden="1" customHeight="1" outlineLevel="2" x14ac:dyDescent="0.3">
      <c r="A35" s="21"/>
      <c r="B35" s="9" t="str">
        <f>CONCATENATE("          ","6112"," - ","COMPENSATION INSURANCE")</f>
        <v xml:space="preserve">          6112 - COMPENSATION INSURANCE</v>
      </c>
      <c r="C35" s="9"/>
      <c r="D35" s="6">
        <v>-2600.54</v>
      </c>
      <c r="E35" s="3"/>
      <c r="F35" s="7">
        <f t="shared" si="4"/>
        <v>-0.30462916757450736</v>
      </c>
      <c r="G35" s="3"/>
      <c r="H35" s="6">
        <v>319.12</v>
      </c>
      <c r="I35" s="3"/>
      <c r="J35" s="7">
        <f t="shared" si="5"/>
        <v>6.63114760911305E-2</v>
      </c>
      <c r="K35" s="3"/>
      <c r="L35" s="6">
        <f t="shared" si="6"/>
        <v>-2919.66</v>
      </c>
      <c r="M35" s="3"/>
      <c r="N35" s="7">
        <f t="shared" si="7"/>
        <v>-9.1490975181749814</v>
      </c>
      <c r="O35" s="9"/>
      <c r="P35" s="6">
        <v>380.35</v>
      </c>
      <c r="Q35" s="3"/>
      <c r="R35" s="7">
        <f t="shared" si="8"/>
        <v>1.6394132267005697E-3</v>
      </c>
      <c r="S35" s="3"/>
      <c r="T35" s="6">
        <v>4131.79</v>
      </c>
      <c r="U35" s="3"/>
      <c r="V35" s="7">
        <f t="shared" si="9"/>
        <v>3.1193667635415673E-2</v>
      </c>
      <c r="W35" s="3"/>
      <c r="X35" s="6">
        <f t="shared" si="10"/>
        <v>-3751.44</v>
      </c>
      <c r="Y35" s="3"/>
      <c r="Z35" s="7">
        <f t="shared" si="11"/>
        <v>-0.90794546673475662</v>
      </c>
    </row>
    <row r="36" spans="1:26" s="69" customFormat="1" ht="15" hidden="1" customHeight="1" outlineLevel="2" x14ac:dyDescent="0.3">
      <c r="A36" s="21"/>
      <c r="B36" s="9" t="str">
        <f>CONCATENATE("          ","6113"," - ","GROUP INSURANCE")</f>
        <v xml:space="preserve">          6113 - GROUP INSURANCE</v>
      </c>
      <c r="C36" s="9"/>
      <c r="D36" s="6">
        <v>1287</v>
      </c>
      <c r="E36" s="3"/>
      <c r="F36" s="7">
        <f t="shared" si="4"/>
        <v>0.15076012623085627</v>
      </c>
      <c r="G36" s="3"/>
      <c r="H36" s="6">
        <v>3421.48</v>
      </c>
      <c r="I36" s="3"/>
      <c r="J36" s="7">
        <f t="shared" si="5"/>
        <v>0.71096574710541849</v>
      </c>
      <c r="K36" s="3"/>
      <c r="L36" s="6">
        <f t="shared" si="6"/>
        <v>-2134.48</v>
      </c>
      <c r="M36" s="3"/>
      <c r="N36" s="7">
        <f t="shared" si="7"/>
        <v>-0.62384699019137912</v>
      </c>
      <c r="O36" s="9"/>
      <c r="P36" s="6">
        <v>25608.02</v>
      </c>
      <c r="Q36" s="3"/>
      <c r="R36" s="7">
        <f t="shared" si="8"/>
        <v>0.11037761718841257</v>
      </c>
      <c r="S36" s="3"/>
      <c r="T36" s="6">
        <v>42900.21</v>
      </c>
      <c r="U36" s="3"/>
      <c r="V36" s="7">
        <f t="shared" si="9"/>
        <v>0.3238826010589928</v>
      </c>
      <c r="W36" s="3"/>
      <c r="X36" s="6">
        <f t="shared" si="10"/>
        <v>-17292.189999999999</v>
      </c>
      <c r="Y36" s="3"/>
      <c r="Z36" s="7">
        <f t="shared" si="11"/>
        <v>-0.40307937886551137</v>
      </c>
    </row>
    <row r="37" spans="1:26" s="69" customFormat="1" ht="15" hidden="1" customHeight="1" outlineLevel="2" x14ac:dyDescent="0.3">
      <c r="A37" s="21"/>
      <c r="B37" s="9" t="str">
        <f>CONCATENATE("          ","6114"," - ","STATE UNEMPLOYMENT INSURANCE")</f>
        <v xml:space="preserve">          6114 - STATE UNEMPLOYMENT INSURANCE</v>
      </c>
      <c r="C37" s="9"/>
      <c r="D37" s="6"/>
      <c r="E37" s="3"/>
      <c r="F37" s="7">
        <f t="shared" si="4"/>
        <v>0</v>
      </c>
      <c r="G37" s="3"/>
      <c r="H37" s="6">
        <v>44.85</v>
      </c>
      <c r="I37" s="3"/>
      <c r="J37" s="7">
        <f t="shared" si="5"/>
        <v>9.3195967118551108E-3</v>
      </c>
      <c r="K37" s="3"/>
      <c r="L37" s="6">
        <f t="shared" si="6"/>
        <v>-44.85</v>
      </c>
      <c r="M37" s="3"/>
      <c r="N37" s="7">
        <f t="shared" si="7"/>
        <v>-1</v>
      </c>
      <c r="O37" s="9"/>
      <c r="P37" s="6">
        <v>523.66999999999996</v>
      </c>
      <c r="Q37" s="3"/>
      <c r="R37" s="7">
        <f t="shared" si="8"/>
        <v>2.2571618888557569E-3</v>
      </c>
      <c r="S37" s="3"/>
      <c r="T37" s="6">
        <v>580.66999999999996</v>
      </c>
      <c r="U37" s="3"/>
      <c r="V37" s="7">
        <f t="shared" si="9"/>
        <v>4.383869215486948E-3</v>
      </c>
      <c r="W37" s="3"/>
      <c r="X37" s="6">
        <f t="shared" si="10"/>
        <v>-57</v>
      </c>
      <c r="Y37" s="3"/>
      <c r="Z37" s="7">
        <f t="shared" si="11"/>
        <v>-9.8162467494446085E-2</v>
      </c>
    </row>
    <row r="38" spans="1:26" s="69" customFormat="1" ht="15" hidden="1" customHeight="1" outlineLevel="2" x14ac:dyDescent="0.3">
      <c r="A38" s="21"/>
      <c r="B38" s="9" t="str">
        <f>CONCATENATE("          ","6115"," - ","P.E.R.S.")</f>
        <v xml:space="preserve">          6115 - P.E.R.S.</v>
      </c>
      <c r="C38" s="9"/>
      <c r="D38" s="6">
        <v>752.91</v>
      </c>
      <c r="E38" s="3"/>
      <c r="F38" s="7">
        <f t="shared" si="4"/>
        <v>8.819643095607925E-2</v>
      </c>
      <c r="G38" s="3"/>
      <c r="H38" s="6">
        <v>2421.6799999999998</v>
      </c>
      <c r="I38" s="3"/>
      <c r="J38" s="7">
        <f t="shared" si="5"/>
        <v>0.50321250758451019</v>
      </c>
      <c r="K38" s="3"/>
      <c r="L38" s="6">
        <f t="shared" si="6"/>
        <v>-1668.77</v>
      </c>
      <c r="M38" s="3"/>
      <c r="N38" s="7">
        <f t="shared" si="7"/>
        <v>-0.6890959994714414</v>
      </c>
      <c r="O38" s="9"/>
      <c r="P38" s="6">
        <v>16772.27</v>
      </c>
      <c r="Q38" s="3"/>
      <c r="R38" s="7">
        <f t="shared" si="8"/>
        <v>7.2293101826720552E-2</v>
      </c>
      <c r="S38" s="3"/>
      <c r="T38" s="6">
        <v>21347.57</v>
      </c>
      <c r="U38" s="3"/>
      <c r="V38" s="7">
        <f t="shared" si="9"/>
        <v>0.1611671947034507</v>
      </c>
      <c r="W38" s="3"/>
      <c r="X38" s="6">
        <f t="shared" si="10"/>
        <v>-4575.2999999999993</v>
      </c>
      <c r="Y38" s="3"/>
      <c r="Z38" s="7">
        <f t="shared" si="11"/>
        <v>-0.21432415961160917</v>
      </c>
    </row>
    <row r="39" spans="1:26" s="69" customFormat="1" ht="15" hidden="1" customHeight="1" outlineLevel="2" x14ac:dyDescent="0.3">
      <c r="A39" s="21"/>
      <c r="B39" s="9" t="str">
        <f>CONCATENATE("          ","6118"," - ","VACATION")</f>
        <v xml:space="preserve">          6118 - VACATION</v>
      </c>
      <c r="C39" s="9"/>
      <c r="D39" s="6">
        <v>656.44</v>
      </c>
      <c r="E39" s="3"/>
      <c r="F39" s="7">
        <f t="shared" si="4"/>
        <v>7.6895864229202263E-2</v>
      </c>
      <c r="G39" s="3"/>
      <c r="H39" s="6">
        <v>1216.0999999999999</v>
      </c>
      <c r="I39" s="3"/>
      <c r="J39" s="7">
        <f t="shared" si="5"/>
        <v>0.25269925443226304</v>
      </c>
      <c r="K39" s="3"/>
      <c r="L39" s="6">
        <f t="shared" si="6"/>
        <v>-559.65999999999985</v>
      </c>
      <c r="M39" s="3"/>
      <c r="N39" s="7">
        <f t="shared" si="7"/>
        <v>-0.46020886440259839</v>
      </c>
      <c r="O39" s="9"/>
      <c r="P39" s="6">
        <v>9814.77</v>
      </c>
      <c r="Q39" s="3"/>
      <c r="R39" s="7">
        <f t="shared" si="8"/>
        <v>4.2304361127971472E-2</v>
      </c>
      <c r="S39" s="3"/>
      <c r="T39" s="6">
        <v>15451.76</v>
      </c>
      <c r="U39" s="3"/>
      <c r="V39" s="7">
        <f t="shared" si="9"/>
        <v>0.11665575109630705</v>
      </c>
      <c r="W39" s="3"/>
      <c r="X39" s="6">
        <f t="shared" si="10"/>
        <v>-5636.99</v>
      </c>
      <c r="Y39" s="3"/>
      <c r="Z39" s="7">
        <f t="shared" si="11"/>
        <v>-0.36481216379234466</v>
      </c>
    </row>
    <row r="40" spans="1:26" s="69" customFormat="1" ht="15" hidden="1" customHeight="1" outlineLevel="2" x14ac:dyDescent="0.3">
      <c r="A40" s="21"/>
      <c r="B40" s="9" t="str">
        <f>CONCATENATE("          ","6119"," - ","SICK LEAVE")</f>
        <v xml:space="preserve">          6119 - SICK LEAVE</v>
      </c>
      <c r="C40" s="9"/>
      <c r="D40" s="6">
        <v>411.06</v>
      </c>
      <c r="E40" s="3"/>
      <c r="F40" s="7">
        <f t="shared" si="4"/>
        <v>4.8151870620400765E-2</v>
      </c>
      <c r="G40" s="3"/>
      <c r="H40" s="6">
        <v>738.5</v>
      </c>
      <c r="I40" s="3"/>
      <c r="J40" s="7">
        <f t="shared" si="5"/>
        <v>0.1534564586779264</v>
      </c>
      <c r="K40" s="3"/>
      <c r="L40" s="6">
        <f t="shared" si="6"/>
        <v>-327.44</v>
      </c>
      <c r="M40" s="3"/>
      <c r="N40" s="7">
        <f t="shared" si="7"/>
        <v>-0.443385240352065</v>
      </c>
      <c r="O40" s="9"/>
      <c r="P40" s="6">
        <v>7225.49</v>
      </c>
      <c r="Q40" s="3"/>
      <c r="R40" s="7">
        <f t="shared" si="8"/>
        <v>3.1143851387912973E-2</v>
      </c>
      <c r="S40" s="3"/>
      <c r="T40" s="6">
        <v>9494.52</v>
      </c>
      <c r="U40" s="3"/>
      <c r="V40" s="7">
        <f t="shared" si="9"/>
        <v>7.1680531013872159E-2</v>
      </c>
      <c r="W40" s="3"/>
      <c r="X40" s="6">
        <f t="shared" si="10"/>
        <v>-2269.0300000000007</v>
      </c>
      <c r="Y40" s="3"/>
      <c r="Z40" s="7">
        <f t="shared" si="11"/>
        <v>-0.23898311868319835</v>
      </c>
    </row>
    <row r="41" spans="1:26" s="69" customFormat="1" ht="15" hidden="1" customHeight="1" outlineLevel="2" x14ac:dyDescent="0.3">
      <c r="A41" s="21"/>
      <c r="B41" s="9" t="str">
        <f>CONCATENATE("          ","6156"," - ","EMPLOYEE MEALS")</f>
        <v xml:space="preserve">          6156 - EMPLOYEE MEALS</v>
      </c>
      <c r="C41" s="9"/>
      <c r="D41" s="6">
        <v>465.72</v>
      </c>
      <c r="E41" s="3"/>
      <c r="F41" s="7">
        <f t="shared" si="4"/>
        <v>5.455478320764133E-2</v>
      </c>
      <c r="G41" s="3"/>
      <c r="H41" s="6">
        <v>406.46</v>
      </c>
      <c r="I41" s="3"/>
      <c r="J41" s="7">
        <f t="shared" si="5"/>
        <v>8.4460273790426477E-2</v>
      </c>
      <c r="K41" s="3"/>
      <c r="L41" s="6">
        <f t="shared" si="6"/>
        <v>59.260000000000048</v>
      </c>
      <c r="M41" s="3"/>
      <c r="N41" s="7">
        <f t="shared" si="7"/>
        <v>0.14579540422181778</v>
      </c>
      <c r="O41" s="9"/>
      <c r="P41" s="6">
        <v>5206.3100000000004</v>
      </c>
      <c r="Q41" s="3"/>
      <c r="R41" s="7">
        <f t="shared" si="8"/>
        <v>2.2440629620884563E-2</v>
      </c>
      <c r="S41" s="3"/>
      <c r="T41" s="6">
        <v>4121.6099999999997</v>
      </c>
      <c r="U41" s="3"/>
      <c r="V41" s="7">
        <f t="shared" si="9"/>
        <v>3.1116811953851863E-2</v>
      </c>
      <c r="W41" s="3"/>
      <c r="X41" s="6">
        <f t="shared" si="10"/>
        <v>1084.7000000000007</v>
      </c>
      <c r="Y41" s="3"/>
      <c r="Z41" s="7">
        <f t="shared" si="11"/>
        <v>0.26317385681808825</v>
      </c>
    </row>
    <row r="42" spans="1:26" s="68" customFormat="1" ht="15" customHeight="1" outlineLevel="1" collapsed="1" x14ac:dyDescent="0.3">
      <c r="A42" s="20"/>
      <c r="B42" s="11" t="str">
        <f>CONCATENATE("     ","*Payroll                                          ")</f>
        <v xml:space="preserve">     *Payroll                                          </v>
      </c>
      <c r="C42" s="11"/>
      <c r="D42" s="2">
        <f>SUM(OSRRefD22_1x_0)</f>
        <v>9778.94</v>
      </c>
      <c r="E42" s="2"/>
      <c r="F42" s="5">
        <f t="shared" si="4"/>
        <v>1.1455122212929059</v>
      </c>
      <c r="G42" s="2"/>
      <c r="H42" s="2">
        <f>SUM(OSRRefH22_1x_0)</f>
        <v>14325.42</v>
      </c>
      <c r="I42" s="2"/>
      <c r="J42" s="5">
        <f t="shared" si="5"/>
        <v>2.9767477620500205</v>
      </c>
      <c r="K42" s="2"/>
      <c r="L42" s="2">
        <f t="shared" si="6"/>
        <v>-4546.4799999999996</v>
      </c>
      <c r="M42" s="2"/>
      <c r="N42" s="5">
        <f t="shared" si="7"/>
        <v>-0.31737149765940542</v>
      </c>
      <c r="O42" s="11"/>
      <c r="P42" s="2">
        <f>SUM(OSRRefP22_1x_0)</f>
        <v>161949.43</v>
      </c>
      <c r="Q42" s="2"/>
      <c r="R42" s="5">
        <f t="shared" si="8"/>
        <v>0.69804663493786778</v>
      </c>
      <c r="S42" s="2"/>
      <c r="T42" s="2">
        <f>SUM(OSRRefT22_1x_0)</f>
        <v>184511.34</v>
      </c>
      <c r="U42" s="2"/>
      <c r="V42" s="5">
        <f t="shared" si="9"/>
        <v>1.3930004707221755</v>
      </c>
      <c r="W42" s="2"/>
      <c r="X42" s="2">
        <f t="shared" si="10"/>
        <v>-22561.910000000003</v>
      </c>
      <c r="Y42" s="2"/>
      <c r="Z42" s="5">
        <f t="shared" si="11"/>
        <v>-0.12227925936693107</v>
      </c>
    </row>
    <row r="43" spans="1:26" s="69" customFormat="1" ht="15" hidden="1" customHeight="1" outlineLevel="2" x14ac:dyDescent="0.3">
      <c r="A43" s="21"/>
      <c r="B43" s="9" t="str">
        <f>CONCATENATE("          ","6002"," - ","STAFF SALARIES")</f>
        <v xml:space="preserve">          6002 - STAFF SALARIES</v>
      </c>
      <c r="C43" s="9"/>
      <c r="D43" s="6">
        <v>8466.44</v>
      </c>
      <c r="E43" s="3"/>
      <c r="F43" s="7">
        <f t="shared" si="4"/>
        <v>0.99176500631388576</v>
      </c>
      <c r="G43" s="3"/>
      <c r="H43" s="6">
        <v>13915.64</v>
      </c>
      <c r="I43" s="3"/>
      <c r="J43" s="7">
        <f t="shared" si="5"/>
        <v>2.8915976095286382</v>
      </c>
      <c r="K43" s="3"/>
      <c r="L43" s="6">
        <f t="shared" si="6"/>
        <v>-5449.1999999999989</v>
      </c>
      <c r="M43" s="3"/>
      <c r="N43" s="7">
        <f t="shared" si="7"/>
        <v>-0.39158816985780021</v>
      </c>
      <c r="O43" s="9"/>
      <c r="P43" s="6">
        <v>129895.58</v>
      </c>
      <c r="Q43" s="3"/>
      <c r="R43" s="7">
        <f t="shared" si="8"/>
        <v>0.5598857156354462</v>
      </c>
      <c r="S43" s="3"/>
      <c r="T43" s="6">
        <v>176389.94</v>
      </c>
      <c r="U43" s="3"/>
      <c r="V43" s="7">
        <f t="shared" si="9"/>
        <v>1.3316865481040694</v>
      </c>
      <c r="W43" s="3"/>
      <c r="X43" s="6">
        <f t="shared" si="10"/>
        <v>-46494.36</v>
      </c>
      <c r="Y43" s="3"/>
      <c r="Z43" s="7">
        <f t="shared" si="11"/>
        <v>-0.26358850170253473</v>
      </c>
    </row>
    <row r="44" spans="1:26" s="69" customFormat="1" ht="15" hidden="1" customHeight="1" outlineLevel="2" x14ac:dyDescent="0.3">
      <c r="A44" s="21"/>
      <c r="B44" s="9" t="str">
        <f>CONCATENATE("          ","6005"," - ","TEMPORARY WAGES-HOURLY")</f>
        <v xml:space="preserve">          6005 - TEMPORARY WAGES-HOURLY</v>
      </c>
      <c r="C44" s="9"/>
      <c r="D44" s="6"/>
      <c r="E44" s="3"/>
      <c r="F44" s="7">
        <f t="shared" si="4"/>
        <v>0</v>
      </c>
      <c r="G44" s="3"/>
      <c r="H44" s="6"/>
      <c r="I44" s="3"/>
      <c r="J44" s="7">
        <f t="shared" si="5"/>
        <v>0</v>
      </c>
      <c r="K44" s="3"/>
      <c r="L44" s="6">
        <f t="shared" si="6"/>
        <v>0</v>
      </c>
      <c r="M44" s="3"/>
      <c r="N44" s="7">
        <f t="shared" si="7"/>
        <v>0</v>
      </c>
      <c r="O44" s="9"/>
      <c r="P44" s="6"/>
      <c r="Q44" s="3"/>
      <c r="R44" s="7">
        <f t="shared" si="8"/>
        <v>0</v>
      </c>
      <c r="S44" s="3"/>
      <c r="T44" s="6">
        <v>383.25</v>
      </c>
      <c r="U44" s="3"/>
      <c r="V44" s="7">
        <f t="shared" si="9"/>
        <v>2.8934125696787731E-3</v>
      </c>
      <c r="W44" s="3"/>
      <c r="X44" s="6">
        <f t="shared" si="10"/>
        <v>-383.25</v>
      </c>
      <c r="Y44" s="3"/>
      <c r="Z44" s="7">
        <f t="shared" si="11"/>
        <v>-1</v>
      </c>
    </row>
    <row r="45" spans="1:26" s="69" customFormat="1" ht="15" hidden="1" customHeight="1" outlineLevel="2" x14ac:dyDescent="0.3">
      <c r="A45" s="21"/>
      <c r="B45" s="9" t="str">
        <f>CONCATENATE("          ","6007"," - ","STUDENT HOURLY")</f>
        <v xml:space="preserve">          6007 - STUDENT HOURLY</v>
      </c>
      <c r="C45" s="9"/>
      <c r="D45" s="6">
        <v>1312.5</v>
      </c>
      <c r="E45" s="3"/>
      <c r="F45" s="7">
        <f t="shared" si="4"/>
        <v>0.15374721497902011</v>
      </c>
      <c r="G45" s="3"/>
      <c r="H45" s="6">
        <v>409.78</v>
      </c>
      <c r="I45" s="3"/>
      <c r="J45" s="7">
        <f t="shared" si="5"/>
        <v>8.5150152521382083E-2</v>
      </c>
      <c r="K45" s="3"/>
      <c r="L45" s="6">
        <f t="shared" si="6"/>
        <v>902.72</v>
      </c>
      <c r="M45" s="3"/>
      <c r="N45" s="7">
        <f t="shared" si="7"/>
        <v>2.2029381619405535</v>
      </c>
      <c r="O45" s="9"/>
      <c r="P45" s="6">
        <v>31035.35</v>
      </c>
      <c r="Q45" s="3"/>
      <c r="R45" s="7">
        <f t="shared" si="8"/>
        <v>0.13377090386560148</v>
      </c>
      <c r="S45" s="3"/>
      <c r="T45" s="6">
        <v>7738.15</v>
      </c>
      <c r="U45" s="3"/>
      <c r="V45" s="7">
        <f t="shared" si="9"/>
        <v>5.8420510048427389E-2</v>
      </c>
      <c r="W45" s="3"/>
      <c r="X45" s="6">
        <f t="shared" si="10"/>
        <v>23297.199999999997</v>
      </c>
      <c r="Y45" s="3"/>
      <c r="Z45" s="7">
        <f t="shared" si="11"/>
        <v>3.0106937704748549</v>
      </c>
    </row>
    <row r="46" spans="1:26" s="69" customFormat="1" ht="15" hidden="1" customHeight="1" outlineLevel="2" x14ac:dyDescent="0.3">
      <c r="A46" s="21"/>
      <c r="B46" s="9" t="str">
        <f>CONCATENATE("          ","6008"," - ","STUDENT HOURLY-FICA EXEMPT")</f>
        <v xml:space="preserve">          6008 - STUDENT HOURLY-FICA EXEMPT</v>
      </c>
      <c r="C46" s="9"/>
      <c r="D46" s="6"/>
      <c r="E46" s="3"/>
      <c r="F46" s="7">
        <f t="shared" si="4"/>
        <v>0</v>
      </c>
      <c r="G46" s="3"/>
      <c r="H46" s="6"/>
      <c r="I46" s="3"/>
      <c r="J46" s="7">
        <f t="shared" si="5"/>
        <v>0</v>
      </c>
      <c r="K46" s="3"/>
      <c r="L46" s="6">
        <f t="shared" si="6"/>
        <v>0</v>
      </c>
      <c r="M46" s="3"/>
      <c r="N46" s="7">
        <f t="shared" si="7"/>
        <v>0</v>
      </c>
      <c r="O46" s="9"/>
      <c r="P46" s="6">
        <v>1018.5</v>
      </c>
      <c r="Q46" s="3"/>
      <c r="R46" s="7">
        <f t="shared" si="8"/>
        <v>4.3900154368201137E-3</v>
      </c>
      <c r="S46" s="3"/>
      <c r="T46" s="6"/>
      <c r="U46" s="3"/>
      <c r="V46" s="7">
        <f t="shared" si="9"/>
        <v>0</v>
      </c>
      <c r="W46" s="3"/>
      <c r="X46" s="6">
        <f t="shared" si="10"/>
        <v>1018.5</v>
      </c>
      <c r="Y46" s="3"/>
      <c r="Z46" s="7">
        <f t="shared" si="11"/>
        <v>0</v>
      </c>
    </row>
    <row r="47" spans="1:26" s="68" customFormat="1" ht="15" customHeight="1" outlineLevel="1" collapsed="1" x14ac:dyDescent="0.3">
      <c r="A47" s="20"/>
      <c r="B47" s="11" t="str">
        <f>CONCATENATE("     ","Advertising/Promo                                 ")</f>
        <v xml:space="preserve">     Advertising/Promo                                 </v>
      </c>
      <c r="C47" s="11"/>
      <c r="D47" s="2">
        <f>SUM(OSRRefD22_2x_0)</f>
        <v>36.700000000000003</v>
      </c>
      <c r="E47" s="2"/>
      <c r="F47" s="5">
        <f t="shared" si="4"/>
        <v>4.2990649826514576E-3</v>
      </c>
      <c r="G47" s="2"/>
      <c r="H47" s="2">
        <f>SUM(OSRRefH22_2x_0)</f>
        <v>0</v>
      </c>
      <c r="I47" s="2"/>
      <c r="J47" s="5">
        <f t="shared" si="5"/>
        <v>0</v>
      </c>
      <c r="K47" s="2"/>
      <c r="L47" s="2">
        <f t="shared" si="6"/>
        <v>36.700000000000003</v>
      </c>
      <c r="M47" s="2"/>
      <c r="N47" s="5">
        <f t="shared" si="7"/>
        <v>0</v>
      </c>
      <c r="O47" s="11"/>
      <c r="P47" s="2">
        <f>SUM(OSRRefP22_2x_0)</f>
        <v>188.55</v>
      </c>
      <c r="Q47" s="2"/>
      <c r="R47" s="5">
        <f t="shared" si="8"/>
        <v>8.1270241591795036E-4</v>
      </c>
      <c r="S47" s="2"/>
      <c r="T47" s="2">
        <f>SUM(OSRRefT22_2x_0)</f>
        <v>0</v>
      </c>
      <c r="U47" s="2"/>
      <c r="V47" s="5">
        <f t="shared" si="9"/>
        <v>0</v>
      </c>
      <c r="W47" s="2"/>
      <c r="X47" s="2">
        <f t="shared" si="10"/>
        <v>188.55</v>
      </c>
      <c r="Y47" s="2"/>
      <c r="Z47" s="5">
        <f t="shared" si="11"/>
        <v>0</v>
      </c>
    </row>
    <row r="48" spans="1:26" s="69" customFormat="1" ht="15" hidden="1" customHeight="1" outlineLevel="2" x14ac:dyDescent="0.3">
      <c r="A48" s="21"/>
      <c r="B48" s="9" t="str">
        <f>CONCATENATE("          ","6362"," - ","ADVERTISING EXPENSE")</f>
        <v xml:space="preserve">          6362 - ADVERTISING EXPENSE</v>
      </c>
      <c r="C48" s="9"/>
      <c r="D48" s="6">
        <v>36.700000000000003</v>
      </c>
      <c r="E48" s="3"/>
      <c r="F48" s="7">
        <f t="shared" si="4"/>
        <v>4.2990649826514576E-3</v>
      </c>
      <c r="G48" s="3"/>
      <c r="H48" s="6"/>
      <c r="I48" s="3"/>
      <c r="J48" s="7">
        <f t="shared" si="5"/>
        <v>0</v>
      </c>
      <c r="K48" s="3"/>
      <c r="L48" s="6">
        <f t="shared" si="6"/>
        <v>36.700000000000003</v>
      </c>
      <c r="M48" s="3"/>
      <c r="N48" s="7">
        <f t="shared" si="7"/>
        <v>0</v>
      </c>
      <c r="O48" s="9"/>
      <c r="P48" s="6">
        <v>188.55</v>
      </c>
      <c r="Q48" s="3"/>
      <c r="R48" s="7">
        <f t="shared" si="8"/>
        <v>8.1270241591795036E-4</v>
      </c>
      <c r="S48" s="3"/>
      <c r="T48" s="6"/>
      <c r="U48" s="3"/>
      <c r="V48" s="7">
        <f t="shared" si="9"/>
        <v>0</v>
      </c>
      <c r="W48" s="3"/>
      <c r="X48" s="6">
        <f t="shared" si="10"/>
        <v>188.55</v>
      </c>
      <c r="Y48" s="3"/>
      <c r="Z48" s="7">
        <f t="shared" si="11"/>
        <v>0</v>
      </c>
    </row>
    <row r="49" spans="1:26" s="68" customFormat="1" ht="15" customHeight="1" outlineLevel="1" collapsed="1" x14ac:dyDescent="0.3">
      <c r="A49" s="20"/>
      <c r="B49" s="11" t="str">
        <f>CONCATENATE("     ","Depreciation                                      ")</f>
        <v xml:space="preserve">     Depreciation                                      </v>
      </c>
      <c r="C49" s="11"/>
      <c r="D49" s="2">
        <f>SUM(OSRRefD22_3x_0)</f>
        <v>169.92</v>
      </c>
      <c r="E49" s="2"/>
      <c r="F49" s="5">
        <f t="shared" si="4"/>
        <v>1.9904553728941024E-2</v>
      </c>
      <c r="G49" s="2"/>
      <c r="H49" s="2">
        <f>SUM(OSRRefH22_3x_0)</f>
        <v>169.92</v>
      </c>
      <c r="I49" s="2"/>
      <c r="J49" s="5">
        <f t="shared" si="5"/>
        <v>3.5308492157824306E-2</v>
      </c>
      <c r="K49" s="2"/>
      <c r="L49" s="2">
        <f t="shared" si="6"/>
        <v>0</v>
      </c>
      <c r="M49" s="2"/>
      <c r="N49" s="5">
        <f t="shared" si="7"/>
        <v>0</v>
      </c>
      <c r="O49" s="11"/>
      <c r="P49" s="2">
        <f>SUM(OSRRefP22_3x_0)</f>
        <v>2038.6</v>
      </c>
      <c r="Q49" s="2"/>
      <c r="R49" s="5">
        <f t="shared" si="8"/>
        <v>8.7869273141889873E-3</v>
      </c>
      <c r="S49" s="2"/>
      <c r="T49" s="2">
        <f>SUM(OSRRefT22_3x_0)</f>
        <v>2038.6</v>
      </c>
      <c r="U49" s="2"/>
      <c r="V49" s="5">
        <f t="shared" si="9"/>
        <v>1.5390765465224126E-2</v>
      </c>
      <c r="W49" s="2"/>
      <c r="X49" s="2">
        <f t="shared" si="10"/>
        <v>0</v>
      </c>
      <c r="Y49" s="2"/>
      <c r="Z49" s="5">
        <f t="shared" si="11"/>
        <v>0</v>
      </c>
    </row>
    <row r="50" spans="1:26" s="69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169.92</v>
      </c>
      <c r="E50" s="3"/>
      <c r="F50" s="7">
        <f t="shared" si="4"/>
        <v>1.9904553728941024E-2</v>
      </c>
      <c r="G50" s="3"/>
      <c r="H50" s="6">
        <v>169.92</v>
      </c>
      <c r="I50" s="3"/>
      <c r="J50" s="7">
        <f t="shared" si="5"/>
        <v>3.5308492157824306E-2</v>
      </c>
      <c r="K50" s="3"/>
      <c r="L50" s="6">
        <f t="shared" si="6"/>
        <v>0</v>
      </c>
      <c r="M50" s="3"/>
      <c r="N50" s="7">
        <f t="shared" si="7"/>
        <v>0</v>
      </c>
      <c r="O50" s="9"/>
      <c r="P50" s="6">
        <v>2038.6</v>
      </c>
      <c r="Q50" s="3"/>
      <c r="R50" s="7">
        <f t="shared" si="8"/>
        <v>8.7869273141889873E-3</v>
      </c>
      <c r="S50" s="3"/>
      <c r="T50" s="6">
        <v>2038.6</v>
      </c>
      <c r="U50" s="3"/>
      <c r="V50" s="7">
        <f t="shared" si="9"/>
        <v>1.5390765465224126E-2</v>
      </c>
      <c r="W50" s="3"/>
      <c r="X50" s="6">
        <f t="shared" si="10"/>
        <v>0</v>
      </c>
      <c r="Y50" s="3"/>
      <c r="Z50" s="7">
        <f t="shared" si="11"/>
        <v>0</v>
      </c>
    </row>
    <row r="51" spans="1:26" s="68" customFormat="1" ht="15" customHeight="1" outlineLevel="1" collapsed="1" x14ac:dyDescent="0.3">
      <c r="A51" s="20"/>
      <c r="B51" s="11" t="str">
        <f>CONCATENATE("     ","Discounts and Markdowns                           ")</f>
        <v xml:space="preserve">     Discounts and Markdowns                           </v>
      </c>
      <c r="C51" s="11"/>
      <c r="D51" s="2">
        <f>SUM(OSRRefD22_4x_0)</f>
        <v>0</v>
      </c>
      <c r="E51" s="2"/>
      <c r="F51" s="5">
        <f t="shared" si="4"/>
        <v>0</v>
      </c>
      <c r="G51" s="2"/>
      <c r="H51" s="2">
        <f>SUM(OSRRefH22_4x_0)</f>
        <v>0</v>
      </c>
      <c r="I51" s="2"/>
      <c r="J51" s="5">
        <f t="shared" si="5"/>
        <v>0</v>
      </c>
      <c r="K51" s="2"/>
      <c r="L51" s="2">
        <f t="shared" si="6"/>
        <v>0</v>
      </c>
      <c r="M51" s="2"/>
      <c r="N51" s="5">
        <f t="shared" si="7"/>
        <v>0</v>
      </c>
      <c r="O51" s="11"/>
      <c r="P51" s="2">
        <f>SUM(OSRRefP22_4x_0)</f>
        <v>0</v>
      </c>
      <c r="Q51" s="2"/>
      <c r="R51" s="5">
        <f t="shared" si="8"/>
        <v>0</v>
      </c>
      <c r="S51" s="2"/>
      <c r="T51" s="2">
        <f>SUM(OSRRefT22_4x_0)</f>
        <v>0</v>
      </c>
      <c r="U51" s="2"/>
      <c r="V51" s="5">
        <f t="shared" si="9"/>
        <v>0</v>
      </c>
      <c r="W51" s="2"/>
      <c r="X51" s="2">
        <f t="shared" si="10"/>
        <v>0</v>
      </c>
      <c r="Y51" s="2"/>
      <c r="Z51" s="5">
        <f t="shared" si="11"/>
        <v>0</v>
      </c>
    </row>
    <row r="52" spans="1:26" s="69" customFormat="1" ht="15" hidden="1" customHeight="1" outlineLevel="2" x14ac:dyDescent="0.3">
      <c r="A52" s="21"/>
      <c r="B52" s="9" t="str">
        <f>CONCATENATE("          ","6382"," - ","DISCOUNTS/MARK DOWNS")</f>
        <v xml:space="preserve">          6382 - DISCOUNTS/MARK DOWNS</v>
      </c>
      <c r="C52" s="9"/>
      <c r="D52" s="6"/>
      <c r="E52" s="3"/>
      <c r="F52" s="7">
        <f t="shared" si="4"/>
        <v>0</v>
      </c>
      <c r="G52" s="3"/>
      <c r="H52" s="6"/>
      <c r="I52" s="3"/>
      <c r="J52" s="7">
        <f t="shared" si="5"/>
        <v>0</v>
      </c>
      <c r="K52" s="3"/>
      <c r="L52" s="6">
        <f t="shared" si="6"/>
        <v>0</v>
      </c>
      <c r="M52" s="3"/>
      <c r="N52" s="7">
        <f t="shared" si="7"/>
        <v>0</v>
      </c>
      <c r="O52" s="9"/>
      <c r="P52" s="6"/>
      <c r="Q52" s="3"/>
      <c r="R52" s="7">
        <f t="shared" si="8"/>
        <v>0</v>
      </c>
      <c r="S52" s="3"/>
      <c r="T52" s="6">
        <v>0</v>
      </c>
      <c r="U52" s="3"/>
      <c r="V52" s="7">
        <f t="shared" si="9"/>
        <v>0</v>
      </c>
      <c r="W52" s="3"/>
      <c r="X52" s="6">
        <f t="shared" si="10"/>
        <v>0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0"/>
      <c r="B53" s="11" t="str">
        <f>CONCATENATE("     ","Equipment Rental                                  ")</f>
        <v xml:space="preserve">     Equipment Rental                                  </v>
      </c>
      <c r="C53" s="11"/>
      <c r="D53" s="2">
        <f>SUM(OSRRefD22_5x_0)</f>
        <v>1609.35</v>
      </c>
      <c r="E53" s="2"/>
      <c r="F53" s="5">
        <f t="shared" si="4"/>
        <v>0.1885204422297036</v>
      </c>
      <c r="G53" s="2"/>
      <c r="H53" s="2">
        <f>SUM(OSRRefH22_5x_0)</f>
        <v>1205.6400000000001</v>
      </c>
      <c r="I53" s="2"/>
      <c r="J53" s="5">
        <f t="shared" si="5"/>
        <v>0.25052572084015595</v>
      </c>
      <c r="K53" s="2"/>
      <c r="L53" s="2">
        <f t="shared" si="6"/>
        <v>403.70999999999981</v>
      </c>
      <c r="M53" s="2"/>
      <c r="N53" s="5">
        <f t="shared" si="7"/>
        <v>0.33485119936299373</v>
      </c>
      <c r="O53" s="11"/>
      <c r="P53" s="2">
        <f>SUM(OSRRefP22_5x_0)</f>
        <v>14962.65</v>
      </c>
      <c r="Q53" s="2"/>
      <c r="R53" s="5">
        <f t="shared" si="8"/>
        <v>6.4493141360565998E-2</v>
      </c>
      <c r="S53" s="2"/>
      <c r="T53" s="2">
        <f>SUM(OSRRefT22_5x_0)</f>
        <v>14467.68</v>
      </c>
      <c r="U53" s="2"/>
      <c r="V53" s="5">
        <f t="shared" si="9"/>
        <v>0.1092262678828185</v>
      </c>
      <c r="W53" s="2"/>
      <c r="X53" s="2">
        <f t="shared" si="10"/>
        <v>494.96999999999935</v>
      </c>
      <c r="Y53" s="2"/>
      <c r="Z53" s="5">
        <f t="shared" si="11"/>
        <v>3.4212119704057548E-2</v>
      </c>
    </row>
    <row r="54" spans="1:26" s="69" customFormat="1" ht="15" hidden="1" customHeight="1" outlineLevel="2" x14ac:dyDescent="0.3">
      <c r="A54" s="21"/>
      <c r="B54" s="9" t="str">
        <f>CONCATENATE("          ","6351"," - ","EQUIPMENT RENTAL")</f>
        <v xml:space="preserve">          6351 - EQUIPMENT RENTAL</v>
      </c>
      <c r="C54" s="9"/>
      <c r="D54" s="6">
        <v>1609.35</v>
      </c>
      <c r="E54" s="3"/>
      <c r="F54" s="7">
        <f t="shared" si="4"/>
        <v>0.1885204422297036</v>
      </c>
      <c r="G54" s="3"/>
      <c r="H54" s="6">
        <v>1205.6400000000001</v>
      </c>
      <c r="I54" s="3"/>
      <c r="J54" s="7">
        <f t="shared" si="5"/>
        <v>0.25052572084015595</v>
      </c>
      <c r="K54" s="3"/>
      <c r="L54" s="6">
        <f t="shared" si="6"/>
        <v>403.70999999999981</v>
      </c>
      <c r="M54" s="3"/>
      <c r="N54" s="7">
        <f t="shared" si="7"/>
        <v>0.33485119936299373</v>
      </c>
      <c r="O54" s="9"/>
      <c r="P54" s="6">
        <v>14962.65</v>
      </c>
      <c r="Q54" s="3"/>
      <c r="R54" s="7">
        <f t="shared" si="8"/>
        <v>6.4493141360565998E-2</v>
      </c>
      <c r="S54" s="3"/>
      <c r="T54" s="6">
        <v>14467.68</v>
      </c>
      <c r="U54" s="3"/>
      <c r="V54" s="7">
        <f t="shared" si="9"/>
        <v>0.1092262678828185</v>
      </c>
      <c r="W54" s="3"/>
      <c r="X54" s="6">
        <f t="shared" si="10"/>
        <v>494.96999999999935</v>
      </c>
      <c r="Y54" s="3"/>
      <c r="Z54" s="7">
        <f t="shared" si="11"/>
        <v>3.4212119704057548E-2</v>
      </c>
    </row>
    <row r="55" spans="1:26" s="68" customFormat="1" ht="15" customHeight="1" outlineLevel="1" collapsed="1" x14ac:dyDescent="0.3">
      <c r="A55" s="20"/>
      <c r="B55" s="11" t="str">
        <f>CONCATENATE("     ","Freight out/Postage                               ")</f>
        <v xml:space="preserve">     Freight out/Postage                               </v>
      </c>
      <c r="C55" s="11"/>
      <c r="D55" s="2">
        <f>SUM(OSRRefD22_6x_0)</f>
        <v>-1027.2299999999996</v>
      </c>
      <c r="E55" s="2"/>
      <c r="F55" s="5">
        <f t="shared" si="4"/>
        <v>-0.12033047744220857</v>
      </c>
      <c r="G55" s="2"/>
      <c r="H55" s="2">
        <f>SUM(OSRRefH22_6x_0)</f>
        <v>-7826.5199999999995</v>
      </c>
      <c r="I55" s="2"/>
      <c r="J55" s="5">
        <f t="shared" si="5"/>
        <v>-1.6263101462044203</v>
      </c>
      <c r="K55" s="2"/>
      <c r="L55" s="2">
        <f t="shared" si="6"/>
        <v>6799.29</v>
      </c>
      <c r="M55" s="2"/>
      <c r="N55" s="5">
        <f t="shared" si="7"/>
        <v>-0.86875009582803087</v>
      </c>
      <c r="O55" s="11"/>
      <c r="P55" s="2">
        <f>SUM(OSRRefP22_6x_0)</f>
        <v>-71731.819999999978</v>
      </c>
      <c r="Q55" s="2"/>
      <c r="R55" s="5">
        <f t="shared" si="8"/>
        <v>-0.3091838950527262</v>
      </c>
      <c r="S55" s="2"/>
      <c r="T55" s="2">
        <f>SUM(OSRRefT22_6x_0)</f>
        <v>-104296.18999999997</v>
      </c>
      <c r="U55" s="2"/>
      <c r="V55" s="5">
        <f t="shared" si="9"/>
        <v>-0.78740223643993601</v>
      </c>
      <c r="W55" s="2"/>
      <c r="X55" s="2">
        <f t="shared" si="10"/>
        <v>32564.369999999995</v>
      </c>
      <c r="Y55" s="2"/>
      <c r="Z55" s="5">
        <f t="shared" si="11"/>
        <v>-0.3122297180750323</v>
      </c>
    </row>
    <row r="56" spans="1:26" s="69" customFormat="1" ht="15" hidden="1" customHeight="1" outlineLevel="2" x14ac:dyDescent="0.3">
      <c r="A56" s="21"/>
      <c r="B56" s="9" t="str">
        <f>CONCATENATE("          ","6305"," - ","FREIGHT OUT")</f>
        <v xml:space="preserve">          6305 - FREIGHT OUT</v>
      </c>
      <c r="C56" s="9"/>
      <c r="D56" s="6">
        <v>12430.73</v>
      </c>
      <c r="E56" s="3"/>
      <c r="F56" s="7">
        <f t="shared" si="4"/>
        <v>1.4561448515475461</v>
      </c>
      <c r="G56" s="3"/>
      <c r="H56" s="6">
        <v>7003.44</v>
      </c>
      <c r="I56" s="3"/>
      <c r="J56" s="7">
        <f t="shared" si="5"/>
        <v>1.4552784034710045</v>
      </c>
      <c r="K56" s="3"/>
      <c r="L56" s="6">
        <f t="shared" si="6"/>
        <v>5427.29</v>
      </c>
      <c r="M56" s="3"/>
      <c r="N56" s="7">
        <f t="shared" si="7"/>
        <v>0.77494631209805476</v>
      </c>
      <c r="O56" s="9"/>
      <c r="P56" s="6">
        <v>132752.45000000001</v>
      </c>
      <c r="Q56" s="3"/>
      <c r="R56" s="7">
        <f t="shared" si="8"/>
        <v>0.57219961195453151</v>
      </c>
      <c r="S56" s="3"/>
      <c r="T56" s="6">
        <v>204791.35</v>
      </c>
      <c r="U56" s="3"/>
      <c r="V56" s="7">
        <f t="shared" si="9"/>
        <v>1.5461079354246183</v>
      </c>
      <c r="W56" s="3"/>
      <c r="X56" s="6">
        <f t="shared" si="10"/>
        <v>-72038.899999999994</v>
      </c>
      <c r="Y56" s="3"/>
      <c r="Z56" s="7">
        <f t="shared" si="11"/>
        <v>-0.35176729876530427</v>
      </c>
    </row>
    <row r="57" spans="1:26" s="69" customFormat="1" ht="15" hidden="1" customHeight="1" outlineLevel="2" x14ac:dyDescent="0.3">
      <c r="A57" s="21"/>
      <c r="B57" s="9" t="str">
        <f>CONCATENATE("          ","6307"," - ","POSTAGE")</f>
        <v xml:space="preserve">          6307 - POSTAGE</v>
      </c>
      <c r="C57" s="9"/>
      <c r="D57" s="6">
        <v>-13457.96</v>
      </c>
      <c r="E57" s="3"/>
      <c r="F57" s="7">
        <f t="shared" si="4"/>
        <v>-1.5764753289897548</v>
      </c>
      <c r="G57" s="3"/>
      <c r="H57" s="6">
        <v>-14829.96</v>
      </c>
      <c r="I57" s="3"/>
      <c r="J57" s="7">
        <f t="shared" si="5"/>
        <v>-3.0815885496754247</v>
      </c>
      <c r="K57" s="3"/>
      <c r="L57" s="6">
        <f t="shared" si="6"/>
        <v>1372</v>
      </c>
      <c r="M57" s="3"/>
      <c r="N57" s="7">
        <f t="shared" si="7"/>
        <v>-9.2515421484616278E-2</v>
      </c>
      <c r="O57" s="9"/>
      <c r="P57" s="6">
        <v>-204484.27</v>
      </c>
      <c r="Q57" s="3"/>
      <c r="R57" s="7">
        <f t="shared" si="8"/>
        <v>-0.88138350700725776</v>
      </c>
      <c r="S57" s="3"/>
      <c r="T57" s="6">
        <v>-309087.53999999998</v>
      </c>
      <c r="U57" s="3"/>
      <c r="V57" s="7">
        <f t="shared" si="9"/>
        <v>-2.3335101718645546</v>
      </c>
      <c r="W57" s="3"/>
      <c r="X57" s="6">
        <f t="shared" si="10"/>
        <v>104603.26999999999</v>
      </c>
      <c r="Y57" s="3"/>
      <c r="Z57" s="7">
        <f t="shared" si="11"/>
        <v>-0.33842603296140633</v>
      </c>
    </row>
    <row r="58" spans="1:26" s="68" customFormat="1" ht="15" customHeight="1" outlineLevel="1" collapsed="1" x14ac:dyDescent="0.3">
      <c r="A58" s="20"/>
      <c r="B58" s="11" t="str">
        <f>CONCATENATE("     ","General                                           ")</f>
        <v xml:space="preserve">     General                                           </v>
      </c>
      <c r="C58" s="11"/>
      <c r="D58" s="2">
        <f>SUM(OSRRefD22_7x_0)</f>
        <v>0</v>
      </c>
      <c r="E58" s="2"/>
      <c r="F58" s="5">
        <f t="shared" si="4"/>
        <v>0</v>
      </c>
      <c r="G58" s="2"/>
      <c r="H58" s="2">
        <f>SUM(OSRRefH22_7x_0)</f>
        <v>0</v>
      </c>
      <c r="I58" s="2"/>
      <c r="J58" s="5">
        <f t="shared" si="5"/>
        <v>0</v>
      </c>
      <c r="K58" s="2"/>
      <c r="L58" s="2">
        <f t="shared" si="6"/>
        <v>0</v>
      </c>
      <c r="M58" s="2"/>
      <c r="N58" s="5">
        <f t="shared" si="7"/>
        <v>0</v>
      </c>
      <c r="O58" s="11"/>
      <c r="P58" s="2">
        <f>SUM(OSRRefP22_7x_0)</f>
        <v>91.31</v>
      </c>
      <c r="Q58" s="2"/>
      <c r="R58" s="5">
        <f t="shared" si="8"/>
        <v>3.9357124156705407E-4</v>
      </c>
      <c r="S58" s="2"/>
      <c r="T58" s="2">
        <f>SUM(OSRRefT22_7x_0)</f>
        <v>0</v>
      </c>
      <c r="U58" s="2"/>
      <c r="V58" s="5">
        <f t="shared" si="9"/>
        <v>0</v>
      </c>
      <c r="W58" s="2"/>
      <c r="X58" s="2">
        <f t="shared" si="10"/>
        <v>91.31</v>
      </c>
      <c r="Y58" s="2"/>
      <c r="Z58" s="5">
        <f t="shared" si="11"/>
        <v>0</v>
      </c>
    </row>
    <row r="59" spans="1:26" s="69" customFormat="1" ht="15" hidden="1" customHeight="1" outlineLevel="2" x14ac:dyDescent="0.3">
      <c r="A59" s="21"/>
      <c r="B59" s="9" t="str">
        <f>CONCATENATE("          ","6279"," - ","GENERAL EXPENSE")</f>
        <v xml:space="preserve">          6279 - GENERAL EXPENSE</v>
      </c>
      <c r="C59" s="9"/>
      <c r="D59" s="6"/>
      <c r="E59" s="3"/>
      <c r="F59" s="7">
        <f t="shared" si="4"/>
        <v>0</v>
      </c>
      <c r="G59" s="3"/>
      <c r="H59" s="6"/>
      <c r="I59" s="3"/>
      <c r="J59" s="7">
        <f t="shared" si="5"/>
        <v>0</v>
      </c>
      <c r="K59" s="3"/>
      <c r="L59" s="6">
        <f t="shared" si="6"/>
        <v>0</v>
      </c>
      <c r="M59" s="3"/>
      <c r="N59" s="7">
        <f t="shared" si="7"/>
        <v>0</v>
      </c>
      <c r="O59" s="9"/>
      <c r="P59" s="6">
        <v>91.31</v>
      </c>
      <c r="Q59" s="3"/>
      <c r="R59" s="7">
        <f t="shared" si="8"/>
        <v>3.9357124156705407E-4</v>
      </c>
      <c r="S59" s="3"/>
      <c r="T59" s="6"/>
      <c r="U59" s="3"/>
      <c r="V59" s="7">
        <f t="shared" si="9"/>
        <v>0</v>
      </c>
      <c r="W59" s="3"/>
      <c r="X59" s="6">
        <f t="shared" si="10"/>
        <v>91.31</v>
      </c>
      <c r="Y59" s="3"/>
      <c r="Z59" s="7">
        <f t="shared" si="11"/>
        <v>0</v>
      </c>
    </row>
    <row r="60" spans="1:26" s="68" customFormat="1" ht="15" customHeight="1" outlineLevel="1" collapsed="1" x14ac:dyDescent="0.3">
      <c r="A60" s="20"/>
      <c r="B60" s="11" t="str">
        <f>CONCATENATE("     ","Professional Services                             ")</f>
        <v xml:space="preserve">     Professional Services                             </v>
      </c>
      <c r="C60" s="11"/>
      <c r="D60" s="2">
        <f>SUM(OSRRefD22_8x_0)</f>
        <v>150</v>
      </c>
      <c r="E60" s="2"/>
      <c r="F60" s="5">
        <f t="shared" si="4"/>
        <v>1.7571110283316583E-2</v>
      </c>
      <c r="G60" s="2"/>
      <c r="H60" s="2">
        <f>SUM(OSRRefH22_8x_0)</f>
        <v>0</v>
      </c>
      <c r="I60" s="2"/>
      <c r="J60" s="5">
        <f t="shared" si="5"/>
        <v>0</v>
      </c>
      <c r="K60" s="2"/>
      <c r="L60" s="2">
        <f t="shared" si="6"/>
        <v>150</v>
      </c>
      <c r="M60" s="2"/>
      <c r="N60" s="5">
        <f t="shared" si="7"/>
        <v>0</v>
      </c>
      <c r="O60" s="11"/>
      <c r="P60" s="2">
        <f>SUM(OSRRefP22_8x_0)</f>
        <v>150</v>
      </c>
      <c r="Q60" s="2"/>
      <c r="R60" s="5">
        <f t="shared" si="8"/>
        <v>6.4654130144626122E-4</v>
      </c>
      <c r="S60" s="2"/>
      <c r="T60" s="2">
        <f>SUM(OSRRefT22_8x_0)</f>
        <v>0</v>
      </c>
      <c r="U60" s="2"/>
      <c r="V60" s="5">
        <f t="shared" si="9"/>
        <v>0</v>
      </c>
      <c r="W60" s="2"/>
      <c r="X60" s="2">
        <f t="shared" si="10"/>
        <v>150</v>
      </c>
      <c r="Y60" s="2"/>
      <c r="Z60" s="5">
        <f t="shared" si="11"/>
        <v>0</v>
      </c>
    </row>
    <row r="61" spans="1:26" s="69" customFormat="1" ht="15" hidden="1" customHeight="1" outlineLevel="2" x14ac:dyDescent="0.3">
      <c r="A61" s="21"/>
      <c r="B61" s="9" t="str">
        <f>CONCATENATE("          ","6336"," - ","PROFESSIONAL SERVICES")</f>
        <v xml:space="preserve">          6336 - PROFESSIONAL SERVICES</v>
      </c>
      <c r="C61" s="9"/>
      <c r="D61" s="6">
        <v>150</v>
      </c>
      <c r="E61" s="3"/>
      <c r="F61" s="7">
        <f t="shared" si="4"/>
        <v>1.7571110283316583E-2</v>
      </c>
      <c r="G61" s="3"/>
      <c r="H61" s="6"/>
      <c r="I61" s="3"/>
      <c r="J61" s="7">
        <f t="shared" si="5"/>
        <v>0</v>
      </c>
      <c r="K61" s="3"/>
      <c r="L61" s="6">
        <f t="shared" si="6"/>
        <v>150</v>
      </c>
      <c r="M61" s="3"/>
      <c r="N61" s="7">
        <f t="shared" si="7"/>
        <v>0</v>
      </c>
      <c r="O61" s="9"/>
      <c r="P61" s="6">
        <v>150</v>
      </c>
      <c r="Q61" s="3"/>
      <c r="R61" s="7">
        <f t="shared" si="8"/>
        <v>6.4654130144626122E-4</v>
      </c>
      <c r="S61" s="3"/>
      <c r="T61" s="6"/>
      <c r="U61" s="3"/>
      <c r="V61" s="7">
        <f t="shared" si="9"/>
        <v>0</v>
      </c>
      <c r="W61" s="3"/>
      <c r="X61" s="6">
        <f t="shared" si="10"/>
        <v>150</v>
      </c>
      <c r="Y61" s="3"/>
      <c r="Z61" s="7">
        <f t="shared" si="11"/>
        <v>0</v>
      </c>
    </row>
    <row r="62" spans="1:26" s="68" customFormat="1" ht="15" customHeight="1" outlineLevel="1" collapsed="1" x14ac:dyDescent="0.3">
      <c r="A62" s="20"/>
      <c r="B62" s="11" t="str">
        <f>CONCATENATE("     ","Repair and Maintenance                            ")</f>
        <v xml:space="preserve">     Repair and Maintenance                            </v>
      </c>
      <c r="C62" s="11"/>
      <c r="D62" s="2">
        <f>SUM(OSRRefD22_9x_0)</f>
        <v>2089.2200000000003</v>
      </c>
      <c r="E62" s="2"/>
      <c r="F62" s="5">
        <f t="shared" si="4"/>
        <v>0.24473276684073783</v>
      </c>
      <c r="G62" s="2"/>
      <c r="H62" s="2">
        <f>SUM(OSRRefH22_9x_0)</f>
        <v>2435.08</v>
      </c>
      <c r="I62" s="2"/>
      <c r="J62" s="5">
        <f t="shared" si="5"/>
        <v>0.50599695788415022</v>
      </c>
      <c r="K62" s="2"/>
      <c r="L62" s="2">
        <f t="shared" si="6"/>
        <v>-345.85999999999967</v>
      </c>
      <c r="M62" s="2"/>
      <c r="N62" s="5">
        <f t="shared" si="7"/>
        <v>-0.14203229462687045</v>
      </c>
      <c r="O62" s="11"/>
      <c r="P62" s="2">
        <f>SUM(OSRRefP22_9x_0)</f>
        <v>33448.79</v>
      </c>
      <c r="Q62" s="2"/>
      <c r="R62" s="5">
        <f t="shared" si="8"/>
        <v>0.14417349478935124</v>
      </c>
      <c r="S62" s="2"/>
      <c r="T62" s="2">
        <f>SUM(OSRRefT22_9x_0)</f>
        <v>37311.89</v>
      </c>
      <c r="U62" s="2"/>
      <c r="V62" s="5">
        <f t="shared" si="9"/>
        <v>0.28169260671747348</v>
      </c>
      <c r="W62" s="2"/>
      <c r="X62" s="2">
        <f t="shared" si="10"/>
        <v>-3863.0999999999985</v>
      </c>
      <c r="Y62" s="2"/>
      <c r="Z62" s="5">
        <f t="shared" si="11"/>
        <v>-0.10353536098010577</v>
      </c>
    </row>
    <row r="63" spans="1:26" s="69" customFormat="1" ht="15" hidden="1" customHeight="1" outlineLevel="2" x14ac:dyDescent="0.3">
      <c r="A63" s="21"/>
      <c r="B63" s="9" t="str">
        <f>CONCATENATE("          ","6371"," - ","COMPUTER SOFTWARE MAINTENANCE")</f>
        <v xml:space="preserve">          6371 - COMPUTER SOFTWARE MAINTENANCE</v>
      </c>
      <c r="C63" s="9"/>
      <c r="D63" s="6"/>
      <c r="E63" s="3"/>
      <c r="F63" s="7">
        <f t="shared" si="4"/>
        <v>0</v>
      </c>
      <c r="G63" s="3"/>
      <c r="H63" s="6"/>
      <c r="I63" s="3"/>
      <c r="J63" s="7">
        <f t="shared" si="5"/>
        <v>0</v>
      </c>
      <c r="K63" s="3"/>
      <c r="L63" s="6">
        <f t="shared" si="6"/>
        <v>0</v>
      </c>
      <c r="M63" s="3"/>
      <c r="N63" s="7">
        <f t="shared" si="7"/>
        <v>0</v>
      </c>
      <c r="O63" s="9"/>
      <c r="P63" s="6"/>
      <c r="Q63" s="3"/>
      <c r="R63" s="7">
        <f t="shared" si="8"/>
        <v>0</v>
      </c>
      <c r="S63" s="3"/>
      <c r="T63" s="6">
        <v>7.69</v>
      </c>
      <c r="U63" s="3"/>
      <c r="V63" s="7">
        <f t="shared" si="9"/>
        <v>5.8056993244174205E-5</v>
      </c>
      <c r="W63" s="3"/>
      <c r="X63" s="6">
        <f t="shared" si="10"/>
        <v>-7.69</v>
      </c>
      <c r="Y63" s="3"/>
      <c r="Z63" s="7">
        <f t="shared" si="11"/>
        <v>-1</v>
      </c>
    </row>
    <row r="64" spans="1:26" s="69" customFormat="1" ht="15" hidden="1" customHeight="1" outlineLevel="2" x14ac:dyDescent="0.3">
      <c r="A64" s="21"/>
      <c r="B64" s="9" t="str">
        <f>CONCATENATE("          ","6373"," - ","MAINTENANCE CONTRACTS")</f>
        <v xml:space="preserve">          6373 - MAINTENANCE CONTRACTS</v>
      </c>
      <c r="C64" s="9"/>
      <c r="D64" s="6">
        <v>513.59</v>
      </c>
      <c r="E64" s="3"/>
      <c r="F64" s="7">
        <f t="shared" ref="F64:F80" si="12">IF(D$12=0,0,D64/D$12)</f>
        <v>6.0162310202723765E-2</v>
      </c>
      <c r="G64" s="3"/>
      <c r="H64" s="6">
        <v>720.33</v>
      </c>
      <c r="I64" s="3"/>
      <c r="J64" s="7">
        <f t="shared" ref="J64:J80" si="13">IF(H$12=0,0,H64/H$12)</f>
        <v>0.14968082718953382</v>
      </c>
      <c r="K64" s="3"/>
      <c r="L64" s="6">
        <f t="shared" ref="L64:L80" si="14">+D64-H64</f>
        <v>-206.74</v>
      </c>
      <c r="M64" s="3"/>
      <c r="N64" s="7">
        <f t="shared" ref="N64:N80" si="15">IF(H64=0,0,L64/H64)</f>
        <v>-0.28700734385628807</v>
      </c>
      <c r="O64" s="9"/>
      <c r="P64" s="6">
        <v>11056.42</v>
      </c>
      <c r="Q64" s="3"/>
      <c r="R64" s="7">
        <f t="shared" ref="R64:R80" si="16">IF(P$12=0,0,P64/P$12)</f>
        <v>4.7656214507576476E-2</v>
      </c>
      <c r="S64" s="3"/>
      <c r="T64" s="6">
        <v>32072.67</v>
      </c>
      <c r="U64" s="3"/>
      <c r="V64" s="7">
        <f t="shared" ref="V64:V80" si="17">IF(T$12=0,0,T64/T$12)</f>
        <v>0.24213820357771504</v>
      </c>
      <c r="W64" s="3"/>
      <c r="X64" s="6">
        <f t="shared" ref="X64:X80" si="18">+P64-T64</f>
        <v>-21016.25</v>
      </c>
      <c r="Y64" s="3"/>
      <c r="Z64" s="7">
        <f t="shared" ref="Z64:Z80" si="19">IF(T64=0,0,X64/T64)</f>
        <v>-0.65526973588416559</v>
      </c>
    </row>
    <row r="65" spans="1:26" s="69" customFormat="1" ht="15" hidden="1" customHeight="1" outlineLevel="2" x14ac:dyDescent="0.3">
      <c r="A65" s="21"/>
      <c r="B65" s="9" t="str">
        <f>CONCATENATE("          ","6375"," - ","OUTSIDE REPAIRS &amp; MAINTENANCE")</f>
        <v xml:space="preserve">          6375 - OUTSIDE REPAIRS &amp; MAINTENANCE</v>
      </c>
      <c r="C65" s="9"/>
      <c r="D65" s="6">
        <v>1575.63</v>
      </c>
      <c r="E65" s="3"/>
      <c r="F65" s="7">
        <f t="shared" si="12"/>
        <v>0.18457045663801405</v>
      </c>
      <c r="G65" s="3"/>
      <c r="H65" s="6">
        <v>1714.75</v>
      </c>
      <c r="I65" s="3"/>
      <c r="J65" s="7">
        <f t="shared" si="13"/>
        <v>0.35631613069461648</v>
      </c>
      <c r="K65" s="3"/>
      <c r="L65" s="6">
        <f t="shared" si="14"/>
        <v>-139.11999999999989</v>
      </c>
      <c r="M65" s="3"/>
      <c r="N65" s="7">
        <f t="shared" si="15"/>
        <v>-8.1131360256597104E-2</v>
      </c>
      <c r="O65" s="9"/>
      <c r="P65" s="6">
        <v>22392.37</v>
      </c>
      <c r="Q65" s="3"/>
      <c r="R65" s="7">
        <f t="shared" si="16"/>
        <v>9.6517280281774767E-2</v>
      </c>
      <c r="S65" s="3"/>
      <c r="T65" s="6">
        <v>5231.53</v>
      </c>
      <c r="U65" s="3"/>
      <c r="V65" s="7">
        <f t="shared" si="17"/>
        <v>3.9496346146514261E-2</v>
      </c>
      <c r="W65" s="3"/>
      <c r="X65" s="6">
        <f t="shared" si="18"/>
        <v>17160.84</v>
      </c>
      <c r="Y65" s="3"/>
      <c r="Z65" s="7">
        <f t="shared" si="19"/>
        <v>3.2802717369488468</v>
      </c>
    </row>
    <row r="66" spans="1:26" s="68" customFormat="1" ht="15" customHeight="1" outlineLevel="1" collapsed="1" x14ac:dyDescent="0.3">
      <c r="A66" s="20"/>
      <c r="B66" s="11" t="str">
        <f>CONCATENATE("     ","Royalty &amp; Commissions                             ")</f>
        <v xml:space="preserve">     Royalty &amp; Commissions                             </v>
      </c>
      <c r="C66" s="11"/>
      <c r="D66" s="2">
        <f>SUM(OSRRefD22_10x_0)</f>
        <v>395.53</v>
      </c>
      <c r="E66" s="2"/>
      <c r="F66" s="5">
        <f t="shared" si="12"/>
        <v>4.6332675002401381E-2</v>
      </c>
      <c r="G66" s="2"/>
      <c r="H66" s="2">
        <f>SUM(OSRRefH22_10x_0)</f>
        <v>2549.25</v>
      </c>
      <c r="I66" s="2"/>
      <c r="J66" s="5">
        <f t="shared" si="13"/>
        <v>0.52972089002668088</v>
      </c>
      <c r="K66" s="2"/>
      <c r="L66" s="2">
        <f t="shared" si="14"/>
        <v>-2153.7200000000003</v>
      </c>
      <c r="M66" s="2"/>
      <c r="N66" s="5">
        <f t="shared" si="15"/>
        <v>-0.84484456212611558</v>
      </c>
      <c r="O66" s="11"/>
      <c r="P66" s="2">
        <f>SUM(OSRRefP22_10x_0)</f>
        <v>13706.99</v>
      </c>
      <c r="Q66" s="2"/>
      <c r="R66" s="5">
        <f t="shared" si="16"/>
        <v>5.9080901023405914E-2</v>
      </c>
      <c r="S66" s="2"/>
      <c r="T66" s="2">
        <f>SUM(OSRRefT22_10x_0)</f>
        <v>16177.12</v>
      </c>
      <c r="U66" s="2"/>
      <c r="V66" s="5">
        <f t="shared" si="17"/>
        <v>0.1221319826463193</v>
      </c>
      <c r="W66" s="2"/>
      <c r="X66" s="2">
        <f t="shared" si="18"/>
        <v>-2470.130000000001</v>
      </c>
      <c r="Y66" s="2"/>
      <c r="Z66" s="5">
        <f t="shared" si="19"/>
        <v>-0.15269281553206016</v>
      </c>
    </row>
    <row r="67" spans="1:26" s="69" customFormat="1" ht="15" hidden="1" customHeight="1" outlineLevel="2" x14ac:dyDescent="0.3">
      <c r="A67" s="21"/>
      <c r="B67" s="9" t="str">
        <f>CONCATENATE("          ","6259"," - ","ROYALTY &amp; COMMISSIONS")</f>
        <v xml:space="preserve">          6259 - ROYALTY &amp; COMMISSIONS</v>
      </c>
      <c r="C67" s="9"/>
      <c r="D67" s="6">
        <v>395.53</v>
      </c>
      <c r="E67" s="3"/>
      <c r="F67" s="7">
        <f t="shared" si="12"/>
        <v>4.6332675002401381E-2</v>
      </c>
      <c r="G67" s="3"/>
      <c r="H67" s="6">
        <v>2549.25</v>
      </c>
      <c r="I67" s="3"/>
      <c r="J67" s="7">
        <f t="shared" si="13"/>
        <v>0.52972089002668088</v>
      </c>
      <c r="K67" s="3"/>
      <c r="L67" s="6">
        <f t="shared" si="14"/>
        <v>-2153.7200000000003</v>
      </c>
      <c r="M67" s="3"/>
      <c r="N67" s="7">
        <f t="shared" si="15"/>
        <v>-0.84484456212611558</v>
      </c>
      <c r="O67" s="9"/>
      <c r="P67" s="6">
        <v>13706.99</v>
      </c>
      <c r="Q67" s="3"/>
      <c r="R67" s="7">
        <f t="shared" si="16"/>
        <v>5.9080901023405914E-2</v>
      </c>
      <c r="S67" s="3"/>
      <c r="T67" s="6">
        <v>16177.12</v>
      </c>
      <c r="U67" s="3"/>
      <c r="V67" s="7">
        <f t="shared" si="17"/>
        <v>0.1221319826463193</v>
      </c>
      <c r="W67" s="3"/>
      <c r="X67" s="6">
        <f t="shared" si="18"/>
        <v>-2470.130000000001</v>
      </c>
      <c r="Y67" s="3"/>
      <c r="Z67" s="7">
        <f t="shared" si="19"/>
        <v>-0.15269281553206016</v>
      </c>
    </row>
    <row r="68" spans="1:26" s="68" customFormat="1" ht="15" customHeight="1" outlineLevel="1" collapsed="1" x14ac:dyDescent="0.3">
      <c r="A68" s="20"/>
      <c r="B68" s="11" t="str">
        <f>CONCATENATE("     ","Subscriptions &amp; Dues                              ")</f>
        <v xml:space="preserve">     Subscriptions &amp; Dues                              </v>
      </c>
      <c r="C68" s="11"/>
      <c r="D68" s="2">
        <f>SUM(OSRRefD22_11x_0)</f>
        <v>0</v>
      </c>
      <c r="E68" s="2"/>
      <c r="F68" s="5">
        <f t="shared" si="12"/>
        <v>0</v>
      </c>
      <c r="G68" s="2"/>
      <c r="H68" s="2">
        <f>SUM(OSRRefH22_11x_0)</f>
        <v>0</v>
      </c>
      <c r="I68" s="2"/>
      <c r="J68" s="5">
        <f t="shared" si="13"/>
        <v>0</v>
      </c>
      <c r="K68" s="2"/>
      <c r="L68" s="2">
        <f t="shared" si="14"/>
        <v>0</v>
      </c>
      <c r="M68" s="2"/>
      <c r="N68" s="5">
        <f t="shared" si="15"/>
        <v>0</v>
      </c>
      <c r="O68" s="11"/>
      <c r="P68" s="2">
        <f>SUM(OSRRefP22_11x_0)</f>
        <v>5.28</v>
      </c>
      <c r="Q68" s="2"/>
      <c r="R68" s="5">
        <f t="shared" si="16"/>
        <v>2.2758253810908395E-5</v>
      </c>
      <c r="S68" s="2"/>
      <c r="T68" s="2">
        <f>SUM(OSRRefT22_11x_0)</f>
        <v>31.75</v>
      </c>
      <c r="U68" s="2"/>
      <c r="V68" s="5">
        <f t="shared" si="17"/>
        <v>2.3970215026040715E-4</v>
      </c>
      <c r="W68" s="2"/>
      <c r="X68" s="2">
        <f t="shared" si="18"/>
        <v>-26.47</v>
      </c>
      <c r="Y68" s="2"/>
      <c r="Z68" s="5">
        <f t="shared" si="19"/>
        <v>-0.83370078740157472</v>
      </c>
    </row>
    <row r="69" spans="1:26" s="69" customFormat="1" ht="15" hidden="1" customHeight="1" outlineLevel="2" x14ac:dyDescent="0.3">
      <c r="A69" s="21"/>
      <c r="B69" s="9" t="str">
        <f>CONCATENATE("          ","6258"," - ","MEMBERSHIP DUES")</f>
        <v xml:space="preserve">          6258 - MEMBERSHIP DUES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5.28</v>
      </c>
      <c r="Q69" s="3"/>
      <c r="R69" s="7">
        <f t="shared" si="16"/>
        <v>2.2758253810908395E-5</v>
      </c>
      <c r="S69" s="3"/>
      <c r="T69" s="6">
        <v>31.75</v>
      </c>
      <c r="U69" s="3"/>
      <c r="V69" s="7">
        <f t="shared" si="17"/>
        <v>2.3970215026040715E-4</v>
      </c>
      <c r="W69" s="3"/>
      <c r="X69" s="6">
        <f t="shared" si="18"/>
        <v>-26.47</v>
      </c>
      <c r="Y69" s="3"/>
      <c r="Z69" s="7">
        <f t="shared" si="19"/>
        <v>-0.83370078740157472</v>
      </c>
    </row>
    <row r="70" spans="1:26" s="68" customFormat="1" ht="15" customHeight="1" outlineLevel="1" collapsed="1" x14ac:dyDescent="0.3">
      <c r="A70" s="20"/>
      <c r="B70" s="11" t="str">
        <f>CONCATENATE("     ","Supplies                                          ")</f>
        <v xml:space="preserve">     Supplies                                          </v>
      </c>
      <c r="C70" s="11"/>
      <c r="D70" s="2">
        <f>SUM(OSRRefD22_12x_0)</f>
        <v>15341.210000000001</v>
      </c>
      <c r="E70" s="2"/>
      <c r="F70" s="5">
        <f t="shared" si="12"/>
        <v>1.7970806185967947</v>
      </c>
      <c r="G70" s="2"/>
      <c r="H70" s="2">
        <f>SUM(OSRRefH22_12x_0)</f>
        <v>9540.7799999999988</v>
      </c>
      <c r="I70" s="2"/>
      <c r="J70" s="5">
        <f t="shared" si="13"/>
        <v>1.9825244574477812</v>
      </c>
      <c r="K70" s="2"/>
      <c r="L70" s="2">
        <f t="shared" si="14"/>
        <v>5800.4300000000021</v>
      </c>
      <c r="M70" s="2"/>
      <c r="N70" s="5">
        <f t="shared" si="15"/>
        <v>0.60796182282790323</v>
      </c>
      <c r="O70" s="11"/>
      <c r="P70" s="2">
        <f>SUM(OSRRefP22_12x_0)</f>
        <v>69219.22</v>
      </c>
      <c r="Q70" s="2"/>
      <c r="R70" s="5">
        <f t="shared" si="16"/>
        <v>0.29835389722596717</v>
      </c>
      <c r="S70" s="2"/>
      <c r="T70" s="2">
        <f>SUM(OSRRefT22_12x_0)</f>
        <v>51967.22</v>
      </c>
      <c r="U70" s="2"/>
      <c r="V70" s="5">
        <f t="shared" si="17"/>
        <v>0.39233557093088617</v>
      </c>
      <c r="W70" s="2"/>
      <c r="X70" s="2">
        <f t="shared" si="18"/>
        <v>17252</v>
      </c>
      <c r="Y70" s="2"/>
      <c r="Z70" s="5">
        <f t="shared" si="19"/>
        <v>0.33197850491136527</v>
      </c>
    </row>
    <row r="71" spans="1:26" s="69" customFormat="1" ht="15" hidden="1" customHeight="1" outlineLevel="2" x14ac:dyDescent="0.3">
      <c r="A71" s="21"/>
      <c r="B71" s="9" t="str">
        <f>CONCATENATE("          ","6234"," - ","EXPENDABLE SUPPLIES &amp; EQUIPMEN")</f>
        <v xml:space="preserve">          6234 - EXPENDABLE SUPPLIES &amp; EQUIPMEN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4993.3100000000004</v>
      </c>
      <c r="Q71" s="3"/>
      <c r="R71" s="7">
        <f t="shared" si="16"/>
        <v>2.1522540972830871E-2</v>
      </c>
      <c r="S71" s="3"/>
      <c r="T71" s="6"/>
      <c r="U71" s="3"/>
      <c r="V71" s="7">
        <f t="shared" si="17"/>
        <v>0</v>
      </c>
      <c r="W71" s="3"/>
      <c r="X71" s="6">
        <f t="shared" si="18"/>
        <v>4993.3100000000004</v>
      </c>
      <c r="Y71" s="3"/>
      <c r="Z71" s="7">
        <f t="shared" si="19"/>
        <v>0</v>
      </c>
    </row>
    <row r="72" spans="1:26" s="69" customFormat="1" ht="15" hidden="1" customHeight="1" outlineLevel="2" x14ac:dyDescent="0.3">
      <c r="A72" s="21"/>
      <c r="B72" s="9" t="str">
        <f>CONCATENATE("          ","6235"," - ","COVID-19 EXPENSES")</f>
        <v xml:space="preserve">          6235 - COVID-19 EXPENSES</v>
      </c>
      <c r="C72" s="9"/>
      <c r="D72" s="6"/>
      <c r="E72" s="3"/>
      <c r="F72" s="7">
        <f t="shared" si="12"/>
        <v>0</v>
      </c>
      <c r="G72" s="3"/>
      <c r="H72" s="6"/>
      <c r="I72" s="3"/>
      <c r="J72" s="7">
        <f t="shared" si="13"/>
        <v>0</v>
      </c>
      <c r="K72" s="3"/>
      <c r="L72" s="6">
        <f t="shared" si="14"/>
        <v>0</v>
      </c>
      <c r="M72" s="3"/>
      <c r="N72" s="7">
        <f t="shared" si="15"/>
        <v>0</v>
      </c>
      <c r="O72" s="9"/>
      <c r="P72" s="6"/>
      <c r="Q72" s="3"/>
      <c r="R72" s="7">
        <f t="shared" si="16"/>
        <v>0</v>
      </c>
      <c r="S72" s="3"/>
      <c r="T72" s="6">
        <v>310.91000000000003</v>
      </c>
      <c r="U72" s="3"/>
      <c r="V72" s="7">
        <f t="shared" si="17"/>
        <v>2.3472691507862424E-3</v>
      </c>
      <c r="W72" s="3"/>
      <c r="X72" s="6">
        <f t="shared" si="18"/>
        <v>-310.91000000000003</v>
      </c>
      <c r="Y72" s="3"/>
      <c r="Z72" s="7">
        <f t="shared" si="19"/>
        <v>-1</v>
      </c>
    </row>
    <row r="73" spans="1:26" s="69" customFormat="1" ht="15" hidden="1" customHeight="1" outlineLevel="2" x14ac:dyDescent="0.3">
      <c r="A73" s="21"/>
      <c r="B73" s="9" t="str">
        <f>CONCATENATE("          ","6241"," - ","OFFICE EXPENSE")</f>
        <v xml:space="preserve">          6241 - OFFICE EXPENSE</v>
      </c>
      <c r="C73" s="9"/>
      <c r="D73" s="6">
        <v>3343.05</v>
      </c>
      <c r="E73" s="3"/>
      <c r="F73" s="7">
        <f t="shared" si="12"/>
        <v>0.39160733488427668</v>
      </c>
      <c r="G73" s="3"/>
      <c r="H73" s="6">
        <v>56.39</v>
      </c>
      <c r="I73" s="3"/>
      <c r="J73" s="7">
        <f t="shared" si="13"/>
        <v>1.1717548686321286E-2</v>
      </c>
      <c r="K73" s="3"/>
      <c r="L73" s="6">
        <f t="shared" si="14"/>
        <v>3286.6600000000003</v>
      </c>
      <c r="M73" s="3"/>
      <c r="N73" s="7">
        <f t="shared" si="15"/>
        <v>58.284447597091685</v>
      </c>
      <c r="O73" s="9"/>
      <c r="P73" s="6">
        <v>14366.35</v>
      </c>
      <c r="Q73" s="3"/>
      <c r="R73" s="7">
        <f t="shared" si="16"/>
        <v>6.1922924173549963E-2</v>
      </c>
      <c r="S73" s="3"/>
      <c r="T73" s="6">
        <v>4732.3999999999996</v>
      </c>
      <c r="U73" s="3"/>
      <c r="V73" s="7">
        <f t="shared" si="17"/>
        <v>3.5728077350940184E-2</v>
      </c>
      <c r="W73" s="3"/>
      <c r="X73" s="6">
        <f t="shared" si="18"/>
        <v>9633.9500000000007</v>
      </c>
      <c r="Y73" s="3"/>
      <c r="Z73" s="7">
        <f t="shared" si="19"/>
        <v>2.0357429634012343</v>
      </c>
    </row>
    <row r="74" spans="1:26" s="69" customFormat="1" ht="15" hidden="1" customHeight="1" outlineLevel="2" x14ac:dyDescent="0.3">
      <c r="A74" s="21"/>
      <c r="B74" s="9" t="str">
        <f>CONCATENATE("          ","6243"," - ","PAPER SUPPLIES")</f>
        <v xml:space="preserve">          6243 - PAPER SUPPLIES</v>
      </c>
      <c r="C74" s="9"/>
      <c r="D74" s="6">
        <v>742</v>
      </c>
      <c r="E74" s="3"/>
      <c r="F74" s="7">
        <f t="shared" si="12"/>
        <v>8.6918425534806026E-2</v>
      </c>
      <c r="G74" s="3"/>
      <c r="H74" s="6">
        <v>548.02</v>
      </c>
      <c r="I74" s="3"/>
      <c r="J74" s="7">
        <f t="shared" si="13"/>
        <v>0.11387570546334085</v>
      </c>
      <c r="K74" s="3"/>
      <c r="L74" s="6">
        <f t="shared" si="14"/>
        <v>193.98000000000002</v>
      </c>
      <c r="M74" s="3"/>
      <c r="N74" s="7">
        <f t="shared" si="15"/>
        <v>0.35396518375241787</v>
      </c>
      <c r="O74" s="9"/>
      <c r="P74" s="6">
        <v>10832.94</v>
      </c>
      <c r="Q74" s="3"/>
      <c r="R74" s="7">
        <f t="shared" si="16"/>
        <v>4.6692954173928408E-2</v>
      </c>
      <c r="S74" s="3"/>
      <c r="T74" s="6">
        <v>7230.6</v>
      </c>
      <c r="U74" s="3"/>
      <c r="V74" s="7">
        <f t="shared" si="17"/>
        <v>5.4588672997571655E-2</v>
      </c>
      <c r="W74" s="3"/>
      <c r="X74" s="6">
        <f t="shared" si="18"/>
        <v>3602.34</v>
      </c>
      <c r="Y74" s="3"/>
      <c r="Z74" s="7">
        <f t="shared" si="19"/>
        <v>0.49820761762509336</v>
      </c>
    </row>
    <row r="75" spans="1:26" s="69" customFormat="1" ht="15" hidden="1" customHeight="1" outlineLevel="2" x14ac:dyDescent="0.3">
      <c r="A75" s="21"/>
      <c r="B75" s="9" t="str">
        <f>CONCATENATE("          ","6245"," - ","PRINTING")</f>
        <v xml:space="preserve">          6245 - PRINTING</v>
      </c>
      <c r="C75" s="9"/>
      <c r="D75" s="6">
        <v>4517.24</v>
      </c>
      <c r="E75" s="3"/>
      <c r="F75" s="7">
        <f t="shared" si="12"/>
        <v>0.52915281477472664</v>
      </c>
      <c r="G75" s="3"/>
      <c r="H75" s="6">
        <v>2921.89</v>
      </c>
      <c r="I75" s="3"/>
      <c r="J75" s="7">
        <f t="shared" si="13"/>
        <v>0.60715354373249331</v>
      </c>
      <c r="K75" s="3"/>
      <c r="L75" s="6">
        <f t="shared" si="14"/>
        <v>1595.35</v>
      </c>
      <c r="M75" s="3"/>
      <c r="N75" s="7">
        <f t="shared" si="15"/>
        <v>0.54599933604618922</v>
      </c>
      <c r="O75" s="9"/>
      <c r="P75" s="6">
        <v>14566.65</v>
      </c>
      <c r="Q75" s="3"/>
      <c r="R75" s="7">
        <f t="shared" si="16"/>
        <v>6.2786272324747872E-2</v>
      </c>
      <c r="S75" s="3"/>
      <c r="T75" s="6">
        <v>11937.61</v>
      </c>
      <c r="U75" s="3"/>
      <c r="V75" s="7">
        <f t="shared" si="17"/>
        <v>9.0125064125043758E-2</v>
      </c>
      <c r="W75" s="3"/>
      <c r="X75" s="6">
        <f t="shared" si="18"/>
        <v>2629.0399999999991</v>
      </c>
      <c r="Y75" s="3"/>
      <c r="Z75" s="7">
        <f t="shared" si="19"/>
        <v>0.22023168791743061</v>
      </c>
    </row>
    <row r="76" spans="1:26" s="69" customFormat="1" ht="15" hidden="1" customHeight="1" outlineLevel="2" x14ac:dyDescent="0.3">
      <c r="A76" s="21"/>
      <c r="B76" s="9" t="str">
        <f>CONCATENATE("          ","6247"," - ","STORE SUPPLIES")</f>
        <v xml:space="preserve">          6247 - STORE SUPPLIES</v>
      </c>
      <c r="C76" s="9"/>
      <c r="D76" s="6">
        <v>6738.92</v>
      </c>
      <c r="E76" s="3"/>
      <c r="F76" s="7">
        <f t="shared" si="12"/>
        <v>0.78940204340298525</v>
      </c>
      <c r="G76" s="3"/>
      <c r="H76" s="6">
        <v>6014.48</v>
      </c>
      <c r="I76" s="3"/>
      <c r="J76" s="7">
        <f t="shared" si="13"/>
        <v>1.2497776595656258</v>
      </c>
      <c r="K76" s="3"/>
      <c r="L76" s="6">
        <f t="shared" si="14"/>
        <v>724.44000000000051</v>
      </c>
      <c r="M76" s="3"/>
      <c r="N76" s="7">
        <f t="shared" si="15"/>
        <v>0.12044931565156099</v>
      </c>
      <c r="O76" s="9"/>
      <c r="P76" s="6">
        <v>24459.97</v>
      </c>
      <c r="Q76" s="3"/>
      <c r="R76" s="7">
        <f t="shared" si="16"/>
        <v>0.10542920558091004</v>
      </c>
      <c r="S76" s="3"/>
      <c r="T76" s="6">
        <v>27755.7</v>
      </c>
      <c r="U76" s="3"/>
      <c r="V76" s="7">
        <f t="shared" si="17"/>
        <v>0.20954648730654435</v>
      </c>
      <c r="W76" s="3"/>
      <c r="X76" s="6">
        <f t="shared" si="18"/>
        <v>-3295.7299999999996</v>
      </c>
      <c r="Y76" s="3"/>
      <c r="Z76" s="7">
        <f t="shared" si="19"/>
        <v>-0.11874065507265172</v>
      </c>
    </row>
    <row r="77" spans="1:26" s="68" customFormat="1" ht="15" customHeight="1" outlineLevel="1" collapsed="1" x14ac:dyDescent="0.3">
      <c r="A77" s="20"/>
      <c r="B77" s="11" t="str">
        <f>CONCATENATE("     ","Telephone/Data Lines                              ")</f>
        <v xml:space="preserve">     Telephone/Data Lines                              </v>
      </c>
      <c r="C77" s="11"/>
      <c r="D77" s="2">
        <f>SUM(OSRRefD22_13x_0)</f>
        <v>59.1</v>
      </c>
      <c r="E77" s="2"/>
      <c r="F77" s="5">
        <f t="shared" si="12"/>
        <v>6.9230174516267335E-3</v>
      </c>
      <c r="G77" s="2"/>
      <c r="H77" s="2">
        <f>SUM(OSRRefH22_13x_0)</f>
        <v>234.25</v>
      </c>
      <c r="I77" s="2"/>
      <c r="J77" s="5">
        <f t="shared" si="13"/>
        <v>4.8675931544081591E-2</v>
      </c>
      <c r="K77" s="2"/>
      <c r="L77" s="2">
        <f t="shared" si="14"/>
        <v>-175.15</v>
      </c>
      <c r="M77" s="2"/>
      <c r="N77" s="5">
        <f t="shared" si="15"/>
        <v>-0.74770544290288155</v>
      </c>
      <c r="O77" s="11"/>
      <c r="P77" s="2">
        <f>SUM(OSRRefP22_13x_0)</f>
        <v>1315.4</v>
      </c>
      <c r="Q77" s="2"/>
      <c r="R77" s="5">
        <f t="shared" si="16"/>
        <v>5.6697361861494135E-3</v>
      </c>
      <c r="S77" s="2"/>
      <c r="T77" s="2">
        <f>SUM(OSRRefT22_13x_0)</f>
        <v>1977.6</v>
      </c>
      <c r="U77" s="2"/>
      <c r="V77" s="5">
        <f t="shared" si="17"/>
        <v>1.4930235349763185E-2</v>
      </c>
      <c r="W77" s="2"/>
      <c r="X77" s="2">
        <f t="shared" si="18"/>
        <v>-662.19999999999982</v>
      </c>
      <c r="Y77" s="2"/>
      <c r="Z77" s="5">
        <f t="shared" si="19"/>
        <v>-0.33485032362459538</v>
      </c>
    </row>
    <row r="78" spans="1:26" s="69" customFormat="1" ht="15" hidden="1" customHeight="1" outlineLevel="2" x14ac:dyDescent="0.3">
      <c r="A78" s="21"/>
      <c r="B78" s="9" t="str">
        <f>CONCATENATE("          ","6309"," - ","TELEPHONE")</f>
        <v xml:space="preserve">          6309 - TELEPHONE</v>
      </c>
      <c r="C78" s="9"/>
      <c r="D78" s="6">
        <v>59.1</v>
      </c>
      <c r="E78" s="3"/>
      <c r="F78" s="7">
        <f t="shared" si="12"/>
        <v>6.9230174516267335E-3</v>
      </c>
      <c r="G78" s="3"/>
      <c r="H78" s="6">
        <v>234.25</v>
      </c>
      <c r="I78" s="3"/>
      <c r="J78" s="7">
        <f t="shared" si="13"/>
        <v>4.8675931544081591E-2</v>
      </c>
      <c r="K78" s="3"/>
      <c r="L78" s="6">
        <f t="shared" si="14"/>
        <v>-175.15</v>
      </c>
      <c r="M78" s="3"/>
      <c r="N78" s="7">
        <f t="shared" si="15"/>
        <v>-0.74770544290288155</v>
      </c>
      <c r="O78" s="9"/>
      <c r="P78" s="6">
        <v>1315.4</v>
      </c>
      <c r="Q78" s="3"/>
      <c r="R78" s="7">
        <f t="shared" si="16"/>
        <v>5.6697361861494135E-3</v>
      </c>
      <c r="S78" s="3"/>
      <c r="T78" s="6">
        <v>1977.6</v>
      </c>
      <c r="U78" s="3"/>
      <c r="V78" s="7">
        <f t="shared" si="17"/>
        <v>1.4930235349763185E-2</v>
      </c>
      <c r="W78" s="3"/>
      <c r="X78" s="6">
        <f t="shared" si="18"/>
        <v>-662.19999999999982</v>
      </c>
      <c r="Y78" s="3"/>
      <c r="Z78" s="7">
        <f t="shared" si="19"/>
        <v>-0.33485032362459538</v>
      </c>
    </row>
    <row r="79" spans="1:26" s="68" customFormat="1" ht="15" customHeight="1" outlineLevel="1" collapsed="1" x14ac:dyDescent="0.3">
      <c r="A79" s="20"/>
      <c r="B79" s="11" t="str">
        <f>CONCATENATE("     ","Utilities                                         ")</f>
        <v xml:space="preserve">     Utilities                                         </v>
      </c>
      <c r="C79" s="11"/>
      <c r="D79" s="2">
        <f>SUM(OSRRefD22_14x_0)</f>
        <v>0</v>
      </c>
      <c r="E79" s="2"/>
      <c r="F79" s="5">
        <f t="shared" si="12"/>
        <v>0</v>
      </c>
      <c r="G79" s="2"/>
      <c r="H79" s="2">
        <f>SUM(OSRRefH22_14x_0)</f>
        <v>0</v>
      </c>
      <c r="I79" s="2"/>
      <c r="J79" s="5">
        <f t="shared" si="13"/>
        <v>0</v>
      </c>
      <c r="K79" s="2"/>
      <c r="L79" s="2">
        <f t="shared" si="14"/>
        <v>0</v>
      </c>
      <c r="M79" s="2"/>
      <c r="N79" s="5">
        <f t="shared" si="15"/>
        <v>0</v>
      </c>
      <c r="O79" s="11"/>
      <c r="P79" s="2">
        <f>SUM(OSRRefP22_14x_0)</f>
        <v>0</v>
      </c>
      <c r="Q79" s="2"/>
      <c r="R79" s="5">
        <f t="shared" si="16"/>
        <v>0</v>
      </c>
      <c r="S79" s="2"/>
      <c r="T79" s="2">
        <f>SUM(OSRRefT22_14x_0)</f>
        <v>15.02</v>
      </c>
      <c r="U79" s="2"/>
      <c r="V79" s="5">
        <f t="shared" si="17"/>
        <v>1.1339610383972647E-4</v>
      </c>
      <c r="W79" s="2"/>
      <c r="X79" s="2">
        <f t="shared" si="18"/>
        <v>-15.02</v>
      </c>
      <c r="Y79" s="2"/>
      <c r="Z79" s="5">
        <f t="shared" si="19"/>
        <v>-1</v>
      </c>
    </row>
    <row r="80" spans="1:26" s="69" customFormat="1" ht="15" hidden="1" customHeight="1" outlineLevel="2" x14ac:dyDescent="0.3">
      <c r="A80" s="21"/>
      <c r="B80" s="9" t="str">
        <f>CONCATENATE("          ","6274"," - ","UTILITIES")</f>
        <v xml:space="preserve">          6274 - UTILITIES</v>
      </c>
      <c r="C80" s="9"/>
      <c r="D80" s="6"/>
      <c r="E80" s="3"/>
      <c r="F80" s="7">
        <f t="shared" si="12"/>
        <v>0</v>
      </c>
      <c r="G80" s="3"/>
      <c r="H80" s="6"/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15.02</v>
      </c>
      <c r="U80" s="3"/>
      <c r="V80" s="7">
        <f t="shared" si="17"/>
        <v>1.1339610383972647E-4</v>
      </c>
      <c r="W80" s="3"/>
      <c r="X80" s="6">
        <f t="shared" si="18"/>
        <v>-15.02</v>
      </c>
      <c r="Y80" s="3"/>
      <c r="Z80" s="7">
        <f t="shared" si="19"/>
        <v>-1</v>
      </c>
    </row>
    <row r="81" spans="1:26" s="64" customFormat="1" ht="15" customHeight="1" x14ac:dyDescent="0.3">
      <c r="A81" s="37"/>
      <c r="B81" s="37"/>
      <c r="C81" s="37"/>
      <c r="D81" s="2"/>
      <c r="E81" s="2"/>
      <c r="F81" s="5"/>
      <c r="G81" s="2"/>
      <c r="H81" s="2"/>
      <c r="I81" s="2"/>
      <c r="J81" s="5"/>
      <c r="K81" s="2"/>
      <c r="L81" s="2"/>
      <c r="M81" s="2"/>
      <c r="N81" s="5"/>
      <c r="O81" s="37"/>
      <c r="P81" s="2"/>
      <c r="Q81" s="2"/>
      <c r="R81" s="5"/>
      <c r="S81" s="2"/>
      <c r="T81" s="2"/>
      <c r="U81" s="2"/>
      <c r="V81" s="5"/>
      <c r="W81" s="2"/>
      <c r="X81" s="2"/>
      <c r="Y81" s="2"/>
      <c r="Z81" s="5"/>
    </row>
    <row r="82" spans="1:26" s="62" customFormat="1" ht="15" customHeight="1" collapsed="1" x14ac:dyDescent="0.3">
      <c r="A82" s="13"/>
      <c r="B82" s="27" t="s">
        <v>290</v>
      </c>
      <c r="C82" s="13"/>
      <c r="D82" s="8">
        <f>SUM(OSRRefD25x_0)</f>
        <v>121.72</v>
      </c>
      <c r="E82" s="8"/>
      <c r="F82" s="14">
        <f>IF(D$12=0,0,D82/D$12)</f>
        <v>1.4258370291235296E-2</v>
      </c>
      <c r="G82" s="8"/>
      <c r="H82" s="8">
        <f>SUM(OSRRefH25x_0)</f>
        <v>16577.560000000001</v>
      </c>
      <c r="I82" s="8"/>
      <c r="J82" s="14">
        <f>IF(H$12=0,0,H82/H$12)</f>
        <v>3.4447307395001294</v>
      </c>
      <c r="K82" s="8"/>
      <c r="L82" s="8">
        <f>+D82-H82</f>
        <v>-16455.84</v>
      </c>
      <c r="M82" s="8"/>
      <c r="N82" s="14">
        <f>IF(H82=0,0,L82/H82)</f>
        <v>-0.99265754429481778</v>
      </c>
      <c r="O82" s="13"/>
      <c r="P82" s="8">
        <f>SUM(OSRRefP25x_0)</f>
        <v>18516.169999999998</v>
      </c>
      <c r="Q82" s="8"/>
      <c r="R82" s="14">
        <f>IF(P$12=0,0,P82/P$12)</f>
        <v>7.9809790997334776E-2</v>
      </c>
      <c r="S82" s="8"/>
      <c r="T82" s="8">
        <f>SUM(OSRRefT25x_0)</f>
        <v>91179.56</v>
      </c>
      <c r="U82" s="8"/>
      <c r="V82" s="14">
        <f>IF(T$12=0,0,T82/T$12)</f>
        <v>0.68837595564717513</v>
      </c>
      <c r="W82" s="8"/>
      <c r="X82" s="8">
        <f>+P82-T82</f>
        <v>-72663.39</v>
      </c>
      <c r="Y82" s="8"/>
      <c r="Z82" s="14">
        <f>IF(T82=0,0,X82/T82)</f>
        <v>-0.79692630672927134</v>
      </c>
    </row>
    <row r="83" spans="1:26" s="69" customFormat="1" ht="15" hidden="1" customHeight="1" outlineLevel="1" x14ac:dyDescent="0.3">
      <c r="A83" s="47"/>
      <c r="B83" s="9" t="str">
        <f>CONCATENATE("          ","9150"," - ","MISC. INCOME")</f>
        <v xml:space="preserve">          9150 - MISC. INCOME</v>
      </c>
      <c r="C83" s="9"/>
      <c r="D83" s="3">
        <f>--121.72</f>
        <v>121.72</v>
      </c>
      <c r="E83" s="3"/>
      <c r="F83" s="26">
        <f>IF(D$12=0,0,D83/D$12)</f>
        <v>1.4258370291235296E-2</v>
      </c>
      <c r="G83" s="3"/>
      <c r="H83" s="3">
        <f>--16577.56</f>
        <v>16577.560000000001</v>
      </c>
      <c r="I83" s="3"/>
      <c r="J83" s="26">
        <f>IF(H$12=0,0,H83/H$12)</f>
        <v>3.4447307395001294</v>
      </c>
      <c r="K83" s="3"/>
      <c r="L83" s="3">
        <f>+D83-H83</f>
        <v>-16455.84</v>
      </c>
      <c r="M83" s="3"/>
      <c r="N83" s="26">
        <f>IF(H83=0,0,L83/H83)</f>
        <v>-0.99265754429481778</v>
      </c>
      <c r="O83" s="9"/>
      <c r="P83" s="3">
        <f>--18516.17</f>
        <v>18516.169999999998</v>
      </c>
      <c r="Q83" s="3"/>
      <c r="R83" s="26">
        <f>IF(P$12=0,0,P83/P$12)</f>
        <v>7.9809790997334776E-2</v>
      </c>
      <c r="S83" s="3"/>
      <c r="T83" s="3">
        <f>--91179.56</f>
        <v>91179.56</v>
      </c>
      <c r="U83" s="3"/>
      <c r="V83" s="26">
        <f>IF(T$12=0,0,T83/T$12)</f>
        <v>0.68837595564717513</v>
      </c>
      <c r="W83" s="3"/>
      <c r="X83" s="3">
        <f>+P83-T83</f>
        <v>-72663.39</v>
      </c>
      <c r="Y83" s="3"/>
      <c r="Z83" s="26">
        <f>IF(T83=0,0,X83/T83)</f>
        <v>-0.79692630672927134</v>
      </c>
    </row>
    <row r="84" spans="1:26" ht="15" customHeight="1" x14ac:dyDescent="0.3">
      <c r="A84" s="12"/>
      <c r="B84" s="13"/>
      <c r="C84" s="13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O84" s="13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s="62" customFormat="1" ht="15" customHeight="1" x14ac:dyDescent="0.3">
      <c r="A85" s="13"/>
      <c r="B85" s="28" t="s">
        <v>291</v>
      </c>
      <c r="C85" s="28"/>
      <c r="D85" s="22">
        <f>+D30-D32+D82</f>
        <v>-21666.959999999999</v>
      </c>
      <c r="E85" s="15"/>
      <c r="F85" s="24">
        <f>IF(D$12=0,0,D85/D$12)</f>
        <v>-2.5380836244280602</v>
      </c>
      <c r="G85" s="15"/>
      <c r="H85" s="22">
        <f>+H30-H32+H82</f>
        <v>-11056.999999999996</v>
      </c>
      <c r="I85" s="15"/>
      <c r="J85" s="24">
        <f>IF(H$12=0,0,H85/H$12)</f>
        <v>-2.2975870868000428</v>
      </c>
      <c r="K85" s="17"/>
      <c r="L85" s="22">
        <f>+D85-H85</f>
        <v>-10609.960000000003</v>
      </c>
      <c r="M85" s="17"/>
      <c r="N85" s="24">
        <f>IF(H85=0,0,L85/H85)</f>
        <v>0.95956950348195769</v>
      </c>
      <c r="O85" s="27"/>
      <c r="P85" s="22">
        <f>+P30-P32+P82</f>
        <v>-54041.440000000104</v>
      </c>
      <c r="Q85" s="15"/>
      <c r="R85" s="24">
        <f>IF(P$12=0,0,P85/P$12)</f>
        <v>-0.23293348633086736</v>
      </c>
      <c r="S85" s="15"/>
      <c r="T85" s="22">
        <f>+T30-T32+T82</f>
        <v>-94371.32</v>
      </c>
      <c r="U85" s="15"/>
      <c r="V85" s="24">
        <f>IF(T$12=0,0,T85/T$12)</f>
        <v>-0.71247270320985723</v>
      </c>
      <c r="W85" s="17"/>
      <c r="X85" s="22">
        <f>+P85-T85</f>
        <v>40329.879999999903</v>
      </c>
      <c r="Y85" s="17"/>
      <c r="Z85" s="24">
        <f>IF(T85=0,0,X85/T85)</f>
        <v>-0.42735314076352754</v>
      </c>
    </row>
    <row r="86" spans="1:26" ht="15" customHeight="1" x14ac:dyDescent="0.3">
      <c r="A86" s="12"/>
      <c r="B86" s="13"/>
      <c r="C86" s="12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2" customFormat="1" ht="15" customHeight="1" x14ac:dyDescent="0.3">
      <c r="A87" s="48"/>
      <c r="B87" s="13" t="s">
        <v>292</v>
      </c>
      <c r="C87" s="13"/>
      <c r="D87" s="8">
        <v>-51870.78</v>
      </c>
      <c r="E87" s="8"/>
      <c r="F87" s="14">
        <f>IF(D$12=0,0,D87/D$12)</f>
        <v>-6.0761813057443472</v>
      </c>
      <c r="G87" s="8"/>
      <c r="H87" s="8">
        <v>9386.9</v>
      </c>
      <c r="I87" s="8"/>
      <c r="J87" s="14">
        <f>IF(H$12=0,0,H87/H$12)</f>
        <v>1.9505489938575857</v>
      </c>
      <c r="K87" s="8"/>
      <c r="L87" s="8">
        <f>+D87-H87</f>
        <v>-61257.68</v>
      </c>
      <c r="M87" s="8"/>
      <c r="N87" s="14">
        <f>IF(H87=0,0,L87/H87)</f>
        <v>-6.5258690302442766</v>
      </c>
      <c r="O87" s="13"/>
      <c r="P87" s="8">
        <v>-26747.42</v>
      </c>
      <c r="Q87" s="8"/>
      <c r="R87" s="14">
        <f>IF(P$12=0,0,P87/P$12)</f>
        <v>-0.11528874491419837</v>
      </c>
      <c r="S87" s="8"/>
      <c r="T87" s="8">
        <v>36663.129999999997</v>
      </c>
      <c r="U87" s="8"/>
      <c r="V87" s="14">
        <f>IF(T$12=0,0,T87/T$12)</f>
        <v>0.27679468019769576</v>
      </c>
      <c r="W87" s="8"/>
      <c r="X87" s="8">
        <f>+P87-T87</f>
        <v>-63410.549999999996</v>
      </c>
      <c r="Y87" s="8"/>
      <c r="Z87" s="14">
        <f>IF(T87=0,0,X87/T87)</f>
        <v>-1.7295454588847161</v>
      </c>
    </row>
    <row r="88" spans="1:26" ht="15" customHeight="1" x14ac:dyDescent="0.3">
      <c r="A88" s="12"/>
      <c r="B88" s="13"/>
      <c r="C88" s="13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O88" s="13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2" customFormat="1" ht="15" customHeight="1" x14ac:dyDescent="0.3">
      <c r="A89" s="13"/>
      <c r="B89" s="28" t="s">
        <v>293</v>
      </c>
      <c r="C89" s="28"/>
      <c r="D89" s="29">
        <f>+D85-D87</f>
        <v>30203.82</v>
      </c>
      <c r="E89" s="15"/>
      <c r="F89" s="31">
        <f>IF(D$12=0,0,D89/D$12)</f>
        <v>3.538097681316287</v>
      </c>
      <c r="G89" s="15"/>
      <c r="H89" s="29">
        <f>+H85-H87</f>
        <v>-20443.899999999994</v>
      </c>
      <c r="I89" s="15"/>
      <c r="J89" s="31">
        <f>IF(H$12=0,0,H89/H$12)</f>
        <v>-4.2481360806576278</v>
      </c>
      <c r="K89" s="17"/>
      <c r="L89" s="29">
        <f>D89-H89</f>
        <v>50647.719999999994</v>
      </c>
      <c r="M89" s="17"/>
      <c r="N89" s="31">
        <f>IF(H89=0,0,L89/H89)</f>
        <v>-2.4774001046767009</v>
      </c>
      <c r="O89" s="27"/>
      <c r="P89" s="29">
        <f>+P85-P87</f>
        <v>-27294.020000000106</v>
      </c>
      <c r="Q89" s="15"/>
      <c r="R89" s="31">
        <f>IF(P$12=0,0,P89/P$12)</f>
        <v>-0.117644741416669</v>
      </c>
      <c r="S89" s="15"/>
      <c r="T89" s="29">
        <f>+T85-T87</f>
        <v>-131034.45000000001</v>
      </c>
      <c r="U89" s="15"/>
      <c r="V89" s="31">
        <f>IF(T$12=0,0,T89/T$12)</f>
        <v>-0.98926738340755305</v>
      </c>
      <c r="W89" s="17"/>
      <c r="X89" s="29">
        <f>P89-T89</f>
        <v>103740.42999999991</v>
      </c>
      <c r="Y89" s="17"/>
      <c r="Z89" s="31">
        <f>IF(T89=0,0,X89/T89)</f>
        <v>-0.79170347950481645</v>
      </c>
    </row>
    <row r="90" spans="1:26" ht="15" customHeight="1" x14ac:dyDescent="0.3">
      <c r="A90" s="12"/>
      <c r="B90" s="12"/>
      <c r="C90" s="12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ht="15" customHeight="1" x14ac:dyDescent="0.3">
      <c r="A91" s="12"/>
      <c r="B91" s="12"/>
      <c r="C91" s="12"/>
      <c r="D91" s="4"/>
      <c r="E91" s="4"/>
      <c r="F91" s="10"/>
      <c r="G91" s="4"/>
      <c r="H91" s="4"/>
      <c r="I91" s="4"/>
      <c r="J91" s="10"/>
      <c r="K91" s="4"/>
      <c r="L91" s="4"/>
      <c r="M91" s="4"/>
      <c r="N91" s="10"/>
      <c r="P91" s="4"/>
      <c r="Q91" s="4"/>
      <c r="R91" s="10"/>
      <c r="S91" s="4"/>
      <c r="T91" s="4"/>
      <c r="U91" s="4"/>
      <c r="V91" s="10"/>
      <c r="W91" s="4"/>
      <c r="X91" s="4"/>
      <c r="Y91" s="4"/>
      <c r="Z91" s="10"/>
    </row>
    <row r="92" spans="1:26" s="62" customFormat="1" ht="15" customHeight="1" x14ac:dyDescent="0.3">
      <c r="A92" s="13"/>
      <c r="B92" s="28" t="s">
        <v>296</v>
      </c>
      <c r="C92" s="28"/>
      <c r="D92" s="30">
        <f>SUM(D89:D91)</f>
        <v>30203.82</v>
      </c>
      <c r="E92" s="15"/>
      <c r="F92" s="35">
        <f>IF(D$12=0,0,D92/D$12)</f>
        <v>3.538097681316287</v>
      </c>
      <c r="G92" s="15"/>
      <c r="H92" s="30">
        <f>SUM(H89:H91)</f>
        <v>-20443.899999999994</v>
      </c>
      <c r="I92" s="15"/>
      <c r="J92" s="35">
        <f>IF(H$12=0,0,H92/H$12)</f>
        <v>-4.2481360806576278</v>
      </c>
      <c r="K92" s="17"/>
      <c r="L92" s="30">
        <f>+D92-H92</f>
        <v>50647.719999999994</v>
      </c>
      <c r="M92" s="17"/>
      <c r="N92" s="35">
        <f>IF(H92=0,0,L92/H92)</f>
        <v>-2.4774001046767009</v>
      </c>
      <c r="O92" s="27"/>
      <c r="P92" s="30">
        <f>SUM(P89:P91)</f>
        <v>-27294.020000000106</v>
      </c>
      <c r="Q92" s="15"/>
      <c r="R92" s="35">
        <f>IF(P$12=0,0,P92/P$12)</f>
        <v>-0.117644741416669</v>
      </c>
      <c r="S92" s="15"/>
      <c r="T92" s="30">
        <f>SUM(T89:T91)</f>
        <v>-131034.45000000001</v>
      </c>
      <c r="U92" s="15"/>
      <c r="V92" s="35">
        <f>IF(T$12=0,0,T92/T$12)</f>
        <v>-0.98926738340755305</v>
      </c>
      <c r="W92" s="17"/>
      <c r="X92" s="30">
        <f>+P92-T92</f>
        <v>103740.42999999991</v>
      </c>
      <c r="Y92" s="17"/>
      <c r="Z92" s="35">
        <f>IF(T92=0,0,X92/T92)</f>
        <v>-0.79170347950481645</v>
      </c>
    </row>
    <row r="93" spans="1:26" ht="15" customHeight="1" x14ac:dyDescent="0.3">
      <c r="A93" s="12"/>
      <c r="C93" s="12"/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A94" s="12"/>
      <c r="B94" s="54">
        <v>44767.815885219905</v>
      </c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  <row r="95" spans="1:26" ht="15" customHeight="1" x14ac:dyDescent="0.3">
      <c r="A95" s="12"/>
      <c r="B95" s="53" t="s">
        <v>297</v>
      </c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A96" s="12"/>
      <c r="B96" s="51"/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4:24" ht="15" customHeight="1" x14ac:dyDescent="0.3"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8B3FE-3699-4DC3-BBC5-BB8EAD709995}">
  <sheetPr>
    <tabColor rgb="FFFFC000"/>
    <outlinePr summaryBelow="0" summaryRight="0"/>
  </sheetPr>
  <dimension ref="A2:Z11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399143.9499999999</v>
      </c>
      <c r="E12" s="8"/>
      <c r="F12" s="14"/>
      <c r="G12" s="8"/>
      <c r="H12" s="8">
        <f>SUM(OSRRefH13x_0)</f>
        <v>64681.91</v>
      </c>
      <c r="I12" s="8"/>
      <c r="J12" s="14"/>
      <c r="K12" s="8"/>
      <c r="L12" s="8">
        <f t="shared" ref="L12:L34" si="0">+D12-H12</f>
        <v>334462.03999999992</v>
      </c>
      <c r="M12" s="8"/>
      <c r="N12" s="14">
        <f t="shared" ref="N12:N34" si="1">IF(H12=0,0,L12/H12)</f>
        <v>5.1708745149919029</v>
      </c>
      <c r="O12" s="13"/>
      <c r="P12" s="8">
        <f>SUM(OSRRefP13x_0)</f>
        <v>2883548.02</v>
      </c>
      <c r="Q12" s="8"/>
      <c r="R12" s="14"/>
      <c r="S12" s="8"/>
      <c r="T12" s="8">
        <f>SUM(OSRRefT13x_0)</f>
        <v>2637246.41</v>
      </c>
      <c r="U12" s="8"/>
      <c r="V12" s="14"/>
      <c r="W12" s="8"/>
      <c r="X12" s="8">
        <f t="shared" ref="X12:X34" si="2">+P12-T12</f>
        <v>246301.60999999987</v>
      </c>
      <c r="Y12" s="8"/>
      <c r="Z12" s="14">
        <f t="shared" ref="Z12:Z34" si="3">IF(T12=0,0,X12/T12)</f>
        <v>9.3393476266026981E-2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--534649.09</f>
        <v>534649.09</v>
      </c>
      <c r="E13" s="3"/>
      <c r="F13" s="26"/>
      <c r="G13" s="3"/>
      <c r="H13" s="3">
        <f>-113.77</f>
        <v>-113.77</v>
      </c>
      <c r="I13" s="3"/>
      <c r="J13" s="26"/>
      <c r="K13" s="3"/>
      <c r="L13" s="3">
        <f t="shared" si="0"/>
        <v>534762.86</v>
      </c>
      <c r="M13" s="3"/>
      <c r="N13" s="26">
        <f t="shared" si="1"/>
        <v>-4700.3855146347896</v>
      </c>
      <c r="O13" s="9"/>
      <c r="P13" s="3">
        <f>--2885107.46</f>
        <v>2885107.46</v>
      </c>
      <c r="Q13" s="3"/>
      <c r="R13" s="26"/>
      <c r="S13" s="3"/>
      <c r="T13" s="3">
        <f>-3077.68</f>
        <v>-3077.68</v>
      </c>
      <c r="U13" s="3"/>
      <c r="V13" s="26"/>
      <c r="W13" s="3"/>
      <c r="X13" s="3">
        <f t="shared" si="2"/>
        <v>2888185.14</v>
      </c>
      <c r="Y13" s="3"/>
      <c r="Z13" s="26">
        <f t="shared" si="3"/>
        <v>-938.42931688804561</v>
      </c>
    </row>
    <row r="14" spans="1:26" s="69" customFormat="1" ht="15" hidden="1" customHeight="1" outlineLevel="1" x14ac:dyDescent="0.3">
      <c r="A14" s="47"/>
      <c r="B14" s="9" t="str">
        <f>CONCATENATE("          ","4081"," - ","TAXABLE SALES-ELECTRONICS")</f>
        <v xml:space="preserve">          4081 - TAXABLE SALES-ELECTRONICS</v>
      </c>
      <c r="C14" s="9"/>
      <c r="D14" s="3">
        <f>0</f>
        <v>0</v>
      </c>
      <c r="E14" s="3"/>
      <c r="F14" s="26"/>
      <c r="G14" s="3"/>
      <c r="H14" s="3">
        <f>--1743.92</f>
        <v>1743.92</v>
      </c>
      <c r="I14" s="3"/>
      <c r="J14" s="26"/>
      <c r="K14" s="3"/>
      <c r="L14" s="3">
        <f t="shared" si="0"/>
        <v>-1743.92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--65697.9</f>
        <v>65697.899999999994</v>
      </c>
      <c r="U14" s="3"/>
      <c r="V14" s="26"/>
      <c r="W14" s="3"/>
      <c r="X14" s="3">
        <f t="shared" si="2"/>
        <v>-65697.899999999994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","4082"," - ","TAXABLE SALES-COMPUTER HARDWAR")</f>
        <v xml:space="preserve">          4082 - TAXABLE SALES-COMPUTER HARDWAR</v>
      </c>
      <c r="C15" s="9"/>
      <c r="D15" s="3">
        <f>0</f>
        <v>0</v>
      </c>
      <c r="E15" s="3"/>
      <c r="F15" s="26"/>
      <c r="G15" s="3"/>
      <c r="H15" s="3">
        <f>--78232.49</f>
        <v>78232.490000000005</v>
      </c>
      <c r="I15" s="3"/>
      <c r="J15" s="26"/>
      <c r="K15" s="3"/>
      <c r="L15" s="3">
        <f t="shared" si="0"/>
        <v>-78232.490000000005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--2207891.11</f>
        <v>2207891.11</v>
      </c>
      <c r="U15" s="3"/>
      <c r="V15" s="26"/>
      <c r="W15" s="3"/>
      <c r="X15" s="3">
        <f t="shared" si="2"/>
        <v>-2207891.11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","4083"," - ","TAXABLE SALES-COMPUTER EQUIPME")</f>
        <v xml:space="preserve">          4083 - TAXABLE SALES-COMPUTER EQUIPME</v>
      </c>
      <c r="C16" s="9"/>
      <c r="D16" s="3">
        <f>0</f>
        <v>0</v>
      </c>
      <c r="E16" s="3"/>
      <c r="F16" s="26"/>
      <c r="G16" s="3"/>
      <c r="H16" s="3">
        <f>--3971.25</f>
        <v>3971.25</v>
      </c>
      <c r="I16" s="3"/>
      <c r="J16" s="26"/>
      <c r="K16" s="3"/>
      <c r="L16" s="3">
        <f t="shared" si="0"/>
        <v>-3971.25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--141108.24</f>
        <v>141108.24</v>
      </c>
      <c r="U16" s="3"/>
      <c r="V16" s="26"/>
      <c r="W16" s="3"/>
      <c r="X16" s="3">
        <f t="shared" si="2"/>
        <v>-141108.24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","4085"," - ","TAXABLE SALES-SOFTWARE")</f>
        <v xml:space="preserve">          4085 - TAXABLE SALES-SOFTWARE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--4870.79</f>
        <v>4870.79</v>
      </c>
      <c r="U17" s="3"/>
      <c r="V17" s="26"/>
      <c r="W17" s="3"/>
      <c r="X17" s="3">
        <f t="shared" si="2"/>
        <v>-4870.79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","4086"," - ","TAXABLE SALES-COMPUTER SUPPLIE")</f>
        <v xml:space="preserve">          4086 - TAXABLE SALES-COMPUTER SUPPLIE</v>
      </c>
      <c r="C18" s="9"/>
      <c r="D18" s="3">
        <f>0</f>
        <v>0</v>
      </c>
      <c r="E18" s="3"/>
      <c r="F18" s="26"/>
      <c r="G18" s="3"/>
      <c r="H18" s="3">
        <f>--850.72</f>
        <v>850.72</v>
      </c>
      <c r="I18" s="3"/>
      <c r="J18" s="26"/>
      <c r="K18" s="3"/>
      <c r="L18" s="3">
        <f t="shared" si="0"/>
        <v>-850.72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--67783.14</f>
        <v>67783.14</v>
      </c>
      <c r="U18" s="3"/>
      <c r="V18" s="26"/>
      <c r="W18" s="3"/>
      <c r="X18" s="3">
        <f t="shared" si="2"/>
        <v>-67783.14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","4100"," - ","NON-TAXABLE SALES")</f>
        <v xml:space="preserve">          4100 - NON-TAXABLE SALES</v>
      </c>
      <c r="C19" s="9"/>
      <c r="D19" s="3">
        <f>--80447.08</f>
        <v>80447.08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80447.08</v>
      </c>
      <c r="M19" s="3"/>
      <c r="N19" s="26">
        <f t="shared" si="1"/>
        <v>0</v>
      </c>
      <c r="O19" s="9"/>
      <c r="P19" s="3">
        <f>--749033.87</f>
        <v>749033.87</v>
      </c>
      <c r="Q19" s="3"/>
      <c r="R19" s="26"/>
      <c r="S19" s="3"/>
      <c r="T19" s="3">
        <f>0</f>
        <v>0</v>
      </c>
      <c r="U19" s="3"/>
      <c r="V19" s="26"/>
      <c r="W19" s="3"/>
      <c r="X19" s="3">
        <f t="shared" si="2"/>
        <v>749033.87</v>
      </c>
      <c r="Y19" s="3"/>
      <c r="Z19" s="26">
        <f t="shared" si="3"/>
        <v>0</v>
      </c>
    </row>
    <row r="20" spans="1:26" s="69" customFormat="1" ht="15" hidden="1" customHeight="1" outlineLevel="1" x14ac:dyDescent="0.3">
      <c r="A20" s="47"/>
      <c r="B20" s="9" t="str">
        <f>CONCATENATE("          ","4181"," - ","NON-TAXABLE SALES-ELECTRONICS")</f>
        <v xml:space="preserve">          4181 - NON-TAXABLE SALES-ELECTRONICS</v>
      </c>
      <c r="C20" s="9"/>
      <c r="D20" s="3">
        <f>0</f>
        <v>0</v>
      </c>
      <c r="E20" s="3"/>
      <c r="F20" s="26"/>
      <c r="G20" s="3"/>
      <c r="H20" s="3">
        <f>--33.97</f>
        <v>33.97</v>
      </c>
      <c r="I20" s="3"/>
      <c r="J20" s="26"/>
      <c r="K20" s="3"/>
      <c r="L20" s="3">
        <f t="shared" si="0"/>
        <v>-33.97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--14322.55</f>
        <v>14322.55</v>
      </c>
      <c r="U20" s="3"/>
      <c r="V20" s="26"/>
      <c r="W20" s="3"/>
      <c r="X20" s="3">
        <f t="shared" si="2"/>
        <v>-14322.55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","4182"," - ","NON-TAXABLE SALES-COMPUTER HAR")</f>
        <v xml:space="preserve">          4182 - NON-TAXABLE SALES-COMPUTER HAR</v>
      </c>
      <c r="C21" s="9"/>
      <c r="D21" s="3">
        <f>0</f>
        <v>0</v>
      </c>
      <c r="E21" s="3"/>
      <c r="F21" s="26"/>
      <c r="G21" s="3"/>
      <c r="H21" s="3">
        <f>--19892.86</f>
        <v>19892.86</v>
      </c>
      <c r="I21" s="3"/>
      <c r="J21" s="26"/>
      <c r="K21" s="3"/>
      <c r="L21" s="3">
        <f t="shared" si="0"/>
        <v>-19892.86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--367422.08</f>
        <v>367422.08</v>
      </c>
      <c r="U21" s="3"/>
      <c r="V21" s="26"/>
      <c r="W21" s="3"/>
      <c r="X21" s="3">
        <f t="shared" si="2"/>
        <v>-367422.08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","4183"," - ","NON-TAXABLE SALES-COMPUTER EQU")</f>
        <v xml:space="preserve">          4183 - NON-TAXABLE SALES-COMPUTER EQU</v>
      </c>
      <c r="C22" s="9"/>
      <c r="D22" s="3">
        <f>0</f>
        <v>0</v>
      </c>
      <c r="E22" s="3"/>
      <c r="F22" s="26"/>
      <c r="G22" s="3"/>
      <c r="H22" s="3">
        <f>--1441.27</f>
        <v>1441.27</v>
      </c>
      <c r="I22" s="3"/>
      <c r="J22" s="26"/>
      <c r="K22" s="3"/>
      <c r="L22" s="3">
        <f t="shared" si="0"/>
        <v>-1441.27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--23887.02</f>
        <v>23887.02</v>
      </c>
      <c r="U22" s="3"/>
      <c r="V22" s="26"/>
      <c r="W22" s="3"/>
      <c r="X22" s="3">
        <f t="shared" si="2"/>
        <v>-23887.02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","4185"," - ","NON-TAXABLE SALES-SOFTWARE")</f>
        <v xml:space="preserve">          4185 - NON-TAXABLE SALES-SOFTWARE</v>
      </c>
      <c r="C23" s="9"/>
      <c r="D23" s="3">
        <f>0</f>
        <v>0</v>
      </c>
      <c r="E23" s="3"/>
      <c r="F23" s="26"/>
      <c r="G23" s="3"/>
      <c r="H23" s="3">
        <f>--3849.74</f>
        <v>3849.74</v>
      </c>
      <c r="I23" s="3"/>
      <c r="J23" s="26"/>
      <c r="K23" s="3"/>
      <c r="L23" s="3">
        <f t="shared" si="0"/>
        <v>-3849.74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--59807.35</f>
        <v>59807.35</v>
      </c>
      <c r="U23" s="3"/>
      <c r="V23" s="26"/>
      <c r="W23" s="3"/>
      <c r="X23" s="3">
        <f t="shared" si="2"/>
        <v>-59807.35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","4186"," - ","NON-TAXABLE SALES-COMPUTER SUP")</f>
        <v xml:space="preserve">          4186 - NON-TAXABLE SALES-COMPUTER SUP</v>
      </c>
      <c r="C24" s="9"/>
      <c r="D24" s="3">
        <f>0</f>
        <v>0</v>
      </c>
      <c r="E24" s="3"/>
      <c r="F24" s="26"/>
      <c r="G24" s="3"/>
      <c r="H24" s="3">
        <f>--317.9</f>
        <v>317.89999999999998</v>
      </c>
      <c r="I24" s="3"/>
      <c r="J24" s="26"/>
      <c r="K24" s="3"/>
      <c r="L24" s="3">
        <f t="shared" si="0"/>
        <v>-317.89999999999998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--3797.04</f>
        <v>3797.04</v>
      </c>
      <c r="U24" s="3"/>
      <c r="V24" s="26"/>
      <c r="W24" s="3"/>
      <c r="X24" s="3">
        <f t="shared" si="2"/>
        <v>-3797.04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","4200"," - ","TAXABLE RETURNS")</f>
        <v xml:space="preserve">          4200 - TAXABLE RETURNS</v>
      </c>
      <c r="C25" s="9"/>
      <c r="D25" s="3">
        <f>-215135.94</f>
        <v>-215135.94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-215135.94</v>
      </c>
      <c r="M25" s="3"/>
      <c r="N25" s="26">
        <f t="shared" si="1"/>
        <v>0</v>
      </c>
      <c r="O25" s="9"/>
      <c r="P25" s="3">
        <f>-747227.7</f>
        <v>-747227.7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-747227.7</v>
      </c>
      <c r="Y25" s="3"/>
      <c r="Z25" s="26">
        <f t="shared" si="3"/>
        <v>0</v>
      </c>
    </row>
    <row r="26" spans="1:26" s="69" customFormat="1" ht="15" hidden="1" customHeight="1" outlineLevel="1" x14ac:dyDescent="0.3">
      <c r="A26" s="47"/>
      <c r="B26" s="9" t="str">
        <f>CONCATENATE("          ","4281"," - ","SALES RETURN TAXABLE-ELECTRONI")</f>
        <v xml:space="preserve">          4281 - SALES RETURN TAXABLE-ELECTRONI</v>
      </c>
      <c r="C26" s="9"/>
      <c r="D26" s="3">
        <f>0</f>
        <v>0</v>
      </c>
      <c r="E26" s="3"/>
      <c r="F26" s="26"/>
      <c r="G26" s="3"/>
      <c r="H26" s="3">
        <f>-529.99</f>
        <v>-529.99</v>
      </c>
      <c r="I26" s="3"/>
      <c r="J26" s="26"/>
      <c r="K26" s="3"/>
      <c r="L26" s="3">
        <f t="shared" si="0"/>
        <v>529.99</v>
      </c>
      <c r="M26" s="3"/>
      <c r="N26" s="26">
        <f t="shared" si="1"/>
        <v>-1</v>
      </c>
      <c r="O26" s="9"/>
      <c r="P26" s="3">
        <f>0</f>
        <v>0</v>
      </c>
      <c r="Q26" s="3"/>
      <c r="R26" s="26"/>
      <c r="S26" s="3"/>
      <c r="T26" s="3">
        <f>-15372.12</f>
        <v>-15372.12</v>
      </c>
      <c r="U26" s="3"/>
      <c r="V26" s="26"/>
      <c r="W26" s="3"/>
      <c r="X26" s="3">
        <f t="shared" si="2"/>
        <v>15372.12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","4282"," - ","SALES RETURN TAXABLE-COMPUTER")</f>
        <v xml:space="preserve">          4282 - SALES RETURN TAXABLE-COMPUTER</v>
      </c>
      <c r="C27" s="9"/>
      <c r="D27" s="3">
        <f>0</f>
        <v>0</v>
      </c>
      <c r="E27" s="3"/>
      <c r="F27" s="26"/>
      <c r="G27" s="3"/>
      <c r="H27" s="3">
        <f>-44973</f>
        <v>-44973</v>
      </c>
      <c r="I27" s="3"/>
      <c r="J27" s="26"/>
      <c r="K27" s="3"/>
      <c r="L27" s="3">
        <f t="shared" si="0"/>
        <v>44973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-285193.17</f>
        <v>-285193.17</v>
      </c>
      <c r="U27" s="3"/>
      <c r="V27" s="26"/>
      <c r="W27" s="3"/>
      <c r="X27" s="3">
        <f t="shared" si="2"/>
        <v>285193.17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","4283"," - ","SALES RETURN TAXABLE-COMPUTER")</f>
        <v xml:space="preserve">          4283 - SALES RETURN TAXABLE-COMPUTER</v>
      </c>
      <c r="C28" s="9"/>
      <c r="D28" s="3">
        <f>0</f>
        <v>0</v>
      </c>
      <c r="E28" s="3"/>
      <c r="F28" s="26"/>
      <c r="G28" s="3"/>
      <c r="H28" s="3">
        <f>-23.47</f>
        <v>-23.47</v>
      </c>
      <c r="I28" s="3"/>
      <c r="J28" s="26"/>
      <c r="K28" s="3"/>
      <c r="L28" s="3">
        <f t="shared" si="0"/>
        <v>23.47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-4152.64</f>
        <v>-4152.6400000000003</v>
      </c>
      <c r="U28" s="3"/>
      <c r="V28" s="26"/>
      <c r="W28" s="3"/>
      <c r="X28" s="3">
        <f t="shared" si="2"/>
        <v>4152.6400000000003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","4285"," - ","SALES RETURN TAXABLE-SOFTWARE")</f>
        <v xml:space="preserve">          4285 - SALES RETURN TAXABLE-SOFTWARE</v>
      </c>
      <c r="C29" s="9"/>
      <c r="D29" s="3">
        <f>0</f>
        <v>0</v>
      </c>
      <c r="E29" s="3"/>
      <c r="F29" s="26"/>
      <c r="G29" s="3"/>
      <c r="H29" s="3">
        <f>0</f>
        <v>0</v>
      </c>
      <c r="I29" s="3"/>
      <c r="J29" s="26"/>
      <c r="K29" s="3"/>
      <c r="L29" s="3">
        <f t="shared" si="0"/>
        <v>0</v>
      </c>
      <c r="M29" s="3"/>
      <c r="N29" s="26">
        <f t="shared" si="1"/>
        <v>0</v>
      </c>
      <c r="O29" s="9"/>
      <c r="P29" s="3">
        <f>0</f>
        <v>0</v>
      </c>
      <c r="Q29" s="3"/>
      <c r="R29" s="26"/>
      <c r="S29" s="3"/>
      <c r="T29" s="3">
        <f>-1091.79</f>
        <v>-1091.79</v>
      </c>
      <c r="U29" s="3"/>
      <c r="V29" s="26"/>
      <c r="W29" s="3"/>
      <c r="X29" s="3">
        <f t="shared" si="2"/>
        <v>1091.79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","4286"," - ","SALES RETURN TAXABLE-COMPUTER")</f>
        <v xml:space="preserve">          4286 - SALES RETURN TAXABLE-COMPUTER</v>
      </c>
      <c r="C30" s="9"/>
      <c r="D30" s="3">
        <f>0</f>
        <v>0</v>
      </c>
      <c r="E30" s="3"/>
      <c r="F30" s="26"/>
      <c r="G30" s="3"/>
      <c r="H30" s="3">
        <f>-9.99</f>
        <v>-9.99</v>
      </c>
      <c r="I30" s="3"/>
      <c r="J30" s="26"/>
      <c r="K30" s="3"/>
      <c r="L30" s="3">
        <f t="shared" si="0"/>
        <v>9.99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-4812.28</f>
        <v>-4812.28</v>
      </c>
      <c r="U30" s="3"/>
      <c r="V30" s="26"/>
      <c r="W30" s="3"/>
      <c r="X30" s="3">
        <f t="shared" si="2"/>
        <v>4812.28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","4300"," - ","NON-TAX RETURNS")</f>
        <v xml:space="preserve">          4300 - NON-TAX RETURNS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-1114.52</f>
        <v>-1114.52</v>
      </c>
      <c r="Q31" s="3"/>
      <c r="R31" s="26"/>
      <c r="S31" s="3"/>
      <c r="T31" s="3">
        <f>0</f>
        <v>0</v>
      </c>
      <c r="U31" s="3"/>
      <c r="V31" s="26"/>
      <c r="W31" s="3"/>
      <c r="X31" s="3">
        <f t="shared" si="2"/>
        <v>-1114.52</v>
      </c>
      <c r="Y31" s="3"/>
      <c r="Z31" s="26">
        <f t="shared" si="3"/>
        <v>0</v>
      </c>
    </row>
    <row r="32" spans="1:26" s="69" customFormat="1" ht="15" hidden="1" customHeight="1" outlineLevel="1" x14ac:dyDescent="0.3">
      <c r="A32" s="47"/>
      <c r="B32" s="9" t="str">
        <f>CONCATENATE("          ","4381"," - ","SALES RETURN NON TAXABLE-ELECT")</f>
        <v xml:space="preserve">          4381 - SALES RETURN NON TAXABLE-ELECT</v>
      </c>
      <c r="C32" s="9"/>
      <c r="D32" s="3">
        <f>0</f>
        <v>0</v>
      </c>
      <c r="E32" s="3"/>
      <c r="F32" s="26"/>
      <c r="G32" s="3"/>
      <c r="H32" s="3">
        <f>-1.99</f>
        <v>-1.99</v>
      </c>
      <c r="I32" s="3"/>
      <c r="J32" s="26"/>
      <c r="K32" s="3"/>
      <c r="L32" s="3">
        <f t="shared" si="0"/>
        <v>1.99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-5626.14</f>
        <v>-5626.14</v>
      </c>
      <c r="U32" s="3"/>
      <c r="V32" s="26"/>
      <c r="W32" s="3"/>
      <c r="X32" s="3">
        <f t="shared" si="2"/>
        <v>5626.14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","4383"," - ","SALES RETURN NON TAXABLE-COMPU")</f>
        <v xml:space="preserve">          4383 - SALES RETURN NON TAXABLE-COMPU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-14.99</f>
        <v>-14.99</v>
      </c>
      <c r="U33" s="3"/>
      <c r="V33" s="26"/>
      <c r="W33" s="3"/>
      <c r="X33" s="3">
        <f t="shared" si="2"/>
        <v>14.99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","4500"," - ","SALES DISCOUNT")</f>
        <v xml:space="preserve">          4500 - SALES DISCOUNT</v>
      </c>
      <c r="C34" s="9"/>
      <c r="D34" s="3">
        <f>-816.28</f>
        <v>-816.28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-816.28</v>
      </c>
      <c r="M34" s="3"/>
      <c r="N34" s="26">
        <f t="shared" si="1"/>
        <v>0</v>
      </c>
      <c r="O34" s="9"/>
      <c r="P34" s="3">
        <f>-2251.09</f>
        <v>-2251.09</v>
      </c>
      <c r="Q34" s="3"/>
      <c r="R34" s="26"/>
      <c r="S34" s="3"/>
      <c r="T34" s="3">
        <f>0</f>
        <v>0</v>
      </c>
      <c r="U34" s="3"/>
      <c r="V34" s="26"/>
      <c r="W34" s="3"/>
      <c r="X34" s="3">
        <f t="shared" si="2"/>
        <v>-2251.09</v>
      </c>
      <c r="Y34" s="3"/>
      <c r="Z34" s="26">
        <f t="shared" si="3"/>
        <v>0</v>
      </c>
    </row>
    <row r="35" spans="1:26" ht="15" customHeight="1" x14ac:dyDescent="0.3">
      <c r="A35" s="12"/>
      <c r="B35" s="13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collapsed="1" x14ac:dyDescent="0.3">
      <c r="A36" s="13"/>
      <c r="B36" s="27" t="s">
        <v>287</v>
      </c>
      <c r="C36" s="13"/>
      <c r="D36" s="8">
        <f>SUM(OSRRefD16x_0)</f>
        <v>286197.05</v>
      </c>
      <c r="E36" s="8"/>
      <c r="F36" s="14">
        <f t="shared" ref="F36:F51" si="4">IF(D$12=0,0,D36/D$12)</f>
        <v>0.71702715273524764</v>
      </c>
      <c r="G36" s="8"/>
      <c r="H36" s="8">
        <f>SUM(OSRRefH16x_0)</f>
        <v>25290.510000000009</v>
      </c>
      <c r="I36" s="8"/>
      <c r="J36" s="14">
        <f t="shared" ref="J36:J51" si="5">IF(H$12=0,0,H36/H$12)</f>
        <v>0.39099819408548708</v>
      </c>
      <c r="K36" s="8"/>
      <c r="L36" s="8">
        <f t="shared" ref="L36:L51" si="6">+D36-H36</f>
        <v>260906.53999999998</v>
      </c>
      <c r="M36" s="8"/>
      <c r="N36" s="14">
        <f t="shared" ref="N36:N51" si="7">IF(H36=0,0,L36/H36)</f>
        <v>10.31638112477763</v>
      </c>
      <c r="O36" s="13"/>
      <c r="P36" s="8">
        <f>SUM(OSRRefP16x_0)</f>
        <v>2395587.1300000004</v>
      </c>
      <c r="Q36" s="8"/>
      <c r="R36" s="14">
        <f t="shared" ref="R36:R51" si="8">IF(P$12=0,0,P36/P$12)</f>
        <v>0.83077760917607346</v>
      </c>
      <c r="S36" s="8"/>
      <c r="T36" s="8">
        <f>SUM(OSRRefT16x_0)</f>
        <v>2315780.3500000006</v>
      </c>
      <c r="U36" s="8"/>
      <c r="V36" s="14">
        <f t="shared" ref="V36:V51" si="9">IF(T$12=0,0,T36/T$12)</f>
        <v>0.87810541374478557</v>
      </c>
      <c r="W36" s="8"/>
      <c r="X36" s="8">
        <f t="shared" ref="X36:X51" si="10">+P36-T36</f>
        <v>79806.779999999795</v>
      </c>
      <c r="Y36" s="8"/>
      <c r="Z36" s="14">
        <f t="shared" ref="Z36:Z51" si="11">IF(T36=0,0,X36/T36)</f>
        <v>3.4462154409419604E-2</v>
      </c>
    </row>
    <row r="37" spans="1:26" s="69" customFormat="1" ht="15" hidden="1" customHeight="1" outlineLevel="1" x14ac:dyDescent="0.3">
      <c r="A37" s="47"/>
      <c r="B37" s="9" t="str">
        <f>CONCATENATE("          ","5000"," - ","PURCHASES @ COST")</f>
        <v xml:space="preserve">          5000 - PURCHASES @ COST</v>
      </c>
      <c r="C37" s="9"/>
      <c r="D37" s="3">
        <v>274575.13</v>
      </c>
      <c r="E37" s="3"/>
      <c r="F37" s="26">
        <f t="shared" si="4"/>
        <v>0.68791003847108312</v>
      </c>
      <c r="G37" s="3"/>
      <c r="H37" s="3"/>
      <c r="I37" s="3"/>
      <c r="J37" s="26">
        <f t="shared" si="5"/>
        <v>0</v>
      </c>
      <c r="K37" s="3"/>
      <c r="L37" s="3">
        <f t="shared" si="6"/>
        <v>274575.13</v>
      </c>
      <c r="M37" s="3"/>
      <c r="N37" s="26">
        <f t="shared" si="7"/>
        <v>0</v>
      </c>
      <c r="O37" s="9"/>
      <c r="P37" s="3">
        <v>2498333.89</v>
      </c>
      <c r="Q37" s="3"/>
      <c r="R37" s="26">
        <f t="shared" si="8"/>
        <v>0.86640967054191809</v>
      </c>
      <c r="S37" s="3"/>
      <c r="T37" s="3">
        <v>0</v>
      </c>
      <c r="U37" s="3"/>
      <c r="V37" s="26">
        <f t="shared" si="9"/>
        <v>0</v>
      </c>
      <c r="W37" s="3"/>
      <c r="X37" s="3">
        <f t="shared" si="10"/>
        <v>2498333.89</v>
      </c>
      <c r="Y37" s="3"/>
      <c r="Z37" s="26">
        <f t="shared" si="11"/>
        <v>0</v>
      </c>
    </row>
    <row r="38" spans="1:26" s="69" customFormat="1" ht="15" hidden="1" customHeight="1" outlineLevel="1" x14ac:dyDescent="0.3">
      <c r="A38" s="47"/>
      <c r="B38" s="9" t="str">
        <f>CONCATENATE("          ","5081"," - ","PURCHASES @ COST-ELECTRONICS")</f>
        <v xml:space="preserve">          5081 - PURCHASES @ COST-ELECTRONICS</v>
      </c>
      <c r="C38" s="9"/>
      <c r="D38" s="3"/>
      <c r="E38" s="3"/>
      <c r="F38" s="26">
        <f t="shared" si="4"/>
        <v>0</v>
      </c>
      <c r="G38" s="3"/>
      <c r="H38" s="3">
        <v>-5028.84</v>
      </c>
      <c r="I38" s="3"/>
      <c r="J38" s="26">
        <f t="shared" si="5"/>
        <v>-7.7747240302582288E-2</v>
      </c>
      <c r="K38" s="3"/>
      <c r="L38" s="3">
        <f t="shared" si="6"/>
        <v>5028.84</v>
      </c>
      <c r="M38" s="3"/>
      <c r="N38" s="26">
        <f t="shared" si="7"/>
        <v>-1</v>
      </c>
      <c r="O38" s="9"/>
      <c r="P38" s="3">
        <v>0</v>
      </c>
      <c r="Q38" s="3"/>
      <c r="R38" s="26">
        <f t="shared" si="8"/>
        <v>0</v>
      </c>
      <c r="S38" s="3"/>
      <c r="T38" s="3">
        <v>27390.62</v>
      </c>
      <c r="U38" s="3"/>
      <c r="V38" s="26">
        <f t="shared" si="9"/>
        <v>1.038606779258067E-2</v>
      </c>
      <c r="W38" s="3"/>
      <c r="X38" s="3">
        <f t="shared" si="10"/>
        <v>-27390.62</v>
      </c>
      <c r="Y38" s="3"/>
      <c r="Z38" s="26">
        <f t="shared" si="11"/>
        <v>-1</v>
      </c>
    </row>
    <row r="39" spans="1:26" s="69" customFormat="1" ht="15" hidden="1" customHeight="1" outlineLevel="1" x14ac:dyDescent="0.3">
      <c r="A39" s="47"/>
      <c r="B39" s="9" t="str">
        <f>CONCATENATE("          ","5082"," - ","PURCHASES @ COST-COMPUTER HARD")</f>
        <v xml:space="preserve">          5082 - PURCHASES @ COST-COMPUTER HARD</v>
      </c>
      <c r="C39" s="9"/>
      <c r="D39" s="3">
        <v>-29693.58</v>
      </c>
      <c r="E39" s="3"/>
      <c r="F39" s="26">
        <f t="shared" si="4"/>
        <v>-7.439316066296385E-2</v>
      </c>
      <c r="G39" s="3"/>
      <c r="H39" s="3">
        <v>152090.79</v>
      </c>
      <c r="I39" s="3"/>
      <c r="J39" s="26">
        <f t="shared" si="5"/>
        <v>2.3513651653143826</v>
      </c>
      <c r="K39" s="3"/>
      <c r="L39" s="3">
        <f t="shared" si="6"/>
        <v>-181784.37</v>
      </c>
      <c r="M39" s="3"/>
      <c r="N39" s="26">
        <f t="shared" si="7"/>
        <v>-1.1952358850920557</v>
      </c>
      <c r="O39" s="9"/>
      <c r="P39" s="3">
        <v>-150076.54999999999</v>
      </c>
      <c r="Q39" s="3"/>
      <c r="R39" s="26">
        <f t="shared" si="8"/>
        <v>-5.2045795304633068E-2</v>
      </c>
      <c r="S39" s="3"/>
      <c r="T39" s="3">
        <v>1954625.66</v>
      </c>
      <c r="U39" s="3"/>
      <c r="V39" s="26">
        <f t="shared" si="9"/>
        <v>0.74116155873352763</v>
      </c>
      <c r="W39" s="3"/>
      <c r="X39" s="3">
        <f t="shared" si="10"/>
        <v>-2104702.21</v>
      </c>
      <c r="Y39" s="3"/>
      <c r="Z39" s="26">
        <f t="shared" si="11"/>
        <v>-1.076780200460481</v>
      </c>
    </row>
    <row r="40" spans="1:26" s="69" customFormat="1" ht="15" hidden="1" customHeight="1" outlineLevel="1" x14ac:dyDescent="0.3">
      <c r="A40" s="47"/>
      <c r="B40" s="9" t="str">
        <f>CONCATENATE("          ","5083"," - ","PURCHASES @ COST-COMPUTER EQUI")</f>
        <v xml:space="preserve">          5083 - PURCHASES @ COST-COMPUTER EQUI</v>
      </c>
      <c r="C40" s="9"/>
      <c r="D40" s="3"/>
      <c r="E40" s="3"/>
      <c r="F40" s="26">
        <f t="shared" si="4"/>
        <v>0</v>
      </c>
      <c r="G40" s="3"/>
      <c r="H40" s="3">
        <v>24621.69</v>
      </c>
      <c r="I40" s="3"/>
      <c r="J40" s="26">
        <f t="shared" si="5"/>
        <v>0.38065805416073828</v>
      </c>
      <c r="K40" s="3"/>
      <c r="L40" s="3">
        <f t="shared" si="6"/>
        <v>-24621.69</v>
      </c>
      <c r="M40" s="3"/>
      <c r="N40" s="26">
        <f t="shared" si="7"/>
        <v>-1</v>
      </c>
      <c r="O40" s="9"/>
      <c r="P40" s="3">
        <v>0</v>
      </c>
      <c r="Q40" s="3"/>
      <c r="R40" s="26">
        <f t="shared" si="8"/>
        <v>0</v>
      </c>
      <c r="S40" s="3"/>
      <c r="T40" s="3">
        <v>151651.63</v>
      </c>
      <c r="U40" s="3"/>
      <c r="V40" s="26">
        <f t="shared" si="9"/>
        <v>5.7503777206772272E-2</v>
      </c>
      <c r="W40" s="3"/>
      <c r="X40" s="3">
        <f t="shared" si="10"/>
        <v>-151651.63</v>
      </c>
      <c r="Y40" s="3"/>
      <c r="Z40" s="26">
        <f t="shared" si="11"/>
        <v>-1</v>
      </c>
    </row>
    <row r="41" spans="1:26" s="69" customFormat="1" ht="15" hidden="1" customHeight="1" outlineLevel="1" x14ac:dyDescent="0.3">
      <c r="A41" s="47"/>
      <c r="B41" s="9" t="str">
        <f>CONCATENATE("          ","5084"," - ","PURCHASES @ COST-SOFTWARE LICE")</f>
        <v xml:space="preserve">          5084 - PURCHASES @ COST-SOFTWARE LICE</v>
      </c>
      <c r="C41" s="9"/>
      <c r="D41" s="3"/>
      <c r="E41" s="3"/>
      <c r="F41" s="26">
        <f t="shared" si="4"/>
        <v>0</v>
      </c>
      <c r="G41" s="3"/>
      <c r="H41" s="3">
        <v>2421</v>
      </c>
      <c r="I41" s="3"/>
      <c r="J41" s="26">
        <f t="shared" si="5"/>
        <v>3.7429321428510687E-2</v>
      </c>
      <c r="K41" s="3"/>
      <c r="L41" s="3">
        <f t="shared" si="6"/>
        <v>-2421</v>
      </c>
      <c r="M41" s="3"/>
      <c r="N41" s="26">
        <f t="shared" si="7"/>
        <v>-1</v>
      </c>
      <c r="O41" s="9"/>
      <c r="P41" s="3"/>
      <c r="Q41" s="3"/>
      <c r="R41" s="26">
        <f t="shared" si="8"/>
        <v>0</v>
      </c>
      <c r="S41" s="3"/>
      <c r="T41" s="3">
        <v>2421</v>
      </c>
      <c r="U41" s="3"/>
      <c r="V41" s="26">
        <f t="shared" si="9"/>
        <v>9.1800295596951818E-4</v>
      </c>
      <c r="W41" s="3"/>
      <c r="X41" s="3">
        <f t="shared" si="10"/>
        <v>-2421</v>
      </c>
      <c r="Y41" s="3"/>
      <c r="Z41" s="26">
        <f t="shared" si="11"/>
        <v>-1</v>
      </c>
    </row>
    <row r="42" spans="1:26" s="69" customFormat="1" ht="15" hidden="1" customHeight="1" outlineLevel="1" x14ac:dyDescent="0.3">
      <c r="A42" s="47"/>
      <c r="B42" s="9" t="str">
        <f>CONCATENATE("          ","5085"," - ","PURCHASES @ COST-SOFTWARE")</f>
        <v xml:space="preserve">          5085 - PURCHASES @ COST-SOFTWARE</v>
      </c>
      <c r="C42" s="9"/>
      <c r="D42" s="3"/>
      <c r="E42" s="3"/>
      <c r="F42" s="26">
        <f t="shared" si="4"/>
        <v>0</v>
      </c>
      <c r="G42" s="3"/>
      <c r="H42" s="3">
        <v>10694.79</v>
      </c>
      <c r="I42" s="3"/>
      <c r="J42" s="26">
        <f t="shared" si="5"/>
        <v>0.1653443752665931</v>
      </c>
      <c r="K42" s="3"/>
      <c r="L42" s="3">
        <f t="shared" si="6"/>
        <v>-10694.79</v>
      </c>
      <c r="M42" s="3"/>
      <c r="N42" s="26">
        <f t="shared" si="7"/>
        <v>-1</v>
      </c>
      <c r="O42" s="9"/>
      <c r="P42" s="3">
        <v>0</v>
      </c>
      <c r="Q42" s="3"/>
      <c r="R42" s="26">
        <f t="shared" si="8"/>
        <v>0</v>
      </c>
      <c r="S42" s="3"/>
      <c r="T42" s="3">
        <v>56981.16</v>
      </c>
      <c r="U42" s="3"/>
      <c r="V42" s="26">
        <f t="shared" si="9"/>
        <v>2.1606308680120642E-2</v>
      </c>
      <c r="W42" s="3"/>
      <c r="X42" s="3">
        <f t="shared" si="10"/>
        <v>-56981.16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","5086"," - ","PURCHASES @ COST-COMPUTER SUPP")</f>
        <v xml:space="preserve">          5086 - PURCHASES @ COST-COMPUTER SUPP</v>
      </c>
      <c r="C43" s="9"/>
      <c r="D43" s="3"/>
      <c r="E43" s="3"/>
      <c r="F43" s="26">
        <f t="shared" si="4"/>
        <v>0</v>
      </c>
      <c r="G43" s="3"/>
      <c r="H43" s="3">
        <v>697.28</v>
      </c>
      <c r="I43" s="3"/>
      <c r="J43" s="26">
        <f t="shared" si="5"/>
        <v>1.0780139300153627E-2</v>
      </c>
      <c r="K43" s="3"/>
      <c r="L43" s="3">
        <f t="shared" si="6"/>
        <v>-697.28</v>
      </c>
      <c r="M43" s="3"/>
      <c r="N43" s="26">
        <f t="shared" si="7"/>
        <v>-1</v>
      </c>
      <c r="O43" s="9"/>
      <c r="P43" s="3">
        <v>0</v>
      </c>
      <c r="Q43" s="3"/>
      <c r="R43" s="26">
        <f t="shared" si="8"/>
        <v>0</v>
      </c>
      <c r="S43" s="3"/>
      <c r="T43" s="3">
        <v>24460.29</v>
      </c>
      <c r="U43" s="3"/>
      <c r="V43" s="26">
        <f t="shared" si="9"/>
        <v>9.2749353671506187E-3</v>
      </c>
      <c r="W43" s="3"/>
      <c r="X43" s="3">
        <f t="shared" si="10"/>
        <v>-24460.29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","5200"," - ","PURCHASES OFFSET")</f>
        <v xml:space="preserve">          5200 - PURCHASES OFFSET</v>
      </c>
      <c r="C44" s="9"/>
      <c r="D44" s="3">
        <v>-340883.54</v>
      </c>
      <c r="E44" s="3"/>
      <c r="F44" s="26">
        <f t="shared" si="4"/>
        <v>-0.8540365950680201</v>
      </c>
      <c r="G44" s="3"/>
      <c r="H44" s="3">
        <v>-228321.2</v>
      </c>
      <c r="I44" s="3"/>
      <c r="J44" s="26">
        <f t="shared" si="5"/>
        <v>-3.5299081304185358</v>
      </c>
      <c r="K44" s="3"/>
      <c r="L44" s="3">
        <f t="shared" si="6"/>
        <v>-112562.33999999997</v>
      </c>
      <c r="M44" s="3"/>
      <c r="N44" s="26">
        <f t="shared" si="7"/>
        <v>0.49299994919438039</v>
      </c>
      <c r="O44" s="9"/>
      <c r="P44" s="3">
        <v>-2564845.42</v>
      </c>
      <c r="Q44" s="3"/>
      <c r="R44" s="26">
        <f t="shared" si="8"/>
        <v>-0.88947553576721772</v>
      </c>
      <c r="S44" s="3"/>
      <c r="T44" s="3">
        <v>-2256861</v>
      </c>
      <c r="U44" s="3"/>
      <c r="V44" s="26">
        <f t="shared" si="9"/>
        <v>-0.85576417563499496</v>
      </c>
      <c r="W44" s="3"/>
      <c r="X44" s="3">
        <f t="shared" si="10"/>
        <v>-307984.41999999993</v>
      </c>
      <c r="Y44" s="3"/>
      <c r="Z44" s="26">
        <f t="shared" si="11"/>
        <v>0.13646583462605802</v>
      </c>
    </row>
    <row r="45" spans="1:26" s="69" customFormat="1" ht="15" hidden="1" customHeight="1" outlineLevel="1" x14ac:dyDescent="0.3">
      <c r="A45" s="47"/>
      <c r="B45" s="9" t="str">
        <f>CONCATENATE("          ","5300"," - ","COG$ OFFSET")</f>
        <v xml:space="preserve">          5300 - COG$ OFFSET</v>
      </c>
      <c r="C45" s="9"/>
      <c r="D45" s="3">
        <v>382194.36</v>
      </c>
      <c r="E45" s="3"/>
      <c r="F45" s="26">
        <f t="shared" si="4"/>
        <v>0.95753514490198355</v>
      </c>
      <c r="G45" s="3"/>
      <c r="H45" s="3">
        <v>68115</v>
      </c>
      <c r="I45" s="3"/>
      <c r="J45" s="26">
        <f t="shared" si="5"/>
        <v>1.0530765093362271</v>
      </c>
      <c r="K45" s="3"/>
      <c r="L45" s="3">
        <f t="shared" si="6"/>
        <v>314079.35999999999</v>
      </c>
      <c r="M45" s="3"/>
      <c r="N45" s="26">
        <f t="shared" si="7"/>
        <v>4.6110160757542387</v>
      </c>
      <c r="O45" s="9"/>
      <c r="P45" s="3">
        <v>2611967.41</v>
      </c>
      <c r="Q45" s="3"/>
      <c r="R45" s="26">
        <f t="shared" si="8"/>
        <v>0.9058172057075714</v>
      </c>
      <c r="S45" s="3"/>
      <c r="T45" s="3">
        <v>2354659</v>
      </c>
      <c r="U45" s="3"/>
      <c r="V45" s="26">
        <f t="shared" si="9"/>
        <v>0.89284755154904161</v>
      </c>
      <c r="W45" s="3"/>
      <c r="X45" s="3">
        <f t="shared" si="10"/>
        <v>257308.41000000015</v>
      </c>
      <c r="Y45" s="3"/>
      <c r="Z45" s="26">
        <f t="shared" si="11"/>
        <v>0.10927629435939563</v>
      </c>
    </row>
    <row r="46" spans="1:26" s="69" customFormat="1" ht="15" hidden="1" customHeight="1" outlineLevel="1" x14ac:dyDescent="0.3">
      <c r="A46" s="47"/>
      <c r="B46" s="9" t="str">
        <f>CONCATENATE("          ","5500"," - ","FREIGHT-IN")</f>
        <v xml:space="preserve">          5500 - FREIGHT-IN</v>
      </c>
      <c r="C46" s="9"/>
      <c r="D46" s="3">
        <v>4.68</v>
      </c>
      <c r="E46" s="3"/>
      <c r="F46" s="26">
        <f t="shared" si="4"/>
        <v>1.1725093165009768E-5</v>
      </c>
      <c r="G46" s="3"/>
      <c r="H46" s="3"/>
      <c r="I46" s="3"/>
      <c r="J46" s="26">
        <f t="shared" si="5"/>
        <v>0</v>
      </c>
      <c r="K46" s="3"/>
      <c r="L46" s="3">
        <f t="shared" si="6"/>
        <v>4.68</v>
      </c>
      <c r="M46" s="3"/>
      <c r="N46" s="26">
        <f t="shared" si="7"/>
        <v>0</v>
      </c>
      <c r="O46" s="9"/>
      <c r="P46" s="3">
        <v>207.8</v>
      </c>
      <c r="Q46" s="3"/>
      <c r="R46" s="26">
        <f t="shared" si="8"/>
        <v>7.2063998434817127E-5</v>
      </c>
      <c r="S46" s="3"/>
      <c r="T46" s="3">
        <v>0</v>
      </c>
      <c r="U46" s="3"/>
      <c r="V46" s="26">
        <f t="shared" si="9"/>
        <v>0</v>
      </c>
      <c r="W46" s="3"/>
      <c r="X46" s="3">
        <f t="shared" si="10"/>
        <v>207.8</v>
      </c>
      <c r="Y46" s="3"/>
      <c r="Z46" s="26">
        <f t="shared" si="11"/>
        <v>0</v>
      </c>
    </row>
    <row r="47" spans="1:26" s="69" customFormat="1" ht="15" hidden="1" customHeight="1" outlineLevel="1" x14ac:dyDescent="0.3">
      <c r="A47" s="47"/>
      <c r="B47" s="9" t="str">
        <f>CONCATENATE("          ","5581"," - ","FREIGHT-IN-ELECTRONICS")</f>
        <v xml:space="preserve">          5581 - FREIGHT-IN-ELECTRONICS</v>
      </c>
      <c r="C47" s="9"/>
      <c r="D47" s="3"/>
      <c r="E47" s="3"/>
      <c r="F47" s="26">
        <f t="shared" si="4"/>
        <v>0</v>
      </c>
      <c r="G47" s="3"/>
      <c r="H47" s="3">
        <v>0</v>
      </c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/>
      <c r="Q47" s="3"/>
      <c r="R47" s="26">
        <f t="shared" si="8"/>
        <v>0</v>
      </c>
      <c r="S47" s="3"/>
      <c r="T47" s="3">
        <v>31</v>
      </c>
      <c r="U47" s="3"/>
      <c r="V47" s="26">
        <f t="shared" si="9"/>
        <v>1.17546846902334E-5</v>
      </c>
      <c r="W47" s="3"/>
      <c r="X47" s="3">
        <f t="shared" si="10"/>
        <v>-31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","5582"," - ","FREIGHT-IN-COMPUTER HARDWARE")</f>
        <v xml:space="preserve">          5582 - FREIGHT-IN-COMPUTER HARDWARE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/>
      <c r="Q48" s="3"/>
      <c r="R48" s="26">
        <f t="shared" si="8"/>
        <v>0</v>
      </c>
      <c r="S48" s="3"/>
      <c r="T48" s="3">
        <v>145</v>
      </c>
      <c r="U48" s="3"/>
      <c r="V48" s="26">
        <f t="shared" si="9"/>
        <v>5.4981589680123972E-5</v>
      </c>
      <c r="W48" s="3"/>
      <c r="X48" s="3">
        <f t="shared" si="10"/>
        <v>-145</v>
      </c>
      <c r="Y48" s="3"/>
      <c r="Z48" s="26">
        <f t="shared" si="11"/>
        <v>-1</v>
      </c>
    </row>
    <row r="49" spans="1:26" s="69" customFormat="1" ht="15" hidden="1" customHeight="1" outlineLevel="1" x14ac:dyDescent="0.3">
      <c r="A49" s="47"/>
      <c r="B49" s="9" t="str">
        <f>CONCATENATE("          ","5583"," - ","FREIGHT-IN-COMPUTER EQUIPMENT")</f>
        <v xml:space="preserve">          5583 - FREIGHT-IN-COMPUTER EQUIPMENT</v>
      </c>
      <c r="C49" s="9"/>
      <c r="D49" s="3"/>
      <c r="E49" s="3"/>
      <c r="F49" s="26">
        <f t="shared" si="4"/>
        <v>0</v>
      </c>
      <c r="G49" s="3"/>
      <c r="H49" s="3"/>
      <c r="I49" s="3"/>
      <c r="J49" s="26">
        <f t="shared" si="5"/>
        <v>0</v>
      </c>
      <c r="K49" s="3"/>
      <c r="L49" s="3">
        <f t="shared" si="6"/>
        <v>0</v>
      </c>
      <c r="M49" s="3"/>
      <c r="N49" s="26">
        <f t="shared" si="7"/>
        <v>0</v>
      </c>
      <c r="O49" s="9"/>
      <c r="P49" s="3">
        <v>0</v>
      </c>
      <c r="Q49" s="3"/>
      <c r="R49" s="26">
        <f t="shared" si="8"/>
        <v>0</v>
      </c>
      <c r="S49" s="3"/>
      <c r="T49" s="3">
        <v>242.46</v>
      </c>
      <c r="U49" s="3"/>
      <c r="V49" s="26">
        <f t="shared" si="9"/>
        <v>9.1936801612709366E-5</v>
      </c>
      <c r="W49" s="3"/>
      <c r="X49" s="3">
        <f t="shared" si="10"/>
        <v>-242.46</v>
      </c>
      <c r="Y49" s="3"/>
      <c r="Z49" s="26">
        <f t="shared" si="11"/>
        <v>-1</v>
      </c>
    </row>
    <row r="50" spans="1:26" s="69" customFormat="1" ht="15" hidden="1" customHeight="1" outlineLevel="1" x14ac:dyDescent="0.3">
      <c r="A50" s="47"/>
      <c r="B50" s="9" t="str">
        <f>CONCATENATE("          ","5585"," - ","FREIGHT-IN-SOFTWARE")</f>
        <v xml:space="preserve">          5585 - FREIGHT-IN-SOFTWARE</v>
      </c>
      <c r="C50" s="9"/>
      <c r="D50" s="3"/>
      <c r="E50" s="3"/>
      <c r="F50" s="26">
        <f t="shared" si="4"/>
        <v>0</v>
      </c>
      <c r="G50" s="3"/>
      <c r="H50" s="3"/>
      <c r="I50" s="3"/>
      <c r="J50" s="26">
        <f t="shared" si="5"/>
        <v>0</v>
      </c>
      <c r="K50" s="3"/>
      <c r="L50" s="3">
        <f t="shared" si="6"/>
        <v>0</v>
      </c>
      <c r="M50" s="3"/>
      <c r="N50" s="26">
        <f t="shared" si="7"/>
        <v>0</v>
      </c>
      <c r="O50" s="9"/>
      <c r="P50" s="3"/>
      <c r="Q50" s="3"/>
      <c r="R50" s="26">
        <f t="shared" si="8"/>
        <v>0</v>
      </c>
      <c r="S50" s="3"/>
      <c r="T50" s="3">
        <v>9.41</v>
      </c>
      <c r="U50" s="3"/>
      <c r="V50" s="26">
        <f t="shared" si="9"/>
        <v>3.5681155785514936E-6</v>
      </c>
      <c r="W50" s="3"/>
      <c r="X50" s="3">
        <f t="shared" si="10"/>
        <v>-9.41</v>
      </c>
      <c r="Y50" s="3"/>
      <c r="Z50" s="26">
        <f t="shared" si="11"/>
        <v>-1</v>
      </c>
    </row>
    <row r="51" spans="1:26" s="69" customFormat="1" ht="15" hidden="1" customHeight="1" outlineLevel="1" x14ac:dyDescent="0.3">
      <c r="A51" s="47"/>
      <c r="B51" s="9" t="str">
        <f>CONCATENATE("          ","5586"," - ","FREIGHT-IN-COMPUTER SUPPLIES")</f>
        <v xml:space="preserve">          5586 - FREIGHT-IN-COMPUTER SUPPLIES</v>
      </c>
      <c r="C51" s="9"/>
      <c r="D51" s="3"/>
      <c r="E51" s="3"/>
      <c r="F51" s="26">
        <f t="shared" si="4"/>
        <v>0</v>
      </c>
      <c r="G51" s="3"/>
      <c r="H51" s="3"/>
      <c r="I51" s="3"/>
      <c r="J51" s="26">
        <f t="shared" si="5"/>
        <v>0</v>
      </c>
      <c r="K51" s="3"/>
      <c r="L51" s="3">
        <f t="shared" si="6"/>
        <v>0</v>
      </c>
      <c r="M51" s="3"/>
      <c r="N51" s="26">
        <f t="shared" si="7"/>
        <v>0</v>
      </c>
      <c r="O51" s="9"/>
      <c r="P51" s="3"/>
      <c r="Q51" s="3"/>
      <c r="R51" s="26">
        <f t="shared" si="8"/>
        <v>0</v>
      </c>
      <c r="S51" s="3"/>
      <c r="T51" s="3">
        <v>24.12</v>
      </c>
      <c r="U51" s="3"/>
      <c r="V51" s="26">
        <f t="shared" si="9"/>
        <v>9.1459030557557945E-6</v>
      </c>
      <c r="W51" s="3"/>
      <c r="X51" s="3">
        <f t="shared" si="10"/>
        <v>-24.12</v>
      </c>
      <c r="Y51" s="3"/>
      <c r="Z51" s="26">
        <f t="shared" si="11"/>
        <v>-1</v>
      </c>
    </row>
    <row r="52" spans="1:26" ht="15" customHeight="1" x14ac:dyDescent="0.3">
      <c r="A52" s="12"/>
      <c r="B52" s="13"/>
      <c r="C52" s="13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O52" s="13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2" customFormat="1" ht="15" customHeight="1" x14ac:dyDescent="0.3">
      <c r="A53" s="13"/>
      <c r="B53" s="28" t="s">
        <v>288</v>
      </c>
      <c r="C53" s="28"/>
      <c r="D53" s="22">
        <f>D12-D36</f>
        <v>112946.89999999991</v>
      </c>
      <c r="E53" s="15"/>
      <c r="F53" s="24">
        <f>IF(D$12=0,0,D53/D$12)</f>
        <v>0.2829728472647523</v>
      </c>
      <c r="G53" s="15"/>
      <c r="H53" s="22">
        <f>H12-H36</f>
        <v>39391.399999999994</v>
      </c>
      <c r="I53" s="15"/>
      <c r="J53" s="24">
        <f>IF(H$12=0,0,H53/H$12)</f>
        <v>0.60900180591451292</v>
      </c>
      <c r="K53" s="17"/>
      <c r="L53" s="22">
        <f>+D53-H53</f>
        <v>73555.499999999913</v>
      </c>
      <c r="M53" s="17"/>
      <c r="N53" s="24">
        <f>IF(H53=0,0,L53/H53)</f>
        <v>1.8672984458536614</v>
      </c>
      <c r="O53" s="27"/>
      <c r="P53" s="22">
        <f>P12-P36</f>
        <v>487960.88999999966</v>
      </c>
      <c r="Q53" s="15"/>
      <c r="R53" s="24">
        <f>IF(P$12=0,0,P53/P$12)</f>
        <v>0.16922239082392659</v>
      </c>
      <c r="S53" s="15"/>
      <c r="T53" s="22">
        <f>T12-T36</f>
        <v>321466.05999999959</v>
      </c>
      <c r="U53" s="15"/>
      <c r="V53" s="24">
        <f>IF(T$12=0,0,T53/T$12)</f>
        <v>0.12189458625521442</v>
      </c>
      <c r="W53" s="17"/>
      <c r="X53" s="22">
        <f>+P53-T53</f>
        <v>166494.83000000007</v>
      </c>
      <c r="Y53" s="17"/>
      <c r="Z53" s="24">
        <f>IF(T53=0,0,X53/T53)</f>
        <v>0.51792350956116573</v>
      </c>
    </row>
    <row r="54" spans="1:26" ht="15" customHeight="1" x14ac:dyDescent="0.3">
      <c r="A54" s="12"/>
      <c r="B54" s="13"/>
      <c r="C54" s="12"/>
      <c r="D54" s="2"/>
      <c r="E54" s="2"/>
      <c r="F54" s="5"/>
      <c r="G54" s="2"/>
      <c r="H54" s="2"/>
      <c r="I54" s="2"/>
      <c r="J54" s="5"/>
      <c r="K54" s="2"/>
      <c r="L54" s="2"/>
      <c r="M54" s="2"/>
      <c r="N54" s="5"/>
      <c r="O54" s="37"/>
      <c r="P54" s="2"/>
      <c r="Q54" s="2"/>
      <c r="R54" s="5"/>
      <c r="S54" s="2"/>
      <c r="T54" s="2"/>
      <c r="U54" s="2"/>
      <c r="V54" s="5"/>
      <c r="W54" s="2"/>
      <c r="X54" s="2"/>
      <c r="Y54" s="2"/>
      <c r="Z54" s="5"/>
    </row>
    <row r="55" spans="1:26" s="62" customFormat="1" ht="15" customHeight="1" x14ac:dyDescent="0.3">
      <c r="A55" s="13"/>
      <c r="B55" s="27" t="s">
        <v>289</v>
      </c>
      <c r="C55" s="13"/>
      <c r="D55" s="23" cm="1">
        <f t="array" ref="D55">SUM(OSRRefD22x_0)</f>
        <v>3329.8900000000003</v>
      </c>
      <c r="E55" s="23"/>
      <c r="F55" s="34">
        <f t="shared" ref="F55:F98" si="12">IF(D$12=0,0,D55/D$12)</f>
        <v>8.3425791622295693E-3</v>
      </c>
      <c r="G55" s="23"/>
      <c r="H55" s="23" cm="1">
        <f t="array" ref="H55">SUM(OSRRefH22x_0)</f>
        <v>-995.91999999999894</v>
      </c>
      <c r="I55" s="23"/>
      <c r="J55" s="34">
        <f t="shared" ref="J55:J98" si="13">IF(H$12=0,0,H55/H$12)</f>
        <v>-1.5397195289996831E-2</v>
      </c>
      <c r="K55" s="8"/>
      <c r="L55" s="23">
        <f t="shared" ref="L55:L98" si="14">+D55-H55</f>
        <v>4325.8099999999995</v>
      </c>
      <c r="M55" s="8"/>
      <c r="N55" s="34">
        <f t="shared" ref="N55:N98" si="15">IF(H55=0,0,L55/H55)</f>
        <v>-4.3435316089645797</v>
      </c>
      <c r="O55" s="13"/>
      <c r="P55" s="23" cm="1">
        <f t="array" ref="P55">SUM(OSRRefP22x_0)</f>
        <v>174633.16999999995</v>
      </c>
      <c r="Q55" s="23"/>
      <c r="R55" s="34">
        <f t="shared" ref="R55:R98" si="16">IF(P$12=0,0,P55/P$12)</f>
        <v>6.056190803439436E-2</v>
      </c>
      <c r="S55" s="23"/>
      <c r="T55" s="23" cm="1">
        <f t="array" ref="T55">SUM(OSRRefT22x_0)</f>
        <v>150448.5</v>
      </c>
      <c r="U55" s="23"/>
      <c r="V55" s="34">
        <f t="shared" ref="V55:V98" si="17">IF(T$12=0,0,T55/T$12)</f>
        <v>5.7047570310276768E-2</v>
      </c>
      <c r="W55" s="8"/>
      <c r="X55" s="23">
        <f t="shared" ref="X55:X98" si="18">+P55-T55</f>
        <v>24184.669999999955</v>
      </c>
      <c r="Y55" s="8"/>
      <c r="Z55" s="34">
        <f t="shared" ref="Z55:Z98" si="19">IF(T55=0,0,X55/T55)</f>
        <v>0.16075048937011638</v>
      </c>
    </row>
    <row r="56" spans="1:26" s="68" customFormat="1" ht="15" customHeight="1" outlineLevel="1" collapsed="1" x14ac:dyDescent="0.3">
      <c r="A56" s="20"/>
      <c r="B56" s="11" t="str">
        <f>CONCATENATE("     ","*Benefits                                         ")</f>
        <v xml:space="preserve">     *Benefits                                         </v>
      </c>
      <c r="C56" s="11"/>
      <c r="D56" s="2">
        <f>SUM(OSRRefD22_0x_0)</f>
        <v>846.68999999999994</v>
      </c>
      <c r="E56" s="2"/>
      <c r="F56" s="5">
        <f t="shared" si="12"/>
        <v>2.1212647717696841E-3</v>
      </c>
      <c r="G56" s="2"/>
      <c r="H56" s="2">
        <f>SUM(OSRRefH22_0x_0)</f>
        <v>3035.8100000000004</v>
      </c>
      <c r="I56" s="2"/>
      <c r="J56" s="5">
        <f t="shared" si="13"/>
        <v>4.6934451997475035E-2</v>
      </c>
      <c r="K56" s="2"/>
      <c r="L56" s="2">
        <f t="shared" si="14"/>
        <v>-2189.1200000000003</v>
      </c>
      <c r="M56" s="2"/>
      <c r="N56" s="5">
        <f t="shared" si="15"/>
        <v>-0.72109914652102736</v>
      </c>
      <c r="O56" s="11"/>
      <c r="P56" s="2">
        <f>SUM(OSRRefP22_0x_0)</f>
        <v>31634.639999999999</v>
      </c>
      <c r="Q56" s="2"/>
      <c r="R56" s="5">
        <f t="shared" si="16"/>
        <v>1.0970734588286828E-2</v>
      </c>
      <c r="S56" s="2"/>
      <c r="T56" s="2">
        <f>SUM(OSRRefT22_0x_0)</f>
        <v>35524.879999999997</v>
      </c>
      <c r="U56" s="2"/>
      <c r="V56" s="5">
        <f t="shared" si="17"/>
        <v>1.347044396962512E-2</v>
      </c>
      <c r="W56" s="2"/>
      <c r="X56" s="2">
        <f t="shared" si="18"/>
        <v>-3890.239999999998</v>
      </c>
      <c r="Y56" s="2"/>
      <c r="Z56" s="5">
        <f t="shared" si="19"/>
        <v>-0.10950747757627889</v>
      </c>
    </row>
    <row r="57" spans="1:26" s="69" customFormat="1" ht="15" hidden="1" customHeight="1" outlineLevel="2" x14ac:dyDescent="0.3">
      <c r="A57" s="21"/>
      <c r="B57" s="9" t="str">
        <f>CONCATENATE("          ","6111"," - ","F.I.C.A.")</f>
        <v xml:space="preserve">          6111 - F.I.C.A.</v>
      </c>
      <c r="C57" s="9"/>
      <c r="D57" s="6">
        <v>804.82</v>
      </c>
      <c r="E57" s="3"/>
      <c r="F57" s="7">
        <f t="shared" si="12"/>
        <v>2.0163652737314451E-3</v>
      </c>
      <c r="G57" s="3"/>
      <c r="H57" s="6">
        <v>622.99</v>
      </c>
      <c r="I57" s="3"/>
      <c r="J57" s="7">
        <f t="shared" si="13"/>
        <v>9.6315956037785529E-3</v>
      </c>
      <c r="K57" s="3"/>
      <c r="L57" s="6">
        <f t="shared" si="14"/>
        <v>181.83000000000004</v>
      </c>
      <c r="M57" s="3"/>
      <c r="N57" s="7">
        <f t="shared" si="15"/>
        <v>0.29186664312428778</v>
      </c>
      <c r="O57" s="9"/>
      <c r="P57" s="6">
        <v>7299.12</v>
      </c>
      <c r="Q57" s="3"/>
      <c r="R57" s="7">
        <f t="shared" si="16"/>
        <v>2.5312982302961614E-3</v>
      </c>
      <c r="S57" s="3"/>
      <c r="T57" s="6">
        <v>6560.19</v>
      </c>
      <c r="U57" s="3"/>
      <c r="V57" s="7">
        <f t="shared" si="17"/>
        <v>2.4875149986458788E-3</v>
      </c>
      <c r="W57" s="3"/>
      <c r="X57" s="6">
        <f t="shared" si="18"/>
        <v>738.93000000000029</v>
      </c>
      <c r="Y57" s="3"/>
      <c r="Z57" s="7">
        <f t="shared" si="19"/>
        <v>0.11263850589693292</v>
      </c>
    </row>
    <row r="58" spans="1:26" s="69" customFormat="1" ht="15" hidden="1" customHeight="1" outlineLevel="2" x14ac:dyDescent="0.3">
      <c r="A58" s="21"/>
      <c r="B58" s="9" t="str">
        <f>CONCATENATE("          ","6112"," - ","COMPENSATION INSURANCE")</f>
        <v xml:space="preserve">          6112 - COMPENSATION INSURANCE</v>
      </c>
      <c r="C58" s="9"/>
      <c r="D58" s="6">
        <v>-1175.6300000000001</v>
      </c>
      <c r="E58" s="3"/>
      <c r="F58" s="7">
        <f t="shared" si="12"/>
        <v>-2.945378478115478E-3</v>
      </c>
      <c r="G58" s="3"/>
      <c r="H58" s="6">
        <v>132.6</v>
      </c>
      <c r="I58" s="3"/>
      <c r="J58" s="7">
        <f t="shared" si="13"/>
        <v>2.0500322269394948E-3</v>
      </c>
      <c r="K58" s="3"/>
      <c r="L58" s="6">
        <f t="shared" si="14"/>
        <v>-1308.23</v>
      </c>
      <c r="M58" s="3"/>
      <c r="N58" s="7">
        <f t="shared" si="15"/>
        <v>-9.8659879336349938</v>
      </c>
      <c r="O58" s="9"/>
      <c r="P58" s="6">
        <v>536.69000000000005</v>
      </c>
      <c r="Q58" s="3"/>
      <c r="R58" s="7">
        <f t="shared" si="16"/>
        <v>1.861214019248412E-4</v>
      </c>
      <c r="S58" s="3"/>
      <c r="T58" s="6">
        <v>1867.88</v>
      </c>
      <c r="U58" s="3"/>
      <c r="V58" s="7">
        <f t="shared" si="17"/>
        <v>7.0826904642558601E-4</v>
      </c>
      <c r="W58" s="3"/>
      <c r="X58" s="6">
        <f t="shared" si="18"/>
        <v>-1331.19</v>
      </c>
      <c r="Y58" s="3"/>
      <c r="Z58" s="7">
        <f t="shared" si="19"/>
        <v>-0.71267426172987558</v>
      </c>
    </row>
    <row r="59" spans="1:26" s="69" customFormat="1" ht="15" hidden="1" customHeight="1" outlineLevel="2" x14ac:dyDescent="0.3">
      <c r="A59" s="21"/>
      <c r="B59" s="9" t="str">
        <f>CONCATENATE("          ","6113"," - ","GROUP INSURANCE")</f>
        <v xml:space="preserve">          6113 - GROUP INSURANCE</v>
      </c>
      <c r="C59" s="9"/>
      <c r="D59" s="6">
        <v>179.83</v>
      </c>
      <c r="E59" s="3"/>
      <c r="F59" s="7">
        <f t="shared" si="12"/>
        <v>4.505392102272878E-4</v>
      </c>
      <c r="G59" s="3"/>
      <c r="H59" s="6">
        <v>1053.8499999999999</v>
      </c>
      <c r="I59" s="3"/>
      <c r="J59" s="7">
        <f t="shared" si="13"/>
        <v>1.6292808916743489E-2</v>
      </c>
      <c r="K59" s="3"/>
      <c r="L59" s="6">
        <f t="shared" si="14"/>
        <v>-874.01999999999987</v>
      </c>
      <c r="M59" s="3"/>
      <c r="N59" s="7">
        <f t="shared" si="15"/>
        <v>-0.82935901693789438</v>
      </c>
      <c r="O59" s="9"/>
      <c r="P59" s="6">
        <v>11627.15</v>
      </c>
      <c r="Q59" s="3"/>
      <c r="R59" s="7">
        <f t="shared" si="16"/>
        <v>4.0322373407188829E-3</v>
      </c>
      <c r="S59" s="3"/>
      <c r="T59" s="6">
        <v>12537.88</v>
      </c>
      <c r="U59" s="3"/>
      <c r="V59" s="7">
        <f t="shared" si="17"/>
        <v>4.7541556801285016E-3</v>
      </c>
      <c r="W59" s="3"/>
      <c r="X59" s="6">
        <f t="shared" si="18"/>
        <v>-910.72999999999956</v>
      </c>
      <c r="Y59" s="3"/>
      <c r="Z59" s="7">
        <f t="shared" si="19"/>
        <v>-7.2638276965483764E-2</v>
      </c>
    </row>
    <row r="60" spans="1:26" s="69" customFormat="1" ht="15" hidden="1" customHeight="1" outlineLevel="2" x14ac:dyDescent="0.3">
      <c r="A60" s="21"/>
      <c r="B60" s="9" t="str">
        <f>CONCATENATE("          ","6114"," - ","STATE UNEMPLOYMENT INSURANCE")</f>
        <v xml:space="preserve">          6114 - STATE UNEMPLOYMENT INSURANCE</v>
      </c>
      <c r="C60" s="9"/>
      <c r="D60" s="6"/>
      <c r="E60" s="3"/>
      <c r="F60" s="7">
        <f t="shared" si="12"/>
        <v>0</v>
      </c>
      <c r="G60" s="3"/>
      <c r="H60" s="6">
        <v>18.63</v>
      </c>
      <c r="I60" s="3"/>
      <c r="J60" s="7">
        <f t="shared" si="13"/>
        <v>2.8802488980303763E-4</v>
      </c>
      <c r="K60" s="3"/>
      <c r="L60" s="6">
        <f t="shared" si="14"/>
        <v>-18.63</v>
      </c>
      <c r="M60" s="3"/>
      <c r="N60" s="7">
        <f t="shared" si="15"/>
        <v>-1</v>
      </c>
      <c r="O60" s="9"/>
      <c r="P60" s="6">
        <v>301.5</v>
      </c>
      <c r="Q60" s="3"/>
      <c r="R60" s="7">
        <f t="shared" si="16"/>
        <v>1.0455868877813937E-4</v>
      </c>
      <c r="S60" s="3"/>
      <c r="T60" s="6">
        <v>277.20999999999998</v>
      </c>
      <c r="U60" s="3"/>
      <c r="V60" s="7">
        <f t="shared" si="17"/>
        <v>1.051134239670839E-4</v>
      </c>
      <c r="W60" s="3"/>
      <c r="X60" s="6">
        <f t="shared" si="18"/>
        <v>24.29000000000002</v>
      </c>
      <c r="Y60" s="3"/>
      <c r="Z60" s="7">
        <f t="shared" si="19"/>
        <v>8.7623101619710764E-2</v>
      </c>
    </row>
    <row r="61" spans="1:26" s="69" customFormat="1" ht="15" hidden="1" customHeight="1" outlineLevel="2" x14ac:dyDescent="0.3">
      <c r="A61" s="21"/>
      <c r="B61" s="9" t="str">
        <f>CONCATENATE("          ","6115"," - ","P.E.R.S.")</f>
        <v xml:space="preserve">          6115 - P.E.R.S.</v>
      </c>
      <c r="C61" s="9"/>
      <c r="D61" s="6">
        <v>111.48</v>
      </c>
      <c r="E61" s="3"/>
      <c r="F61" s="7">
        <f t="shared" si="12"/>
        <v>2.7929773205882249E-4</v>
      </c>
      <c r="G61" s="3"/>
      <c r="H61" s="6">
        <v>287.82</v>
      </c>
      <c r="I61" s="3"/>
      <c r="J61" s="7">
        <f t="shared" si="13"/>
        <v>4.4497758337686683E-3</v>
      </c>
      <c r="K61" s="3"/>
      <c r="L61" s="6">
        <f t="shared" si="14"/>
        <v>-176.33999999999997</v>
      </c>
      <c r="M61" s="3"/>
      <c r="N61" s="7">
        <f t="shared" si="15"/>
        <v>-0.61267458828434429</v>
      </c>
      <c r="O61" s="9"/>
      <c r="P61" s="6">
        <v>1453.64</v>
      </c>
      <c r="Q61" s="3"/>
      <c r="R61" s="7">
        <f t="shared" si="16"/>
        <v>5.0411506585557053E-4</v>
      </c>
      <c r="S61" s="3"/>
      <c r="T61" s="6">
        <v>2404.86</v>
      </c>
      <c r="U61" s="3"/>
      <c r="V61" s="7">
        <f t="shared" si="17"/>
        <v>9.1188293626305475E-4</v>
      </c>
      <c r="W61" s="3"/>
      <c r="X61" s="6">
        <f t="shared" si="18"/>
        <v>-951.22</v>
      </c>
      <c r="Y61" s="3"/>
      <c r="Z61" s="7">
        <f t="shared" si="19"/>
        <v>-0.39554069675573628</v>
      </c>
    </row>
    <row r="62" spans="1:26" s="69" customFormat="1" ht="15" hidden="1" customHeight="1" outlineLevel="2" x14ac:dyDescent="0.3">
      <c r="A62" s="21"/>
      <c r="B62" s="9" t="str">
        <f>CONCATENATE("          ","6117"," - ","RETIREMENT STAFF HOURLY")</f>
        <v xml:space="preserve">          6117 - RETIREMENT STAFF HOURLY</v>
      </c>
      <c r="C62" s="9"/>
      <c r="D62" s="6">
        <v>195.63</v>
      </c>
      <c r="E62" s="3"/>
      <c r="F62" s="7">
        <f t="shared" si="12"/>
        <v>4.9012392646813276E-4</v>
      </c>
      <c r="G62" s="3"/>
      <c r="H62" s="6">
        <v>169.75</v>
      </c>
      <c r="I62" s="3"/>
      <c r="J62" s="7">
        <f t="shared" si="13"/>
        <v>2.6243813764930566E-3</v>
      </c>
      <c r="K62" s="3"/>
      <c r="L62" s="6">
        <f t="shared" si="14"/>
        <v>25.879999999999995</v>
      </c>
      <c r="M62" s="3"/>
      <c r="N62" s="7">
        <f t="shared" si="15"/>
        <v>0.15245949926362296</v>
      </c>
      <c r="O62" s="9"/>
      <c r="P62" s="6">
        <v>562.08000000000004</v>
      </c>
      <c r="Q62" s="3"/>
      <c r="R62" s="7">
        <f t="shared" si="16"/>
        <v>1.9492652666141486E-4</v>
      </c>
      <c r="S62" s="3"/>
      <c r="T62" s="6">
        <v>2242.48</v>
      </c>
      <c r="U62" s="3"/>
      <c r="V62" s="7">
        <f t="shared" si="17"/>
        <v>8.5031113948885793E-4</v>
      </c>
      <c r="W62" s="3"/>
      <c r="X62" s="6">
        <f t="shared" si="18"/>
        <v>-1680.4</v>
      </c>
      <c r="Y62" s="3"/>
      <c r="Z62" s="7">
        <f t="shared" si="19"/>
        <v>-0.74934893510755951</v>
      </c>
    </row>
    <row r="63" spans="1:26" s="69" customFormat="1" ht="15" hidden="1" customHeight="1" outlineLevel="2" x14ac:dyDescent="0.3">
      <c r="A63" s="21"/>
      <c r="B63" s="9" t="str">
        <f>CONCATENATE("          ","6118"," - ","VACATION")</f>
        <v xml:space="preserve">          6118 - VACATION</v>
      </c>
      <c r="C63" s="9"/>
      <c r="D63" s="6">
        <v>229.44</v>
      </c>
      <c r="E63" s="3"/>
      <c r="F63" s="7">
        <f t="shared" si="12"/>
        <v>5.7483020849996612E-4</v>
      </c>
      <c r="G63" s="3"/>
      <c r="H63" s="6">
        <v>267.04000000000002</v>
      </c>
      <c r="I63" s="3"/>
      <c r="J63" s="7">
        <f t="shared" si="13"/>
        <v>4.1285113565755864E-3</v>
      </c>
      <c r="K63" s="3"/>
      <c r="L63" s="6">
        <f t="shared" si="14"/>
        <v>-37.600000000000023</v>
      </c>
      <c r="M63" s="3"/>
      <c r="N63" s="7">
        <f t="shared" si="15"/>
        <v>-0.14080287597363697</v>
      </c>
      <c r="O63" s="9"/>
      <c r="P63" s="6">
        <v>3358.39</v>
      </c>
      <c r="Q63" s="3"/>
      <c r="R63" s="7">
        <f t="shared" si="16"/>
        <v>1.1646728185924229E-3</v>
      </c>
      <c r="S63" s="3"/>
      <c r="T63" s="6">
        <v>3425.3</v>
      </c>
      <c r="U63" s="3"/>
      <c r="V63" s="7">
        <f t="shared" si="17"/>
        <v>1.29881682159537E-3</v>
      </c>
      <c r="W63" s="3"/>
      <c r="X63" s="6">
        <f t="shared" si="18"/>
        <v>-66.910000000000309</v>
      </c>
      <c r="Y63" s="3"/>
      <c r="Z63" s="7">
        <f t="shared" si="19"/>
        <v>-1.9534055411204947E-2</v>
      </c>
    </row>
    <row r="64" spans="1:26" s="69" customFormat="1" ht="15" hidden="1" customHeight="1" outlineLevel="2" x14ac:dyDescent="0.3">
      <c r="A64" s="21"/>
      <c r="B64" s="9" t="str">
        <f>CONCATENATE("          ","6119"," - ","SICK LEAVE")</f>
        <v xml:space="preserve">          6119 - SICK LEAVE</v>
      </c>
      <c r="C64" s="9"/>
      <c r="D64" s="6">
        <v>252.39</v>
      </c>
      <c r="E64" s="3"/>
      <c r="F64" s="7">
        <f t="shared" si="12"/>
        <v>6.3232826152068709E-4</v>
      </c>
      <c r="G64" s="3"/>
      <c r="H64" s="6">
        <v>267.63</v>
      </c>
      <c r="I64" s="3"/>
      <c r="J64" s="7">
        <f t="shared" si="13"/>
        <v>4.1376329177663426E-3</v>
      </c>
      <c r="K64" s="3"/>
      <c r="L64" s="6">
        <f t="shared" si="14"/>
        <v>-15.240000000000009</v>
      </c>
      <c r="M64" s="3"/>
      <c r="N64" s="7">
        <f t="shared" si="15"/>
        <v>-5.6944288756865857E-2</v>
      </c>
      <c r="O64" s="9"/>
      <c r="P64" s="6">
        <v>4174.7700000000004</v>
      </c>
      <c r="Q64" s="3"/>
      <c r="R64" s="7">
        <f t="shared" si="16"/>
        <v>1.4477893106146365E-3</v>
      </c>
      <c r="S64" s="3"/>
      <c r="T64" s="6">
        <v>3423.89</v>
      </c>
      <c r="U64" s="3"/>
      <c r="V64" s="7">
        <f t="shared" si="17"/>
        <v>1.2982821730336527E-3</v>
      </c>
      <c r="W64" s="3"/>
      <c r="X64" s="6">
        <f t="shared" si="18"/>
        <v>750.88000000000056</v>
      </c>
      <c r="Y64" s="3"/>
      <c r="Z64" s="7">
        <f t="shared" si="19"/>
        <v>0.21930611088557184</v>
      </c>
    </row>
    <row r="65" spans="1:26" s="69" customFormat="1" ht="15" hidden="1" customHeight="1" outlineLevel="2" x14ac:dyDescent="0.3">
      <c r="A65" s="21"/>
      <c r="B65" s="9" t="str">
        <f>CONCATENATE("          ","6156"," - ","EMPLOYEE MEALS")</f>
        <v xml:space="preserve">          6156 - EMPLOYEE MEALS</v>
      </c>
      <c r="C65" s="9"/>
      <c r="D65" s="6">
        <v>248.73</v>
      </c>
      <c r="E65" s="3"/>
      <c r="F65" s="7">
        <f t="shared" si="12"/>
        <v>6.2315863737882047E-4</v>
      </c>
      <c r="G65" s="3"/>
      <c r="H65" s="6">
        <v>215.5</v>
      </c>
      <c r="I65" s="3"/>
      <c r="J65" s="7">
        <f t="shared" si="13"/>
        <v>3.331688875606796E-3</v>
      </c>
      <c r="K65" s="3"/>
      <c r="L65" s="6">
        <f t="shared" si="14"/>
        <v>33.22999999999999</v>
      </c>
      <c r="M65" s="3"/>
      <c r="N65" s="7">
        <f t="shared" si="15"/>
        <v>0.15419953596287697</v>
      </c>
      <c r="O65" s="9"/>
      <c r="P65" s="6">
        <v>2321.3000000000002</v>
      </c>
      <c r="Q65" s="3"/>
      <c r="R65" s="7">
        <f t="shared" si="16"/>
        <v>8.0501520484475928E-4</v>
      </c>
      <c r="S65" s="3"/>
      <c r="T65" s="6">
        <v>2785.19</v>
      </c>
      <c r="U65" s="3"/>
      <c r="V65" s="7">
        <f t="shared" si="17"/>
        <v>1.0560977500771343E-3</v>
      </c>
      <c r="W65" s="3"/>
      <c r="X65" s="6">
        <f t="shared" si="18"/>
        <v>-463.88999999999987</v>
      </c>
      <c r="Y65" s="3"/>
      <c r="Z65" s="7">
        <f t="shared" si="19"/>
        <v>-0.16655596207081019</v>
      </c>
    </row>
    <row r="66" spans="1:26" s="68" customFormat="1" ht="15" customHeight="1" outlineLevel="1" collapsed="1" x14ac:dyDescent="0.3">
      <c r="A66" s="20"/>
      <c r="B66" s="11" t="str">
        <f>CONCATENATE("     ","*Payroll                                          ")</f>
        <v xml:space="preserve">     *Payroll                                          </v>
      </c>
      <c r="C66" s="11"/>
      <c r="D66" s="2">
        <f>SUM(OSRRefD22_1x_0)</f>
        <v>10438.880000000001</v>
      </c>
      <c r="E66" s="2"/>
      <c r="F66" s="5">
        <f t="shared" si="12"/>
        <v>2.6153171055204528E-2</v>
      </c>
      <c r="G66" s="2"/>
      <c r="H66" s="2">
        <f>SUM(OSRRefH22_1x_0)</f>
        <v>7568.11</v>
      </c>
      <c r="I66" s="2"/>
      <c r="J66" s="5">
        <f t="shared" si="13"/>
        <v>0.11700504824300952</v>
      </c>
      <c r="K66" s="2"/>
      <c r="L66" s="2">
        <f t="shared" si="14"/>
        <v>2870.7700000000013</v>
      </c>
      <c r="M66" s="2"/>
      <c r="N66" s="5">
        <f t="shared" si="15"/>
        <v>0.37932456055739167</v>
      </c>
      <c r="O66" s="11"/>
      <c r="P66" s="2">
        <f>SUM(OSRRefP22_1x_0)</f>
        <v>127833.33</v>
      </c>
      <c r="Q66" s="2"/>
      <c r="R66" s="5">
        <f t="shared" si="16"/>
        <v>4.4331958099314055E-2</v>
      </c>
      <c r="S66" s="2"/>
      <c r="T66" s="2">
        <f>SUM(OSRRefT22_1x_0)</f>
        <v>96957.290000000008</v>
      </c>
      <c r="U66" s="2"/>
      <c r="V66" s="5">
        <f t="shared" si="17"/>
        <v>3.6764592657081291E-2</v>
      </c>
      <c r="W66" s="2"/>
      <c r="X66" s="2">
        <f t="shared" si="18"/>
        <v>30876.039999999994</v>
      </c>
      <c r="Y66" s="2"/>
      <c r="Z66" s="5">
        <f t="shared" si="19"/>
        <v>0.3184499071704664</v>
      </c>
    </row>
    <row r="67" spans="1:26" s="69" customFormat="1" ht="15" hidden="1" customHeight="1" outlineLevel="2" x14ac:dyDescent="0.3">
      <c r="A67" s="21"/>
      <c r="B67" s="9" t="str">
        <f>CONCATENATE("          ","6002"," - ","STAFF SALARIES")</f>
        <v xml:space="preserve">          6002 - STAFF SALARIES</v>
      </c>
      <c r="C67" s="9"/>
      <c r="D67" s="6">
        <v>1550.4</v>
      </c>
      <c r="E67" s="3"/>
      <c r="F67" s="7">
        <f t="shared" si="12"/>
        <v>3.8843129151775956E-3</v>
      </c>
      <c r="G67" s="3"/>
      <c r="H67" s="6">
        <v>2354.0700000000002</v>
      </c>
      <c r="I67" s="3"/>
      <c r="J67" s="7">
        <f t="shared" si="13"/>
        <v>3.6394565342922E-2</v>
      </c>
      <c r="K67" s="3"/>
      <c r="L67" s="6">
        <f t="shared" si="14"/>
        <v>-803.67000000000007</v>
      </c>
      <c r="M67" s="3"/>
      <c r="N67" s="7">
        <f t="shared" si="15"/>
        <v>-0.34139596528565419</v>
      </c>
      <c r="O67" s="9"/>
      <c r="P67" s="6">
        <v>21807.34</v>
      </c>
      <c r="Q67" s="3"/>
      <c r="R67" s="7">
        <f t="shared" si="16"/>
        <v>7.5626762060997344E-3</v>
      </c>
      <c r="S67" s="3"/>
      <c r="T67" s="6">
        <v>27912.61</v>
      </c>
      <c r="U67" s="3"/>
      <c r="V67" s="7">
        <f t="shared" si="17"/>
        <v>1.0583997723595346E-2</v>
      </c>
      <c r="W67" s="3"/>
      <c r="X67" s="6">
        <f t="shared" si="18"/>
        <v>-6105.27</v>
      </c>
      <c r="Y67" s="3"/>
      <c r="Z67" s="7">
        <f t="shared" si="19"/>
        <v>-0.2187280229258389</v>
      </c>
    </row>
    <row r="68" spans="1:26" s="69" customFormat="1" ht="15" hidden="1" customHeight="1" outlineLevel="2" x14ac:dyDescent="0.3">
      <c r="A68" s="21"/>
      <c r="B68" s="9" t="str">
        <f>CONCATENATE("          ","6004"," - ","STAFF HOURLY")</f>
        <v xml:space="preserve">          6004 - STAFF HOURLY</v>
      </c>
      <c r="C68" s="9"/>
      <c r="D68" s="6">
        <v>3950.56</v>
      </c>
      <c r="E68" s="3"/>
      <c r="F68" s="7">
        <f t="shared" si="12"/>
        <v>9.8975820628121776E-3</v>
      </c>
      <c r="G68" s="3"/>
      <c r="H68" s="6">
        <v>3168.99</v>
      </c>
      <c r="I68" s="3"/>
      <c r="J68" s="7">
        <f t="shared" si="13"/>
        <v>4.8993451182873224E-2</v>
      </c>
      <c r="K68" s="3"/>
      <c r="L68" s="6">
        <f t="shared" si="14"/>
        <v>781.57000000000016</v>
      </c>
      <c r="M68" s="3"/>
      <c r="N68" s="7">
        <f t="shared" si="15"/>
        <v>0.24663062994834323</v>
      </c>
      <c r="O68" s="9"/>
      <c r="P68" s="6">
        <v>41779.29</v>
      </c>
      <c r="Q68" s="3"/>
      <c r="R68" s="7">
        <f t="shared" si="16"/>
        <v>1.4488848359806402E-2</v>
      </c>
      <c r="S68" s="3"/>
      <c r="T68" s="6">
        <v>42904.19</v>
      </c>
      <c r="U68" s="3"/>
      <c r="V68" s="7">
        <f t="shared" si="17"/>
        <v>1.6268555656124676E-2</v>
      </c>
      <c r="W68" s="3"/>
      <c r="X68" s="6">
        <f t="shared" si="18"/>
        <v>-1124.9000000000015</v>
      </c>
      <c r="Y68" s="3"/>
      <c r="Z68" s="7">
        <f t="shared" si="19"/>
        <v>-2.6218884449281093E-2</v>
      </c>
    </row>
    <row r="69" spans="1:26" s="69" customFormat="1" ht="15" hidden="1" customHeight="1" outlineLevel="2" x14ac:dyDescent="0.3">
      <c r="A69" s="21"/>
      <c r="B69" s="9" t="str">
        <f>CONCATENATE("          ","6005"," - ","TEMPORARY WAGES-HOURLY")</f>
        <v xml:space="preserve">          6005 - TEMPORARY WAGES-HOURLY</v>
      </c>
      <c r="C69" s="9"/>
      <c r="D69" s="6">
        <v>1731.39</v>
      </c>
      <c r="E69" s="3"/>
      <c r="F69" s="7">
        <f t="shared" si="12"/>
        <v>4.3377583450782617E-3</v>
      </c>
      <c r="G69" s="3"/>
      <c r="H69" s="6"/>
      <c r="I69" s="3"/>
      <c r="J69" s="7">
        <f t="shared" si="13"/>
        <v>0</v>
      </c>
      <c r="K69" s="3"/>
      <c r="L69" s="6">
        <f t="shared" si="14"/>
        <v>1731.39</v>
      </c>
      <c r="M69" s="3"/>
      <c r="N69" s="7">
        <f t="shared" si="15"/>
        <v>0</v>
      </c>
      <c r="O69" s="9"/>
      <c r="P69" s="6">
        <v>18327.900000000001</v>
      </c>
      <c r="Q69" s="3"/>
      <c r="R69" s="7">
        <f t="shared" si="16"/>
        <v>6.356023854251611E-3</v>
      </c>
      <c r="S69" s="3"/>
      <c r="T69" s="6"/>
      <c r="U69" s="3"/>
      <c r="V69" s="7">
        <f t="shared" si="17"/>
        <v>0</v>
      </c>
      <c r="W69" s="3"/>
      <c r="X69" s="6">
        <f t="shared" si="18"/>
        <v>18327.900000000001</v>
      </c>
      <c r="Y69" s="3"/>
      <c r="Z69" s="7">
        <f t="shared" si="19"/>
        <v>0</v>
      </c>
    </row>
    <row r="70" spans="1:26" s="69" customFormat="1" ht="15" hidden="1" customHeight="1" outlineLevel="2" x14ac:dyDescent="0.3">
      <c r="A70" s="21"/>
      <c r="B70" s="9" t="str">
        <f>CONCATENATE("          ","6007"," - ","STUDENT HOURLY")</f>
        <v xml:space="preserve">          6007 - STUDENT HOURLY</v>
      </c>
      <c r="C70" s="9"/>
      <c r="D70" s="6">
        <v>3206.53</v>
      </c>
      <c r="E70" s="3"/>
      <c r="F70" s="7">
        <f t="shared" si="12"/>
        <v>8.0335177321364908E-3</v>
      </c>
      <c r="G70" s="3"/>
      <c r="H70" s="6">
        <v>2045.05</v>
      </c>
      <c r="I70" s="3"/>
      <c r="J70" s="7">
        <f t="shared" si="13"/>
        <v>3.1617031717214285E-2</v>
      </c>
      <c r="K70" s="3"/>
      <c r="L70" s="6">
        <f t="shared" si="14"/>
        <v>1161.4800000000002</v>
      </c>
      <c r="M70" s="3"/>
      <c r="N70" s="7">
        <f t="shared" si="15"/>
        <v>0.56794699396102799</v>
      </c>
      <c r="O70" s="9"/>
      <c r="P70" s="6">
        <v>39773.17</v>
      </c>
      <c r="Q70" s="3"/>
      <c r="R70" s="7">
        <f t="shared" si="16"/>
        <v>1.3793135999170909E-2</v>
      </c>
      <c r="S70" s="3"/>
      <c r="T70" s="6">
        <v>26140.49</v>
      </c>
      <c r="U70" s="3"/>
      <c r="V70" s="7">
        <f t="shared" si="17"/>
        <v>9.9120392773612686E-3</v>
      </c>
      <c r="W70" s="3"/>
      <c r="X70" s="6">
        <f t="shared" si="18"/>
        <v>13632.679999999997</v>
      </c>
      <c r="Y70" s="3"/>
      <c r="Z70" s="7">
        <f t="shared" si="19"/>
        <v>0.52151585528809885</v>
      </c>
    </row>
    <row r="71" spans="1:26" s="69" customFormat="1" ht="15" hidden="1" customHeight="1" outlineLevel="2" x14ac:dyDescent="0.3">
      <c r="A71" s="21"/>
      <c r="B71" s="9" t="str">
        <f>CONCATENATE("          ","6008"," - ","STUDENT HOURLY-FICA EXEMPT")</f>
        <v xml:space="preserve">          6008 - STUDENT HOURLY-FICA EXEMPT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6145.63</v>
      </c>
      <c r="Q71" s="3"/>
      <c r="R71" s="7">
        <f t="shared" si="16"/>
        <v>2.1312736799853952E-3</v>
      </c>
      <c r="S71" s="3"/>
      <c r="T71" s="6"/>
      <c r="U71" s="3"/>
      <c r="V71" s="7">
        <f t="shared" si="17"/>
        <v>0</v>
      </c>
      <c r="W71" s="3"/>
      <c r="X71" s="6">
        <f t="shared" si="18"/>
        <v>6145.63</v>
      </c>
      <c r="Y71" s="3"/>
      <c r="Z71" s="7">
        <f t="shared" si="19"/>
        <v>0</v>
      </c>
    </row>
    <row r="72" spans="1:26" s="68" customFormat="1" ht="15" customHeight="1" outlineLevel="1" collapsed="1" x14ac:dyDescent="0.3">
      <c r="A72" s="20"/>
      <c r="B72" s="11" t="str">
        <f>CONCATENATE("     ","Advertising/Promo                                 ")</f>
        <v xml:space="preserve">     Advertising/Promo                                 </v>
      </c>
      <c r="C72" s="11"/>
      <c r="D72" s="2">
        <f>SUM(OSRRefD22_2x_0)</f>
        <v>0</v>
      </c>
      <c r="E72" s="2"/>
      <c r="F72" s="5">
        <f t="shared" si="12"/>
        <v>0</v>
      </c>
      <c r="G72" s="2"/>
      <c r="H72" s="2">
        <f>SUM(OSRRefH22_2x_0)</f>
        <v>0</v>
      </c>
      <c r="I72" s="2"/>
      <c r="J72" s="5">
        <f t="shared" si="13"/>
        <v>0</v>
      </c>
      <c r="K72" s="2"/>
      <c r="L72" s="2">
        <f t="shared" si="14"/>
        <v>0</v>
      </c>
      <c r="M72" s="2"/>
      <c r="N72" s="5">
        <f t="shared" si="15"/>
        <v>0</v>
      </c>
      <c r="O72" s="11"/>
      <c r="P72" s="2">
        <f>SUM(OSRRefP22_2x_0)</f>
        <v>215.78</v>
      </c>
      <c r="Q72" s="2"/>
      <c r="R72" s="5">
        <f t="shared" si="16"/>
        <v>7.4831422436308172E-5</v>
      </c>
      <c r="S72" s="2"/>
      <c r="T72" s="2">
        <f>SUM(OSRRefT22_2x_0)</f>
        <v>692.63</v>
      </c>
      <c r="U72" s="2"/>
      <c r="V72" s="5">
        <f t="shared" si="17"/>
        <v>2.6263378248375354E-4</v>
      </c>
      <c r="W72" s="2"/>
      <c r="X72" s="2">
        <f t="shared" si="18"/>
        <v>-476.85</v>
      </c>
      <c r="Y72" s="2"/>
      <c r="Z72" s="5">
        <f t="shared" si="19"/>
        <v>-0.68846281564471656</v>
      </c>
    </row>
    <row r="73" spans="1:26" s="69" customFormat="1" ht="15" hidden="1" customHeight="1" outlineLevel="2" x14ac:dyDescent="0.3">
      <c r="A73" s="21"/>
      <c r="B73" s="9" t="str">
        <f>CONCATENATE("          ","6362"," - ","ADVERTISING EXPENSE")</f>
        <v xml:space="preserve">          6362 - ADVERTISING EXPENSE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>
        <v>215.78</v>
      </c>
      <c r="Q73" s="3"/>
      <c r="R73" s="7">
        <f t="shared" si="16"/>
        <v>7.4831422436308172E-5</v>
      </c>
      <c r="S73" s="3"/>
      <c r="T73" s="6">
        <v>692.63</v>
      </c>
      <c r="U73" s="3"/>
      <c r="V73" s="7">
        <f t="shared" si="17"/>
        <v>2.6263378248375354E-4</v>
      </c>
      <c r="W73" s="3"/>
      <c r="X73" s="6">
        <f t="shared" si="18"/>
        <v>-476.85</v>
      </c>
      <c r="Y73" s="3"/>
      <c r="Z73" s="7">
        <f t="shared" si="19"/>
        <v>-0.68846281564471656</v>
      </c>
    </row>
    <row r="74" spans="1:26" s="68" customFormat="1" ht="15" customHeight="1" outlineLevel="1" collapsed="1" x14ac:dyDescent="0.3">
      <c r="A74" s="20"/>
      <c r="B74" s="11" t="str">
        <f>CONCATENATE("     ","Depreciation                                      ")</f>
        <v xml:space="preserve">     Depreciation                                      </v>
      </c>
      <c r="C74" s="11"/>
      <c r="D74" s="2">
        <f>SUM(OSRRefD22_3x_0)</f>
        <v>280.45</v>
      </c>
      <c r="E74" s="2"/>
      <c r="F74" s="5">
        <f t="shared" si="12"/>
        <v>7.0262871327499783E-4</v>
      </c>
      <c r="G74" s="2"/>
      <c r="H74" s="2">
        <f>SUM(OSRRefH22_3x_0)</f>
        <v>280.45</v>
      </c>
      <c r="I74" s="2"/>
      <c r="J74" s="5">
        <f t="shared" si="13"/>
        <v>4.3358336202502365E-3</v>
      </c>
      <c r="K74" s="2"/>
      <c r="L74" s="2">
        <f t="shared" si="14"/>
        <v>0</v>
      </c>
      <c r="M74" s="2"/>
      <c r="N74" s="5">
        <f t="shared" si="15"/>
        <v>0</v>
      </c>
      <c r="O74" s="11"/>
      <c r="P74" s="2">
        <f>SUM(OSRRefP22_3x_0)</f>
        <v>3365.29</v>
      </c>
      <c r="Q74" s="2"/>
      <c r="R74" s="5">
        <f t="shared" si="16"/>
        <v>1.1670657040072458E-3</v>
      </c>
      <c r="S74" s="2"/>
      <c r="T74" s="2">
        <f>SUM(OSRRefT22_3x_0)</f>
        <v>3365.29</v>
      </c>
      <c r="U74" s="2"/>
      <c r="V74" s="5">
        <f t="shared" si="17"/>
        <v>1.2760620271353407E-3</v>
      </c>
      <c r="W74" s="2"/>
      <c r="X74" s="2">
        <f t="shared" si="18"/>
        <v>0</v>
      </c>
      <c r="Y74" s="2"/>
      <c r="Z74" s="5">
        <f t="shared" si="19"/>
        <v>0</v>
      </c>
    </row>
    <row r="75" spans="1:26" s="69" customFormat="1" ht="15" hidden="1" customHeight="1" outlineLevel="2" x14ac:dyDescent="0.3">
      <c r="A75" s="21"/>
      <c r="B75" s="9" t="str">
        <f>CONCATENATE("          ","6322"," - ","EQUIPMENT DEPRECIATION EXPENSE")</f>
        <v xml:space="preserve">          6322 - EQUIPMENT DEPRECIATION EXPENSE</v>
      </c>
      <c r="C75" s="9"/>
      <c r="D75" s="6">
        <v>280.45</v>
      </c>
      <c r="E75" s="3"/>
      <c r="F75" s="7">
        <f t="shared" si="12"/>
        <v>7.0262871327499783E-4</v>
      </c>
      <c r="G75" s="3"/>
      <c r="H75" s="6">
        <v>280.45</v>
      </c>
      <c r="I75" s="3"/>
      <c r="J75" s="7">
        <f t="shared" si="13"/>
        <v>4.3358336202502365E-3</v>
      </c>
      <c r="K75" s="3"/>
      <c r="L75" s="6">
        <f t="shared" si="14"/>
        <v>0</v>
      </c>
      <c r="M75" s="3"/>
      <c r="N75" s="7">
        <f t="shared" si="15"/>
        <v>0</v>
      </c>
      <c r="O75" s="9"/>
      <c r="P75" s="6">
        <v>3365.29</v>
      </c>
      <c r="Q75" s="3"/>
      <c r="R75" s="7">
        <f t="shared" si="16"/>
        <v>1.1670657040072458E-3</v>
      </c>
      <c r="S75" s="3"/>
      <c r="T75" s="6">
        <v>3365.29</v>
      </c>
      <c r="U75" s="3"/>
      <c r="V75" s="7">
        <f t="shared" si="17"/>
        <v>1.2760620271353407E-3</v>
      </c>
      <c r="W75" s="3"/>
      <c r="X75" s="6">
        <f t="shared" si="18"/>
        <v>0</v>
      </c>
      <c r="Y75" s="3"/>
      <c r="Z75" s="7">
        <f t="shared" si="19"/>
        <v>0</v>
      </c>
    </row>
    <row r="76" spans="1:26" s="68" customFormat="1" ht="15" customHeight="1" outlineLevel="1" collapsed="1" x14ac:dyDescent="0.3">
      <c r="A76" s="20"/>
      <c r="B76" s="11" t="str">
        <f>CONCATENATE("     ","Discounts and Markdowns                           ")</f>
        <v xml:space="preserve">     Discounts and Markdowns                           </v>
      </c>
      <c r="C76" s="11"/>
      <c r="D76" s="2">
        <f>SUM(OSRRefD22_4x_0)</f>
        <v>0</v>
      </c>
      <c r="E76" s="2"/>
      <c r="F76" s="5">
        <f t="shared" si="12"/>
        <v>0</v>
      </c>
      <c r="G76" s="2"/>
      <c r="H76" s="2">
        <f>SUM(OSRRefH22_4x_0)</f>
        <v>0</v>
      </c>
      <c r="I76" s="2"/>
      <c r="J76" s="5">
        <f t="shared" si="13"/>
        <v>0</v>
      </c>
      <c r="K76" s="2"/>
      <c r="L76" s="2">
        <f t="shared" si="14"/>
        <v>0</v>
      </c>
      <c r="M76" s="2"/>
      <c r="N76" s="5">
        <f t="shared" si="15"/>
        <v>0</v>
      </c>
      <c r="O76" s="11"/>
      <c r="P76" s="2">
        <f>SUM(OSRRefP22_4x_0)</f>
        <v>0</v>
      </c>
      <c r="Q76" s="2"/>
      <c r="R76" s="5">
        <f t="shared" si="16"/>
        <v>0</v>
      </c>
      <c r="S76" s="2"/>
      <c r="T76" s="2">
        <f>SUM(OSRRefT22_4x_0)</f>
        <v>0</v>
      </c>
      <c r="U76" s="2"/>
      <c r="V76" s="5">
        <f t="shared" si="17"/>
        <v>0</v>
      </c>
      <c r="W76" s="2"/>
      <c r="X76" s="2">
        <f t="shared" si="18"/>
        <v>0</v>
      </c>
      <c r="Y76" s="2"/>
      <c r="Z76" s="5">
        <f t="shared" si="19"/>
        <v>0</v>
      </c>
    </row>
    <row r="77" spans="1:26" s="69" customFormat="1" ht="15" hidden="1" customHeight="1" outlineLevel="2" x14ac:dyDescent="0.3">
      <c r="A77" s="21"/>
      <c r="B77" s="9" t="str">
        <f>CONCATENATE("          ","6382"," - ","DISCOUNTS/MARK DOWNS")</f>
        <v xml:space="preserve">          6382 - DISCOUNTS/MARK DOWNS</v>
      </c>
      <c r="C77" s="9"/>
      <c r="D77" s="6"/>
      <c r="E77" s="3"/>
      <c r="F77" s="7">
        <f t="shared" si="12"/>
        <v>0</v>
      </c>
      <c r="G77" s="3"/>
      <c r="H77" s="6">
        <v>0</v>
      </c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/>
      <c r="Q77" s="3"/>
      <c r="R77" s="7">
        <f t="shared" si="16"/>
        <v>0</v>
      </c>
      <c r="S77" s="3"/>
      <c r="T77" s="6">
        <v>0</v>
      </c>
      <c r="U77" s="3"/>
      <c r="V77" s="7">
        <f t="shared" si="17"/>
        <v>0</v>
      </c>
      <c r="W77" s="3"/>
      <c r="X77" s="6">
        <f t="shared" si="18"/>
        <v>0</v>
      </c>
      <c r="Y77" s="3"/>
      <c r="Z77" s="7">
        <f t="shared" si="19"/>
        <v>0</v>
      </c>
    </row>
    <row r="78" spans="1:26" s="68" customFormat="1" ht="15" customHeight="1" outlineLevel="1" collapsed="1" x14ac:dyDescent="0.3">
      <c r="A78" s="20"/>
      <c r="B78" s="11" t="str">
        <f>CONCATENATE("     ","Freight out/Postage                               ")</f>
        <v xml:space="preserve">     Freight out/Postage                               </v>
      </c>
      <c r="C78" s="11"/>
      <c r="D78" s="2">
        <f>SUM(OSRRefD22_5x_0)</f>
        <v>0</v>
      </c>
      <c r="E78" s="2"/>
      <c r="F78" s="5">
        <f t="shared" si="12"/>
        <v>0</v>
      </c>
      <c r="G78" s="2"/>
      <c r="H78" s="2">
        <f>SUM(OSRRefH22_5x_0)</f>
        <v>0</v>
      </c>
      <c r="I78" s="2"/>
      <c r="J78" s="5">
        <f t="shared" si="13"/>
        <v>0</v>
      </c>
      <c r="K78" s="2"/>
      <c r="L78" s="2">
        <f t="shared" si="14"/>
        <v>0</v>
      </c>
      <c r="M78" s="2"/>
      <c r="N78" s="5">
        <f t="shared" si="15"/>
        <v>0</v>
      </c>
      <c r="O78" s="11"/>
      <c r="P78" s="2">
        <f>SUM(OSRRefP22_5x_0)</f>
        <v>122.13</v>
      </c>
      <c r="Q78" s="2"/>
      <c r="R78" s="5">
        <f t="shared" si="16"/>
        <v>4.2354071842368691E-5</v>
      </c>
      <c r="S78" s="2"/>
      <c r="T78" s="2">
        <f>SUM(OSRRefT22_5x_0)</f>
        <v>2698.56</v>
      </c>
      <c r="U78" s="2"/>
      <c r="V78" s="5">
        <f t="shared" si="17"/>
        <v>1.0232490941185885E-3</v>
      </c>
      <c r="W78" s="2"/>
      <c r="X78" s="2">
        <f t="shared" si="18"/>
        <v>-2576.4299999999998</v>
      </c>
      <c r="Y78" s="2"/>
      <c r="Z78" s="5">
        <f t="shared" si="19"/>
        <v>-0.95474252934898607</v>
      </c>
    </row>
    <row r="79" spans="1:26" s="69" customFormat="1" ht="15" hidden="1" customHeight="1" outlineLevel="2" x14ac:dyDescent="0.3">
      <c r="A79" s="21"/>
      <c r="B79" s="9" t="str">
        <f>CONCATENATE("          ","6305"," - ","FREIGHT OUT")</f>
        <v xml:space="preserve">          6305 - FREIGHT OUT</v>
      </c>
      <c r="C79" s="9"/>
      <c r="D79" s="6"/>
      <c r="E79" s="3"/>
      <c r="F79" s="7">
        <f t="shared" si="12"/>
        <v>0</v>
      </c>
      <c r="G79" s="3"/>
      <c r="H79" s="6"/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>
        <v>122.13</v>
      </c>
      <c r="Q79" s="3"/>
      <c r="R79" s="7">
        <f t="shared" si="16"/>
        <v>4.2354071842368691E-5</v>
      </c>
      <c r="S79" s="3"/>
      <c r="T79" s="6">
        <v>2685.96</v>
      </c>
      <c r="U79" s="3"/>
      <c r="V79" s="7">
        <f t="shared" si="17"/>
        <v>1.0184713835670743E-3</v>
      </c>
      <c r="W79" s="3"/>
      <c r="X79" s="6">
        <f t="shared" si="18"/>
        <v>-2563.83</v>
      </c>
      <c r="Y79" s="3"/>
      <c r="Z79" s="7">
        <f t="shared" si="19"/>
        <v>-0.95453022383058572</v>
      </c>
    </row>
    <row r="80" spans="1:26" s="69" customFormat="1" ht="15" hidden="1" customHeight="1" outlineLevel="2" x14ac:dyDescent="0.3">
      <c r="A80" s="21"/>
      <c r="B80" s="9" t="str">
        <f>CONCATENATE("          ","6307"," - ","POSTAGE")</f>
        <v xml:space="preserve">          6307 - POSTAGE</v>
      </c>
      <c r="C80" s="9"/>
      <c r="D80" s="6"/>
      <c r="E80" s="3"/>
      <c r="F80" s="7">
        <f t="shared" si="12"/>
        <v>0</v>
      </c>
      <c r="G80" s="3"/>
      <c r="H80" s="6"/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12.6</v>
      </c>
      <c r="U80" s="3"/>
      <c r="V80" s="7">
        <f t="shared" si="17"/>
        <v>4.7777105515142208E-6</v>
      </c>
      <c r="W80" s="3"/>
      <c r="X80" s="6">
        <f t="shared" si="18"/>
        <v>-12.6</v>
      </c>
      <c r="Y80" s="3"/>
      <c r="Z80" s="7">
        <f t="shared" si="19"/>
        <v>-1</v>
      </c>
    </row>
    <row r="81" spans="1:26" s="68" customFormat="1" ht="15" customHeight="1" outlineLevel="1" collapsed="1" x14ac:dyDescent="0.3">
      <c r="A81" s="20"/>
      <c r="B81" s="11" t="str">
        <f>CONCATENATE("     ","General                                           ")</f>
        <v xml:space="preserve">     General                                           </v>
      </c>
      <c r="C81" s="11"/>
      <c r="D81" s="2">
        <f>SUM(OSRRefD22_6x_0)</f>
        <v>0</v>
      </c>
      <c r="E81" s="2"/>
      <c r="F81" s="5">
        <f t="shared" si="12"/>
        <v>0</v>
      </c>
      <c r="G81" s="2"/>
      <c r="H81" s="2">
        <f>SUM(OSRRefH22_6x_0)</f>
        <v>0</v>
      </c>
      <c r="I81" s="2"/>
      <c r="J81" s="5">
        <f t="shared" si="13"/>
        <v>0</v>
      </c>
      <c r="K81" s="2"/>
      <c r="L81" s="2">
        <f t="shared" si="14"/>
        <v>0</v>
      </c>
      <c r="M81" s="2"/>
      <c r="N81" s="5">
        <f t="shared" si="15"/>
        <v>0</v>
      </c>
      <c r="O81" s="11"/>
      <c r="P81" s="2">
        <f>SUM(OSRRefP22_6x_0)</f>
        <v>285</v>
      </c>
      <c r="Q81" s="2"/>
      <c r="R81" s="5">
        <f t="shared" si="16"/>
        <v>9.883657148182329E-5</v>
      </c>
      <c r="S81" s="2"/>
      <c r="T81" s="2">
        <f>SUM(OSRRefT22_6x_0)</f>
        <v>254.85</v>
      </c>
      <c r="U81" s="2"/>
      <c r="V81" s="5">
        <f t="shared" si="17"/>
        <v>9.6634883655031685E-5</v>
      </c>
      <c r="W81" s="2"/>
      <c r="X81" s="2">
        <f t="shared" si="18"/>
        <v>30.150000000000006</v>
      </c>
      <c r="Y81" s="2"/>
      <c r="Z81" s="5">
        <f t="shared" si="19"/>
        <v>0.11830488522660391</v>
      </c>
    </row>
    <row r="82" spans="1:26" s="69" customFormat="1" ht="15" hidden="1" customHeight="1" outlineLevel="2" x14ac:dyDescent="0.3">
      <c r="A82" s="21"/>
      <c r="B82" s="9" t="str">
        <f>CONCATENATE("          ","6279"," - ","GENERAL EXPENSE")</f>
        <v xml:space="preserve">          6279 - GENERAL EXPENSE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>
        <v>285</v>
      </c>
      <c r="Q82" s="3"/>
      <c r="R82" s="7">
        <f t="shared" si="16"/>
        <v>9.883657148182329E-5</v>
      </c>
      <c r="S82" s="3"/>
      <c r="T82" s="6">
        <v>254.85</v>
      </c>
      <c r="U82" s="3"/>
      <c r="V82" s="7">
        <f t="shared" si="17"/>
        <v>9.6634883655031685E-5</v>
      </c>
      <c r="W82" s="3"/>
      <c r="X82" s="6">
        <f t="shared" si="18"/>
        <v>30.150000000000006</v>
      </c>
      <c r="Y82" s="3"/>
      <c r="Z82" s="7">
        <f t="shared" si="19"/>
        <v>0.11830488522660391</v>
      </c>
    </row>
    <row r="83" spans="1:26" s="68" customFormat="1" ht="15" customHeight="1" outlineLevel="1" collapsed="1" x14ac:dyDescent="0.3">
      <c r="A83" s="20"/>
      <c r="B83" s="11" t="str">
        <f>CONCATENATE("     ","Inventory Adjustment                              ")</f>
        <v xml:space="preserve">     Inventory Adjustment                              </v>
      </c>
      <c r="C83" s="11"/>
      <c r="D83" s="2">
        <f>SUM(OSRRefD22_7x_0)</f>
        <v>-10740</v>
      </c>
      <c r="E83" s="2"/>
      <c r="F83" s="5">
        <f t="shared" si="12"/>
        <v>-2.6907585596624983E-2</v>
      </c>
      <c r="G83" s="2"/>
      <c r="H83" s="2">
        <f>SUM(OSRRefH22_7x_0)</f>
        <v>-13750</v>
      </c>
      <c r="I83" s="2"/>
      <c r="J83" s="5">
        <f t="shared" si="13"/>
        <v>-0.21257875656423875</v>
      </c>
      <c r="K83" s="2"/>
      <c r="L83" s="2">
        <f t="shared" si="14"/>
        <v>3010</v>
      </c>
      <c r="M83" s="2"/>
      <c r="N83" s="5">
        <f t="shared" si="15"/>
        <v>-0.21890909090909091</v>
      </c>
      <c r="O83" s="11"/>
      <c r="P83" s="2">
        <f>SUM(OSRRefP22_7x_0)</f>
        <v>0</v>
      </c>
      <c r="Q83" s="2"/>
      <c r="R83" s="5">
        <f t="shared" si="16"/>
        <v>0</v>
      </c>
      <c r="S83" s="2"/>
      <c r="T83" s="2">
        <f>SUM(OSRRefT22_7x_0)</f>
        <v>0</v>
      </c>
      <c r="U83" s="2"/>
      <c r="V83" s="5">
        <f t="shared" si="17"/>
        <v>0</v>
      </c>
      <c r="W83" s="2"/>
      <c r="X83" s="2">
        <f t="shared" si="18"/>
        <v>0</v>
      </c>
      <c r="Y83" s="2"/>
      <c r="Z83" s="5">
        <f t="shared" si="19"/>
        <v>0</v>
      </c>
    </row>
    <row r="84" spans="1:26" s="69" customFormat="1" ht="15" hidden="1" customHeight="1" outlineLevel="2" x14ac:dyDescent="0.3">
      <c r="A84" s="21"/>
      <c r="B84" s="9" t="str">
        <f>CONCATENATE("          ","6408"," - ","INVENTORY ADJUSTMENT")</f>
        <v xml:space="preserve">          6408 - INVENTORY ADJUSTMENT</v>
      </c>
      <c r="C84" s="9"/>
      <c r="D84" s="6">
        <v>-10740</v>
      </c>
      <c r="E84" s="3"/>
      <c r="F84" s="7">
        <f t="shared" si="12"/>
        <v>-2.6907585596624983E-2</v>
      </c>
      <c r="G84" s="3"/>
      <c r="H84" s="6">
        <v>-13750</v>
      </c>
      <c r="I84" s="3"/>
      <c r="J84" s="7">
        <f t="shared" si="13"/>
        <v>-0.21257875656423875</v>
      </c>
      <c r="K84" s="3"/>
      <c r="L84" s="6">
        <f t="shared" si="14"/>
        <v>3010</v>
      </c>
      <c r="M84" s="3"/>
      <c r="N84" s="7">
        <f t="shared" si="15"/>
        <v>-0.21890909090909091</v>
      </c>
      <c r="O84" s="9"/>
      <c r="P84" s="6">
        <v>0</v>
      </c>
      <c r="Q84" s="3"/>
      <c r="R84" s="7">
        <f t="shared" si="16"/>
        <v>0</v>
      </c>
      <c r="S84" s="3"/>
      <c r="T84" s="6">
        <v>0</v>
      </c>
      <c r="U84" s="3"/>
      <c r="V84" s="7">
        <f t="shared" si="17"/>
        <v>0</v>
      </c>
      <c r="W84" s="3"/>
      <c r="X84" s="6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0"/>
      <c r="B85" s="11" t="str">
        <f>CONCATENATE("     ","Repair and Maintenance                            ")</f>
        <v xml:space="preserve">     Repair and Maintenance                            </v>
      </c>
      <c r="C85" s="11"/>
      <c r="D85" s="2">
        <f>SUM(OSRRefD22_8x_0)</f>
        <v>0</v>
      </c>
      <c r="E85" s="2"/>
      <c r="F85" s="5">
        <f t="shared" si="12"/>
        <v>0</v>
      </c>
      <c r="G85" s="2"/>
      <c r="H85" s="2">
        <f>SUM(OSRRefH22_8x_0)</f>
        <v>-190</v>
      </c>
      <c r="I85" s="2"/>
      <c r="J85" s="5">
        <f t="shared" si="13"/>
        <v>-2.9374519088876624E-3</v>
      </c>
      <c r="K85" s="2"/>
      <c r="L85" s="2">
        <f t="shared" si="14"/>
        <v>190</v>
      </c>
      <c r="M85" s="2"/>
      <c r="N85" s="5">
        <f t="shared" si="15"/>
        <v>-1</v>
      </c>
      <c r="O85" s="11"/>
      <c r="P85" s="2">
        <f>SUM(OSRRefP22_8x_0)</f>
        <v>1550</v>
      </c>
      <c r="Q85" s="2"/>
      <c r="R85" s="5">
        <f t="shared" si="16"/>
        <v>5.3753223086605649E-4</v>
      </c>
      <c r="S85" s="2"/>
      <c r="T85" s="2">
        <f>SUM(OSRRefT22_8x_0)</f>
        <v>1360</v>
      </c>
      <c r="U85" s="2"/>
      <c r="V85" s="5">
        <f t="shared" si="17"/>
        <v>5.1568939286185237E-4</v>
      </c>
      <c r="W85" s="2"/>
      <c r="X85" s="2">
        <f t="shared" si="18"/>
        <v>190</v>
      </c>
      <c r="Y85" s="2"/>
      <c r="Z85" s="5">
        <f t="shared" si="19"/>
        <v>0.13970588235294118</v>
      </c>
    </row>
    <row r="86" spans="1:26" s="69" customFormat="1" ht="15" hidden="1" customHeight="1" outlineLevel="2" x14ac:dyDescent="0.3">
      <c r="A86" s="21"/>
      <c r="B86" s="9" t="str">
        <f>CONCATENATE("          ","6371"," - ","COMPUTER SOFTWARE MAINTENANCE")</f>
        <v xml:space="preserve">          6371 - COMPUTER SOFTWARE MAINTENANCE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>
        <v>1550</v>
      </c>
      <c r="Q86" s="3"/>
      <c r="R86" s="7">
        <f t="shared" si="16"/>
        <v>5.3753223086605649E-4</v>
      </c>
      <c r="S86" s="3"/>
      <c r="T86" s="6">
        <v>1550</v>
      </c>
      <c r="U86" s="3"/>
      <c r="V86" s="7">
        <f t="shared" si="17"/>
        <v>5.8773423451167009E-4</v>
      </c>
      <c r="W86" s="3"/>
      <c r="X86" s="6">
        <f t="shared" si="18"/>
        <v>0</v>
      </c>
      <c r="Y86" s="3"/>
      <c r="Z86" s="7">
        <f t="shared" si="19"/>
        <v>0</v>
      </c>
    </row>
    <row r="87" spans="1:26" s="69" customFormat="1" ht="15" hidden="1" customHeight="1" outlineLevel="2" x14ac:dyDescent="0.3">
      <c r="A87" s="21"/>
      <c r="B87" s="9" t="str">
        <f>CONCATENATE("          ","6375"," - ","OUTSIDE REPAIRS &amp; MAINTENANCE")</f>
        <v xml:space="preserve">          6375 - OUTSIDE REPAIRS &amp; MAINTENANCE</v>
      </c>
      <c r="C87" s="9"/>
      <c r="D87" s="6"/>
      <c r="E87" s="3"/>
      <c r="F87" s="7">
        <f t="shared" si="12"/>
        <v>0</v>
      </c>
      <c r="G87" s="3"/>
      <c r="H87" s="6">
        <v>-190</v>
      </c>
      <c r="I87" s="3"/>
      <c r="J87" s="7">
        <f t="shared" si="13"/>
        <v>-2.9374519088876624E-3</v>
      </c>
      <c r="K87" s="3"/>
      <c r="L87" s="6">
        <f t="shared" si="14"/>
        <v>190</v>
      </c>
      <c r="M87" s="3"/>
      <c r="N87" s="7">
        <f t="shared" si="15"/>
        <v>-1</v>
      </c>
      <c r="O87" s="9"/>
      <c r="P87" s="6"/>
      <c r="Q87" s="3"/>
      <c r="R87" s="7">
        <f t="shared" si="16"/>
        <v>0</v>
      </c>
      <c r="S87" s="3"/>
      <c r="T87" s="6">
        <v>-190</v>
      </c>
      <c r="U87" s="3"/>
      <c r="V87" s="7">
        <f t="shared" si="17"/>
        <v>-7.204484164981762E-5</v>
      </c>
      <c r="W87" s="3"/>
      <c r="X87" s="6">
        <f t="shared" si="18"/>
        <v>190</v>
      </c>
      <c r="Y87" s="3"/>
      <c r="Z87" s="7">
        <f t="shared" si="19"/>
        <v>-1</v>
      </c>
    </row>
    <row r="88" spans="1:26" s="68" customFormat="1" ht="15" customHeight="1" outlineLevel="1" collapsed="1" x14ac:dyDescent="0.3">
      <c r="A88" s="20"/>
      <c r="B88" s="11" t="str">
        <f>CONCATENATE("     ","Subscriptions &amp; Dues                              ")</f>
        <v xml:space="preserve">     Subscriptions &amp; Dues                              </v>
      </c>
      <c r="C88" s="11"/>
      <c r="D88" s="2">
        <f>SUM(OSRRefD22_9x_0)</f>
        <v>0</v>
      </c>
      <c r="E88" s="2"/>
      <c r="F88" s="5">
        <f t="shared" si="12"/>
        <v>0</v>
      </c>
      <c r="G88" s="2"/>
      <c r="H88" s="2">
        <f>SUM(OSRRefH22_9x_0)</f>
        <v>0</v>
      </c>
      <c r="I88" s="2"/>
      <c r="J88" s="5">
        <f t="shared" si="13"/>
        <v>0</v>
      </c>
      <c r="K88" s="2"/>
      <c r="L88" s="2">
        <f t="shared" si="14"/>
        <v>0</v>
      </c>
      <c r="M88" s="2"/>
      <c r="N88" s="5">
        <f t="shared" si="15"/>
        <v>0</v>
      </c>
      <c r="O88" s="11"/>
      <c r="P88" s="2">
        <f>SUM(OSRRefP22_9x_0)</f>
        <v>0</v>
      </c>
      <c r="Q88" s="2"/>
      <c r="R88" s="5">
        <f t="shared" si="16"/>
        <v>0</v>
      </c>
      <c r="S88" s="2"/>
      <c r="T88" s="2">
        <f>SUM(OSRRefT22_9x_0)</f>
        <v>142.22</v>
      </c>
      <c r="U88" s="2"/>
      <c r="V88" s="5">
        <f t="shared" si="17"/>
        <v>5.392745989177401E-5</v>
      </c>
      <c r="W88" s="2"/>
      <c r="X88" s="2">
        <f t="shared" si="18"/>
        <v>-142.22</v>
      </c>
      <c r="Y88" s="2"/>
      <c r="Z88" s="5">
        <f t="shared" si="19"/>
        <v>-1</v>
      </c>
    </row>
    <row r="89" spans="1:26" s="69" customFormat="1" ht="15" hidden="1" customHeight="1" outlineLevel="2" x14ac:dyDescent="0.3">
      <c r="A89" s="21"/>
      <c r="B89" s="9" t="str">
        <f>CONCATENATE("          ","6275"," - ","SUBSCRIPTIONS")</f>
        <v xml:space="preserve">          6275 - SUBSCRIPTIONS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/>
      <c r="Q89" s="3"/>
      <c r="R89" s="7">
        <f t="shared" si="16"/>
        <v>0</v>
      </c>
      <c r="S89" s="3"/>
      <c r="T89" s="6">
        <v>142.22</v>
      </c>
      <c r="U89" s="3"/>
      <c r="V89" s="7">
        <f t="shared" si="17"/>
        <v>5.392745989177401E-5</v>
      </c>
      <c r="W89" s="3"/>
      <c r="X89" s="6">
        <f t="shared" si="18"/>
        <v>-142.22</v>
      </c>
      <c r="Y89" s="3"/>
      <c r="Z89" s="7">
        <f t="shared" si="19"/>
        <v>-1</v>
      </c>
    </row>
    <row r="90" spans="1:26" s="68" customFormat="1" ht="15" customHeight="1" outlineLevel="1" collapsed="1" x14ac:dyDescent="0.3">
      <c r="A90" s="20"/>
      <c r="B90" s="11" t="str">
        <f>CONCATENATE("     ","Supplies                                          ")</f>
        <v xml:space="preserve">     Supplies                                          </v>
      </c>
      <c r="C90" s="11"/>
      <c r="D90" s="2">
        <f>SUM(OSRRefD22_10x_0)</f>
        <v>2445.7199999999998</v>
      </c>
      <c r="E90" s="2"/>
      <c r="F90" s="5">
        <f t="shared" si="12"/>
        <v>6.12741343066831E-3</v>
      </c>
      <c r="G90" s="2"/>
      <c r="H90" s="2">
        <f>SUM(OSRRefH22_10x_0)</f>
        <v>1644.01</v>
      </c>
      <c r="I90" s="2"/>
      <c r="J90" s="5">
        <f t="shared" si="13"/>
        <v>2.5416843751212663E-2</v>
      </c>
      <c r="K90" s="2"/>
      <c r="L90" s="2">
        <f t="shared" si="14"/>
        <v>801.70999999999981</v>
      </c>
      <c r="M90" s="2"/>
      <c r="N90" s="5">
        <f t="shared" si="15"/>
        <v>0.48765518457916912</v>
      </c>
      <c r="O90" s="11"/>
      <c r="P90" s="2">
        <f>SUM(OSRRefP22_10x_0)</f>
        <v>7557.1900000000005</v>
      </c>
      <c r="Q90" s="2"/>
      <c r="R90" s="5">
        <f t="shared" si="16"/>
        <v>2.6207956127604218E-3</v>
      </c>
      <c r="S90" s="2"/>
      <c r="T90" s="2">
        <f>SUM(OSRRefT22_10x_0)</f>
        <v>5676.33</v>
      </c>
      <c r="U90" s="2"/>
      <c r="V90" s="5">
        <f t="shared" si="17"/>
        <v>2.1523699789584697E-3</v>
      </c>
      <c r="W90" s="2"/>
      <c r="X90" s="2">
        <f t="shared" si="18"/>
        <v>1880.8600000000006</v>
      </c>
      <c r="Y90" s="2"/>
      <c r="Z90" s="5">
        <f t="shared" si="19"/>
        <v>0.33135141896260445</v>
      </c>
    </row>
    <row r="91" spans="1:26" s="69" customFormat="1" ht="15" hidden="1" customHeight="1" outlineLevel="2" x14ac:dyDescent="0.3">
      <c r="A91" s="21"/>
      <c r="B91" s="9" t="str">
        <f>CONCATENATE("          ","6234"," - ","EXPENDABLE SUPPLIES &amp; EQUIPMEN")</f>
        <v xml:space="preserve">          6234 - EXPENDABLE SUPPLIES &amp; EQUIPMEN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/>
      <c r="Q91" s="3"/>
      <c r="R91" s="7">
        <f t="shared" si="16"/>
        <v>0</v>
      </c>
      <c r="S91" s="3"/>
      <c r="T91" s="6">
        <v>1733.49</v>
      </c>
      <c r="U91" s="3"/>
      <c r="V91" s="7">
        <f t="shared" si="17"/>
        <v>6.573105923765387E-4</v>
      </c>
      <c r="W91" s="3"/>
      <c r="X91" s="6">
        <f t="shared" si="18"/>
        <v>-1733.49</v>
      </c>
      <c r="Y91" s="3"/>
      <c r="Z91" s="7">
        <f t="shared" si="19"/>
        <v>-1</v>
      </c>
    </row>
    <row r="92" spans="1:26" s="69" customFormat="1" ht="15" hidden="1" customHeight="1" outlineLevel="2" x14ac:dyDescent="0.3">
      <c r="A92" s="21"/>
      <c r="B92" s="9" t="str">
        <f>CONCATENATE("          ","6235"," - ","COVID-19 EXPENSES")</f>
        <v xml:space="preserve">          6235 - COVID-19 EXPENSES</v>
      </c>
      <c r="C92" s="9"/>
      <c r="D92" s="6"/>
      <c r="E92" s="3"/>
      <c r="F92" s="7">
        <f t="shared" si="12"/>
        <v>0</v>
      </c>
      <c r="G92" s="3"/>
      <c r="H92" s="6"/>
      <c r="I92" s="3"/>
      <c r="J92" s="7">
        <f t="shared" si="13"/>
        <v>0</v>
      </c>
      <c r="K92" s="3"/>
      <c r="L92" s="6">
        <f t="shared" si="14"/>
        <v>0</v>
      </c>
      <c r="M92" s="3"/>
      <c r="N92" s="7">
        <f t="shared" si="15"/>
        <v>0</v>
      </c>
      <c r="O92" s="9"/>
      <c r="P92" s="6"/>
      <c r="Q92" s="3"/>
      <c r="R92" s="7">
        <f t="shared" si="16"/>
        <v>0</v>
      </c>
      <c r="S92" s="3"/>
      <c r="T92" s="6">
        <v>668.12</v>
      </c>
      <c r="U92" s="3"/>
      <c r="V92" s="7">
        <f t="shared" si="17"/>
        <v>2.5333999791092706E-4</v>
      </c>
      <c r="W92" s="3"/>
      <c r="X92" s="6">
        <f t="shared" si="18"/>
        <v>-668.12</v>
      </c>
      <c r="Y92" s="3"/>
      <c r="Z92" s="7">
        <f t="shared" si="19"/>
        <v>-1</v>
      </c>
    </row>
    <row r="93" spans="1:26" s="69" customFormat="1" ht="15" hidden="1" customHeight="1" outlineLevel="2" x14ac:dyDescent="0.3">
      <c r="A93" s="21"/>
      <c r="B93" s="9" t="str">
        <f>CONCATENATE("          ","6241"," - ","OFFICE EXPENSE")</f>
        <v xml:space="preserve">          6241 - OFFICE EXPENSE</v>
      </c>
      <c r="C93" s="9"/>
      <c r="D93" s="6">
        <v>63.64</v>
      </c>
      <c r="E93" s="3"/>
      <c r="F93" s="7">
        <f t="shared" si="12"/>
        <v>1.594412241498337E-4</v>
      </c>
      <c r="G93" s="3"/>
      <c r="H93" s="6">
        <v>122.01</v>
      </c>
      <c r="I93" s="3"/>
      <c r="J93" s="7">
        <f t="shared" si="13"/>
        <v>1.8863079337020196E-3</v>
      </c>
      <c r="K93" s="3"/>
      <c r="L93" s="6">
        <f t="shared" si="14"/>
        <v>-58.370000000000005</v>
      </c>
      <c r="M93" s="3"/>
      <c r="N93" s="7">
        <f t="shared" si="15"/>
        <v>-0.47840340955659372</v>
      </c>
      <c r="O93" s="9"/>
      <c r="P93" s="6">
        <v>2263.11</v>
      </c>
      <c r="Q93" s="3"/>
      <c r="R93" s="7">
        <f t="shared" si="16"/>
        <v>7.8483520451308453E-4</v>
      </c>
      <c r="S93" s="3"/>
      <c r="T93" s="6">
        <v>1752.72</v>
      </c>
      <c r="U93" s="3"/>
      <c r="V93" s="7">
        <f t="shared" si="17"/>
        <v>6.6460228871825441E-4</v>
      </c>
      <c r="W93" s="3"/>
      <c r="X93" s="6">
        <f t="shared" si="18"/>
        <v>510.3900000000001</v>
      </c>
      <c r="Y93" s="3"/>
      <c r="Z93" s="7">
        <f t="shared" si="19"/>
        <v>0.29119882240175277</v>
      </c>
    </row>
    <row r="94" spans="1:26" s="69" customFormat="1" ht="15" hidden="1" customHeight="1" outlineLevel="2" x14ac:dyDescent="0.3">
      <c r="A94" s="21"/>
      <c r="B94" s="9" t="str">
        <f>CONCATENATE("          ","6247"," - ","STORE SUPPLIES")</f>
        <v xml:space="preserve">          6247 - STORE SUPPLIES</v>
      </c>
      <c r="C94" s="9"/>
      <c r="D94" s="6">
        <v>2382.08</v>
      </c>
      <c r="E94" s="3"/>
      <c r="F94" s="7">
        <f t="shared" si="12"/>
        <v>5.967972206518477E-3</v>
      </c>
      <c r="G94" s="3"/>
      <c r="H94" s="6">
        <v>1522</v>
      </c>
      <c r="I94" s="3"/>
      <c r="J94" s="7">
        <f t="shared" si="13"/>
        <v>2.3530535817510644E-2</v>
      </c>
      <c r="K94" s="3"/>
      <c r="L94" s="6">
        <f t="shared" si="14"/>
        <v>860.07999999999993</v>
      </c>
      <c r="M94" s="3"/>
      <c r="N94" s="7">
        <f t="shared" si="15"/>
        <v>0.56509855453350855</v>
      </c>
      <c r="O94" s="9"/>
      <c r="P94" s="6">
        <v>5294.08</v>
      </c>
      <c r="Q94" s="3"/>
      <c r="R94" s="7">
        <f t="shared" si="16"/>
        <v>1.835960408247337E-3</v>
      </c>
      <c r="S94" s="3"/>
      <c r="T94" s="6">
        <v>1522</v>
      </c>
      <c r="U94" s="3"/>
      <c r="V94" s="7">
        <f t="shared" si="17"/>
        <v>5.7711709995274957E-4</v>
      </c>
      <c r="W94" s="3"/>
      <c r="X94" s="6">
        <f t="shared" si="18"/>
        <v>3772.08</v>
      </c>
      <c r="Y94" s="3"/>
      <c r="Z94" s="7">
        <f t="shared" si="19"/>
        <v>2.4783705650459922</v>
      </c>
    </row>
    <row r="95" spans="1:26" s="68" customFormat="1" ht="15" customHeight="1" outlineLevel="1" collapsed="1" x14ac:dyDescent="0.3">
      <c r="A95" s="20"/>
      <c r="B95" s="11" t="str">
        <f>CONCATENATE("     ","Telephone/Data Lines                              ")</f>
        <v xml:space="preserve">     Telephone/Data Lines                              </v>
      </c>
      <c r="C95" s="11"/>
      <c r="D95" s="2">
        <f>SUM(OSRRefD22_11x_0)</f>
        <v>58.15</v>
      </c>
      <c r="E95" s="2"/>
      <c r="F95" s="5">
        <f t="shared" si="12"/>
        <v>1.4568678793703378E-4</v>
      </c>
      <c r="G95" s="2"/>
      <c r="H95" s="2">
        <f>SUM(OSRRefH22_11x_0)</f>
        <v>415.7</v>
      </c>
      <c r="I95" s="2"/>
      <c r="J95" s="5">
        <f t="shared" si="13"/>
        <v>6.4268355711821117E-3</v>
      </c>
      <c r="K95" s="2"/>
      <c r="L95" s="2">
        <f t="shared" si="14"/>
        <v>-357.55</v>
      </c>
      <c r="M95" s="2"/>
      <c r="N95" s="5">
        <f t="shared" si="15"/>
        <v>-0.86011546788549442</v>
      </c>
      <c r="O95" s="11"/>
      <c r="P95" s="2">
        <f>SUM(OSRRefP22_11x_0)</f>
        <v>2069.81</v>
      </c>
      <c r="Q95" s="2"/>
      <c r="R95" s="5">
        <f t="shared" si="16"/>
        <v>7.1779973339927249E-4</v>
      </c>
      <c r="S95" s="2"/>
      <c r="T95" s="2">
        <f>SUM(OSRRefT22_11x_0)</f>
        <v>3676.45</v>
      </c>
      <c r="U95" s="2"/>
      <c r="V95" s="5">
        <f t="shared" si="17"/>
        <v>1.3940487267551157E-3</v>
      </c>
      <c r="W95" s="2"/>
      <c r="X95" s="2">
        <f t="shared" si="18"/>
        <v>-1606.6399999999999</v>
      </c>
      <c r="Y95" s="2"/>
      <c r="Z95" s="5">
        <f t="shared" si="19"/>
        <v>-0.43700852724775258</v>
      </c>
    </row>
    <row r="96" spans="1:26" s="69" customFormat="1" ht="15" hidden="1" customHeight="1" outlineLevel="2" x14ac:dyDescent="0.3">
      <c r="A96" s="21"/>
      <c r="B96" s="9" t="str">
        <f>CONCATENATE("          ","6309"," - ","TELEPHONE")</f>
        <v xml:space="preserve">          6309 - TELEPHONE</v>
      </c>
      <c r="C96" s="9"/>
      <c r="D96" s="6">
        <v>58.15</v>
      </c>
      <c r="E96" s="3"/>
      <c r="F96" s="7">
        <f t="shared" si="12"/>
        <v>1.4568678793703378E-4</v>
      </c>
      <c r="G96" s="3"/>
      <c r="H96" s="6">
        <v>415.7</v>
      </c>
      <c r="I96" s="3"/>
      <c r="J96" s="7">
        <f t="shared" si="13"/>
        <v>6.4268355711821117E-3</v>
      </c>
      <c r="K96" s="3"/>
      <c r="L96" s="6">
        <f t="shared" si="14"/>
        <v>-357.55</v>
      </c>
      <c r="M96" s="3"/>
      <c r="N96" s="7">
        <f t="shared" si="15"/>
        <v>-0.86011546788549442</v>
      </c>
      <c r="O96" s="9"/>
      <c r="P96" s="6">
        <v>2069.81</v>
      </c>
      <c r="Q96" s="3"/>
      <c r="R96" s="7">
        <f t="shared" si="16"/>
        <v>7.1779973339927249E-4</v>
      </c>
      <c r="S96" s="3"/>
      <c r="T96" s="6">
        <v>3676.45</v>
      </c>
      <c r="U96" s="3"/>
      <c r="V96" s="7">
        <f t="shared" si="17"/>
        <v>1.3940487267551157E-3</v>
      </c>
      <c r="W96" s="3"/>
      <c r="X96" s="6">
        <f t="shared" si="18"/>
        <v>-1606.6399999999999</v>
      </c>
      <c r="Y96" s="3"/>
      <c r="Z96" s="7">
        <f t="shared" si="19"/>
        <v>-0.43700852724775258</v>
      </c>
    </row>
    <row r="97" spans="1:26" s="68" customFormat="1" ht="15" customHeight="1" outlineLevel="1" collapsed="1" x14ac:dyDescent="0.3">
      <c r="A97" s="20"/>
      <c r="B97" s="11" t="str">
        <f>CONCATENATE("     ","Training                                          ")</f>
        <v xml:space="preserve">     Training                                          </v>
      </c>
      <c r="C97" s="11"/>
      <c r="D97" s="2">
        <f>SUM(OSRRefD22_12x_0)</f>
        <v>0</v>
      </c>
      <c r="E97" s="2"/>
      <c r="F97" s="5">
        <f t="shared" si="12"/>
        <v>0</v>
      </c>
      <c r="G97" s="2"/>
      <c r="H97" s="2">
        <f>SUM(OSRRefH22_12x_0)</f>
        <v>0</v>
      </c>
      <c r="I97" s="2"/>
      <c r="J97" s="5">
        <f t="shared" si="13"/>
        <v>0</v>
      </c>
      <c r="K97" s="2"/>
      <c r="L97" s="2">
        <f t="shared" si="14"/>
        <v>0</v>
      </c>
      <c r="M97" s="2"/>
      <c r="N97" s="5">
        <f t="shared" si="15"/>
        <v>0</v>
      </c>
      <c r="O97" s="11"/>
      <c r="P97" s="2">
        <f>SUM(OSRRefP22_12x_0)</f>
        <v>0</v>
      </c>
      <c r="Q97" s="2"/>
      <c r="R97" s="5">
        <f t="shared" si="16"/>
        <v>0</v>
      </c>
      <c r="S97" s="2"/>
      <c r="T97" s="2">
        <f>SUM(OSRRefT22_12x_0)</f>
        <v>100</v>
      </c>
      <c r="U97" s="2"/>
      <c r="V97" s="5">
        <f t="shared" si="17"/>
        <v>3.7918337710430325E-5</v>
      </c>
      <c r="W97" s="2"/>
      <c r="X97" s="2">
        <f t="shared" si="18"/>
        <v>-100</v>
      </c>
      <c r="Y97" s="2"/>
      <c r="Z97" s="5">
        <f t="shared" si="19"/>
        <v>-1</v>
      </c>
    </row>
    <row r="98" spans="1:26" s="69" customFormat="1" ht="15" hidden="1" customHeight="1" outlineLevel="2" x14ac:dyDescent="0.3">
      <c r="A98" s="21"/>
      <c r="B98" s="9" t="str">
        <f>CONCATENATE("          ","6376"," - ","TRAINING")</f>
        <v xml:space="preserve">          6376 - TRAINING</v>
      </c>
      <c r="C98" s="9"/>
      <c r="D98" s="6"/>
      <c r="E98" s="3"/>
      <c r="F98" s="7">
        <f t="shared" si="12"/>
        <v>0</v>
      </c>
      <c r="G98" s="3"/>
      <c r="H98" s="6"/>
      <c r="I98" s="3"/>
      <c r="J98" s="7">
        <f t="shared" si="13"/>
        <v>0</v>
      </c>
      <c r="K98" s="3"/>
      <c r="L98" s="6">
        <f t="shared" si="14"/>
        <v>0</v>
      </c>
      <c r="M98" s="3"/>
      <c r="N98" s="7">
        <f t="shared" si="15"/>
        <v>0</v>
      </c>
      <c r="O98" s="9"/>
      <c r="P98" s="6"/>
      <c r="Q98" s="3"/>
      <c r="R98" s="7">
        <f t="shared" si="16"/>
        <v>0</v>
      </c>
      <c r="S98" s="3"/>
      <c r="T98" s="6">
        <v>100</v>
      </c>
      <c r="U98" s="3"/>
      <c r="V98" s="7">
        <f t="shared" si="17"/>
        <v>3.7918337710430325E-5</v>
      </c>
      <c r="W98" s="3"/>
      <c r="X98" s="6">
        <f t="shared" si="18"/>
        <v>-100</v>
      </c>
      <c r="Y98" s="3"/>
      <c r="Z98" s="7">
        <f t="shared" si="19"/>
        <v>-1</v>
      </c>
    </row>
    <row r="99" spans="1:26" s="64" customFormat="1" ht="15" customHeight="1" x14ac:dyDescent="0.3">
      <c r="A99" s="37"/>
      <c r="B99" s="37"/>
      <c r="C99" s="37"/>
      <c r="D99" s="2"/>
      <c r="E99" s="2"/>
      <c r="F99" s="5"/>
      <c r="G99" s="2"/>
      <c r="H99" s="2"/>
      <c r="I99" s="2"/>
      <c r="J99" s="5"/>
      <c r="K99" s="2"/>
      <c r="L99" s="2"/>
      <c r="M99" s="2"/>
      <c r="N99" s="5"/>
      <c r="O99" s="37"/>
      <c r="P99" s="2"/>
      <c r="Q99" s="2"/>
      <c r="R99" s="5"/>
      <c r="S99" s="2"/>
      <c r="T99" s="2"/>
      <c r="U99" s="2"/>
      <c r="V99" s="5"/>
      <c r="W99" s="2"/>
      <c r="X99" s="2"/>
      <c r="Y99" s="2"/>
      <c r="Z99" s="5"/>
    </row>
    <row r="100" spans="1:26" s="62" customFormat="1" ht="15" customHeight="1" collapsed="1" x14ac:dyDescent="0.3">
      <c r="A100" s="13"/>
      <c r="B100" s="27" t="s">
        <v>290</v>
      </c>
      <c r="C100" s="13"/>
      <c r="D100" s="8">
        <f>SUM(OSRRefD25x_0)</f>
        <v>-1003.81</v>
      </c>
      <c r="E100" s="8"/>
      <c r="F100" s="14">
        <f>IF(D$12=0,0,D100/D$12)</f>
        <v>-2.5149072158052255E-3</v>
      </c>
      <c r="G100" s="8"/>
      <c r="H100" s="8">
        <f>SUM(OSRRefH25x_0)</f>
        <v>-2.1800000000000068</v>
      </c>
      <c r="I100" s="8"/>
      <c r="J100" s="14">
        <f>IF(H$12=0,0,H100/H$12)</f>
        <v>-3.3703395586184868E-5</v>
      </c>
      <c r="K100" s="8"/>
      <c r="L100" s="8">
        <f>+D100-H100</f>
        <v>-1001.6299999999999</v>
      </c>
      <c r="M100" s="8"/>
      <c r="N100" s="14">
        <f>IF(H100=0,0,L100/H100)</f>
        <v>459.46330275229207</v>
      </c>
      <c r="O100" s="13"/>
      <c r="P100" s="8">
        <f>SUM(OSRRefP25x_0)</f>
        <v>2760.96</v>
      </c>
      <c r="Q100" s="8"/>
      <c r="R100" s="14">
        <f>IF(P$12=0,0,P100/P$12)</f>
        <v>9.5748708911738538E-4</v>
      </c>
      <c r="S100" s="8"/>
      <c r="T100" s="8">
        <f>SUM(OSRRefT25x_0)</f>
        <v>4030.6</v>
      </c>
      <c r="U100" s="8"/>
      <c r="V100" s="14">
        <f>IF(T$12=0,0,T100/T$12)</f>
        <v>1.5283365197566047E-3</v>
      </c>
      <c r="W100" s="8"/>
      <c r="X100" s="8">
        <f>+P100-T100</f>
        <v>-1269.6399999999999</v>
      </c>
      <c r="Y100" s="8"/>
      <c r="Z100" s="14">
        <f>IF(T100=0,0,X100/T100)</f>
        <v>-0.31500024810201954</v>
      </c>
    </row>
    <row r="101" spans="1:26" s="69" customFormat="1" ht="15" hidden="1" customHeight="1" outlineLevel="1" x14ac:dyDescent="0.3">
      <c r="A101" s="47"/>
      <c r="B101" s="9" t="str">
        <f>CONCATENATE("          ","4187"," - ","NON-TAXABLE SALES-COMPUTER REP")</f>
        <v xml:space="preserve">          4187 - NON-TAXABLE SALES-COMPUTER REP</v>
      </c>
      <c r="C101" s="9"/>
      <c r="D101" s="3">
        <f>0</f>
        <v>0</v>
      </c>
      <c r="E101" s="3"/>
      <c r="F101" s="26">
        <f>IF(D$12=0,0,D101/D$12)</f>
        <v>0</v>
      </c>
      <c r="G101" s="3"/>
      <c r="H101" s="3">
        <f>--189.31</f>
        <v>189.31</v>
      </c>
      <c r="I101" s="3"/>
      <c r="J101" s="26">
        <f>IF(H$12=0,0,H101/H$12)</f>
        <v>2.9267843203764389E-3</v>
      </c>
      <c r="K101" s="3"/>
      <c r="L101" s="3">
        <f>+D101-H101</f>
        <v>-189.31</v>
      </c>
      <c r="M101" s="3"/>
      <c r="N101" s="26">
        <f>IF(H101=0,0,L101/H101)</f>
        <v>-1</v>
      </c>
      <c r="O101" s="9"/>
      <c r="P101" s="3">
        <f>0</f>
        <v>0</v>
      </c>
      <c r="Q101" s="3"/>
      <c r="R101" s="26">
        <f>IF(P$12=0,0,P101/P$12)</f>
        <v>0</v>
      </c>
      <c r="S101" s="3"/>
      <c r="T101" s="3">
        <f>--3769.75</f>
        <v>3769.75</v>
      </c>
      <c r="U101" s="3"/>
      <c r="V101" s="26">
        <f>IF(T$12=0,0,T101/T$12)</f>
        <v>1.4294265358389471E-3</v>
      </c>
      <c r="W101" s="3"/>
      <c r="X101" s="3">
        <f>+P101-T101</f>
        <v>-3769.75</v>
      </c>
      <c r="Y101" s="3"/>
      <c r="Z101" s="26">
        <f>IF(T101=0,0,X101/T101)</f>
        <v>-1</v>
      </c>
    </row>
    <row r="102" spans="1:26" s="69" customFormat="1" ht="15" hidden="1" customHeight="1" outlineLevel="1" x14ac:dyDescent="0.3">
      <c r="A102" s="47"/>
      <c r="B102" s="9" t="str">
        <f>CONCATENATE("          ","9087"," - ","")</f>
        <v xml:space="preserve">          9087 - </v>
      </c>
      <c r="C102" s="9"/>
      <c r="D102" s="3">
        <f>-711.04</f>
        <v>-711.04</v>
      </c>
      <c r="E102" s="3"/>
      <c r="F102" s="26">
        <f>IF(D$12=0,0,D102/D$12)</f>
        <v>-1.7814124453095184E-3</v>
      </c>
      <c r="G102" s="3"/>
      <c r="H102" s="3">
        <f>0</f>
        <v>0</v>
      </c>
      <c r="I102" s="3"/>
      <c r="J102" s="26">
        <f>IF(H$12=0,0,H102/H$12)</f>
        <v>0</v>
      </c>
      <c r="K102" s="3"/>
      <c r="L102" s="3">
        <f>+D102-H102</f>
        <v>-711.04</v>
      </c>
      <c r="M102" s="3"/>
      <c r="N102" s="26">
        <f>IF(H102=0,0,L102/H102)</f>
        <v>0</v>
      </c>
      <c r="O102" s="9"/>
      <c r="P102" s="3">
        <f>-5.4</f>
        <v>-5.4</v>
      </c>
      <c r="Q102" s="3"/>
      <c r="R102" s="26">
        <f>IF(P$12=0,0,P102/P$12)</f>
        <v>-1.8726929333398097E-6</v>
      </c>
      <c r="S102" s="3"/>
      <c r="T102" s="3">
        <f>0</f>
        <v>0</v>
      </c>
      <c r="U102" s="3"/>
      <c r="V102" s="26">
        <f>IF(T$12=0,0,T102/T$12)</f>
        <v>0</v>
      </c>
      <c r="W102" s="3"/>
      <c r="X102" s="3">
        <f>+P102-T102</f>
        <v>-5.4</v>
      </c>
      <c r="Y102" s="3"/>
      <c r="Z102" s="26">
        <f>IF(T102=0,0,X102/T102)</f>
        <v>0</v>
      </c>
    </row>
    <row r="103" spans="1:26" s="69" customFormat="1" ht="15" hidden="1" customHeight="1" outlineLevel="1" x14ac:dyDescent="0.3">
      <c r="A103" s="47"/>
      <c r="B103" s="9" t="str">
        <f>CONCATENATE("          ","9150"," - ","MISC. INCOME")</f>
        <v xml:space="preserve">          9150 - MISC. INCOME</v>
      </c>
      <c r="C103" s="9"/>
      <c r="D103" s="3">
        <f>-292.77</f>
        <v>-292.77</v>
      </c>
      <c r="E103" s="3"/>
      <c r="F103" s="26">
        <f>IF(D$12=0,0,D103/D$12)</f>
        <v>-7.3349477049570728E-4</v>
      </c>
      <c r="G103" s="3"/>
      <c r="H103" s="3">
        <f>-191.49</f>
        <v>-191.49</v>
      </c>
      <c r="I103" s="3"/>
      <c r="J103" s="26">
        <f>IF(H$12=0,0,H103/H$12)</f>
        <v>-2.9604877159626238E-3</v>
      </c>
      <c r="K103" s="3"/>
      <c r="L103" s="3">
        <f>+D103-H103</f>
        <v>-101.27999999999997</v>
      </c>
      <c r="M103" s="3"/>
      <c r="N103" s="26">
        <f>IF(H103=0,0,L103/H103)</f>
        <v>0.52890490365032095</v>
      </c>
      <c r="O103" s="9"/>
      <c r="P103" s="3">
        <f>--2766.36</f>
        <v>2766.36</v>
      </c>
      <c r="Q103" s="3"/>
      <c r="R103" s="26">
        <f>IF(P$12=0,0,P103/P$12)</f>
        <v>9.5935978205072519E-4</v>
      </c>
      <c r="S103" s="3"/>
      <c r="T103" s="3">
        <f>--260.85</f>
        <v>260.85000000000002</v>
      </c>
      <c r="U103" s="3"/>
      <c r="V103" s="26">
        <f>IF(T$12=0,0,T103/T$12)</f>
        <v>9.8909983917657511E-5</v>
      </c>
      <c r="W103" s="3"/>
      <c r="X103" s="3">
        <f>+P103-T103</f>
        <v>2505.5100000000002</v>
      </c>
      <c r="Y103" s="3"/>
      <c r="Z103" s="26">
        <f>IF(T103=0,0,X103/T103)</f>
        <v>9.6051753881541124</v>
      </c>
    </row>
    <row r="104" spans="1:26" ht="15" customHeight="1" x14ac:dyDescent="0.3">
      <c r="A104" s="12"/>
      <c r="B104" s="13"/>
      <c r="C104" s="13"/>
      <c r="D104" s="4"/>
      <c r="E104" s="4"/>
      <c r="F104" s="10"/>
      <c r="G104" s="4"/>
      <c r="H104" s="4"/>
      <c r="I104" s="4"/>
      <c r="J104" s="10"/>
      <c r="K104" s="4"/>
      <c r="L104" s="4"/>
      <c r="M104" s="4"/>
      <c r="N104" s="10"/>
      <c r="O104" s="13"/>
      <c r="P104" s="4"/>
      <c r="Q104" s="4"/>
      <c r="R104" s="10"/>
      <c r="S104" s="4"/>
      <c r="T104" s="4"/>
      <c r="U104" s="4"/>
      <c r="V104" s="10"/>
      <c r="W104" s="4"/>
      <c r="X104" s="4"/>
      <c r="Y104" s="4"/>
      <c r="Z104" s="10"/>
    </row>
    <row r="105" spans="1:26" s="62" customFormat="1" ht="15" customHeight="1" x14ac:dyDescent="0.3">
      <c r="A105" s="13"/>
      <c r="B105" s="28" t="s">
        <v>291</v>
      </c>
      <c r="C105" s="28"/>
      <c r="D105" s="22">
        <f>+D53-D55+D100</f>
        <v>108613.19999999991</v>
      </c>
      <c r="E105" s="15"/>
      <c r="F105" s="24">
        <f>IF(D$12=0,0,D105/D$12)</f>
        <v>0.27211536088671751</v>
      </c>
      <c r="G105" s="15"/>
      <c r="H105" s="22">
        <f>+H53-H55+H100</f>
        <v>40385.139999999992</v>
      </c>
      <c r="I105" s="15"/>
      <c r="J105" s="24">
        <f>IF(H$12=0,0,H105/H$12)</f>
        <v>0.62436529780892358</v>
      </c>
      <c r="K105" s="17"/>
      <c r="L105" s="22">
        <f>+D105-H105</f>
        <v>68228.05999999991</v>
      </c>
      <c r="M105" s="17"/>
      <c r="N105" s="24">
        <f>IF(H105=0,0,L105/H105)</f>
        <v>1.6894347772472726</v>
      </c>
      <c r="O105" s="27"/>
      <c r="P105" s="22">
        <f>+P53-P55+P100</f>
        <v>316088.67999999976</v>
      </c>
      <c r="Q105" s="15"/>
      <c r="R105" s="24">
        <f>IF(P$12=0,0,P105/P$12)</f>
        <v>0.10961796987864962</v>
      </c>
      <c r="S105" s="15"/>
      <c r="T105" s="22">
        <f>+T53-T55+T100</f>
        <v>175048.1599999996</v>
      </c>
      <c r="U105" s="15"/>
      <c r="V105" s="24">
        <f>IF(T$12=0,0,T105/T$12)</f>
        <v>6.6375352464694254E-2</v>
      </c>
      <c r="W105" s="17"/>
      <c r="X105" s="22">
        <f>+P105-T105</f>
        <v>141040.52000000016</v>
      </c>
      <c r="Y105" s="17"/>
      <c r="Z105" s="24">
        <f>IF(T105=0,0,X105/T105)</f>
        <v>0.80572409330095496</v>
      </c>
    </row>
    <row r="106" spans="1:26" ht="15" customHeight="1" x14ac:dyDescent="0.3">
      <c r="A106" s="12"/>
      <c r="B106" s="13"/>
      <c r="C106" s="12"/>
      <c r="D106" s="4"/>
      <c r="E106" s="4"/>
      <c r="F106" s="10"/>
      <c r="G106" s="4"/>
      <c r="H106" s="4"/>
      <c r="I106" s="4"/>
      <c r="J106" s="10"/>
      <c r="K106" s="4"/>
      <c r="L106" s="4"/>
      <c r="M106" s="4"/>
      <c r="N106" s="10"/>
      <c r="P106" s="4"/>
      <c r="Q106" s="4"/>
      <c r="R106" s="10"/>
      <c r="S106" s="4"/>
      <c r="T106" s="4"/>
      <c r="U106" s="4"/>
      <c r="V106" s="10"/>
      <c r="W106" s="4"/>
      <c r="X106" s="4"/>
      <c r="Y106" s="4"/>
      <c r="Z106" s="10"/>
    </row>
    <row r="107" spans="1:26" s="62" customFormat="1" ht="15" customHeight="1" x14ac:dyDescent="0.3">
      <c r="A107" s="48"/>
      <c r="B107" s="13" t="s">
        <v>292</v>
      </c>
      <c r="C107" s="13"/>
      <c r="D107" s="8">
        <v>-611750.59</v>
      </c>
      <c r="E107" s="8"/>
      <c r="F107" s="14">
        <f>IF(D$12=0,0,D107/D$12)</f>
        <v>-1.5326565516024986</v>
      </c>
      <c r="G107" s="8"/>
      <c r="H107" s="8">
        <v>180243.05</v>
      </c>
      <c r="I107" s="8"/>
      <c r="J107" s="14">
        <f>IF(H$12=0,0,H107/H$12)</f>
        <v>2.7866067962433387</v>
      </c>
      <c r="K107" s="8"/>
      <c r="L107" s="8">
        <f>+D107-H107</f>
        <v>-791993.6399999999</v>
      </c>
      <c r="M107" s="8"/>
      <c r="N107" s="14">
        <f>IF(H107=0,0,L107/H107)</f>
        <v>-4.3940315035725366</v>
      </c>
      <c r="O107" s="13"/>
      <c r="P107" s="8">
        <v>-332440.58</v>
      </c>
      <c r="Q107" s="8"/>
      <c r="R107" s="14">
        <f>IF(P$12=0,0,P107/P$12)</f>
        <v>-0.11528872683729402</v>
      </c>
      <c r="S107" s="8"/>
      <c r="T107" s="8">
        <v>729975.69</v>
      </c>
      <c r="U107" s="8"/>
      <c r="V107" s="14">
        <f>IF(T$12=0,0,T107/T$12)</f>
        <v>0.27679464733824394</v>
      </c>
      <c r="W107" s="8"/>
      <c r="X107" s="8">
        <f>+P107-T107</f>
        <v>-1062416.27</v>
      </c>
      <c r="Y107" s="8"/>
      <c r="Z107" s="14">
        <f>IF(T107=0,0,X107/T107)</f>
        <v>-1.455413220678623</v>
      </c>
    </row>
    <row r="108" spans="1:26" ht="15" customHeight="1" x14ac:dyDescent="0.3">
      <c r="A108" s="12"/>
      <c r="B108" s="13"/>
      <c r="C108" s="13"/>
      <c r="D108" s="4"/>
      <c r="E108" s="4"/>
      <c r="F108" s="10"/>
      <c r="G108" s="4"/>
      <c r="H108" s="4"/>
      <c r="I108" s="4"/>
      <c r="J108" s="10"/>
      <c r="K108" s="4"/>
      <c r="L108" s="4"/>
      <c r="M108" s="4"/>
      <c r="N108" s="10"/>
      <c r="O108" s="13"/>
      <c r="P108" s="4"/>
      <c r="Q108" s="4"/>
      <c r="R108" s="10"/>
      <c r="S108" s="4"/>
      <c r="T108" s="4"/>
      <c r="U108" s="4"/>
      <c r="V108" s="10"/>
      <c r="W108" s="4"/>
      <c r="X108" s="4"/>
      <c r="Y108" s="4"/>
      <c r="Z108" s="10"/>
    </row>
    <row r="109" spans="1:26" s="62" customFormat="1" ht="15" customHeight="1" x14ac:dyDescent="0.3">
      <c r="A109" s="13"/>
      <c r="B109" s="28" t="s">
        <v>293</v>
      </c>
      <c r="C109" s="28"/>
      <c r="D109" s="29">
        <f>+D105-D107</f>
        <v>720363.78999999992</v>
      </c>
      <c r="E109" s="15"/>
      <c r="F109" s="31">
        <f>IF(D$12=0,0,D109/D$12)</f>
        <v>1.8047719124892163</v>
      </c>
      <c r="G109" s="15"/>
      <c r="H109" s="29">
        <f>+H105-H107</f>
        <v>-139857.91</v>
      </c>
      <c r="I109" s="15"/>
      <c r="J109" s="31">
        <f>IF(H$12=0,0,H109/H$12)</f>
        <v>-2.1622414984344154</v>
      </c>
      <c r="K109" s="17"/>
      <c r="L109" s="29">
        <f>D109-H109</f>
        <v>860221.7</v>
      </c>
      <c r="M109" s="17"/>
      <c r="N109" s="31">
        <f>IF(H109=0,0,L109/H109)</f>
        <v>-6.1506832184178926</v>
      </c>
      <c r="O109" s="27"/>
      <c r="P109" s="29">
        <f>+P105-P107</f>
        <v>648529.25999999978</v>
      </c>
      <c r="Q109" s="15"/>
      <c r="R109" s="31">
        <f>IF(P$12=0,0,P109/P$12)</f>
        <v>0.22490669671594363</v>
      </c>
      <c r="S109" s="15"/>
      <c r="T109" s="29">
        <f>+T105-T107</f>
        <v>-554927.53000000038</v>
      </c>
      <c r="U109" s="15"/>
      <c r="V109" s="31">
        <f>IF(T$12=0,0,T109/T$12)</f>
        <v>-0.21041929487354971</v>
      </c>
      <c r="W109" s="17"/>
      <c r="X109" s="29">
        <f>P109-T109</f>
        <v>1203456.79</v>
      </c>
      <c r="Y109" s="17"/>
      <c r="Z109" s="31">
        <f>IF(T109=0,0,X109/T109)</f>
        <v>-2.1686737906119005</v>
      </c>
    </row>
    <row r="110" spans="1:26" ht="15" customHeight="1" x14ac:dyDescent="0.3">
      <c r="A110" s="12"/>
      <c r="B110" s="12"/>
      <c r="C110" s="12"/>
      <c r="D110" s="4"/>
      <c r="E110" s="4"/>
      <c r="F110" s="10"/>
      <c r="G110" s="4"/>
      <c r="H110" s="4"/>
      <c r="I110" s="4"/>
      <c r="J110" s="10"/>
      <c r="K110" s="4"/>
      <c r="L110" s="4"/>
      <c r="M110" s="4"/>
      <c r="N110" s="10"/>
      <c r="P110" s="4"/>
      <c r="Q110" s="4"/>
      <c r="R110" s="10"/>
      <c r="S110" s="4"/>
      <c r="T110" s="4"/>
      <c r="U110" s="4"/>
      <c r="V110" s="10"/>
      <c r="W110" s="4"/>
      <c r="X110" s="4"/>
      <c r="Y110" s="4"/>
      <c r="Z110" s="10"/>
    </row>
    <row r="111" spans="1:26" ht="15" customHeight="1" x14ac:dyDescent="0.3">
      <c r="A111" s="12"/>
      <c r="B111" s="12"/>
      <c r="C111" s="12"/>
      <c r="D111" s="4"/>
      <c r="E111" s="4"/>
      <c r="F111" s="10"/>
      <c r="G111" s="4"/>
      <c r="H111" s="4"/>
      <c r="I111" s="4"/>
      <c r="J111" s="10"/>
      <c r="K111" s="4"/>
      <c r="L111" s="4"/>
      <c r="M111" s="4"/>
      <c r="N111" s="10"/>
      <c r="P111" s="4"/>
      <c r="Q111" s="4"/>
      <c r="R111" s="10"/>
      <c r="S111" s="4"/>
      <c r="T111" s="4"/>
      <c r="U111" s="4"/>
      <c r="V111" s="10"/>
      <c r="W111" s="4"/>
      <c r="X111" s="4"/>
      <c r="Y111" s="4"/>
      <c r="Z111" s="10"/>
    </row>
    <row r="112" spans="1:26" s="62" customFormat="1" ht="15" customHeight="1" x14ac:dyDescent="0.3">
      <c r="A112" s="13"/>
      <c r="B112" s="28" t="s">
        <v>296</v>
      </c>
      <c r="C112" s="28"/>
      <c r="D112" s="30">
        <f>SUM(D109:D111)</f>
        <v>720363.78999999992</v>
      </c>
      <c r="E112" s="15"/>
      <c r="F112" s="35">
        <f>IF(D$12=0,0,D112/D$12)</f>
        <v>1.8047719124892163</v>
      </c>
      <c r="G112" s="15"/>
      <c r="H112" s="30">
        <f>SUM(H109:H111)</f>
        <v>-139857.91</v>
      </c>
      <c r="I112" s="15"/>
      <c r="J112" s="35">
        <f>IF(H$12=0,0,H112/H$12)</f>
        <v>-2.1622414984344154</v>
      </c>
      <c r="K112" s="17"/>
      <c r="L112" s="30">
        <f>+D112-H112</f>
        <v>860221.7</v>
      </c>
      <c r="M112" s="17"/>
      <c r="N112" s="35">
        <f>IF(H112=0,0,L112/H112)</f>
        <v>-6.1506832184178926</v>
      </c>
      <c r="O112" s="27"/>
      <c r="P112" s="30">
        <f>SUM(P109:P111)</f>
        <v>648529.25999999978</v>
      </c>
      <c r="Q112" s="15"/>
      <c r="R112" s="35">
        <f>IF(P$12=0,0,P112/P$12)</f>
        <v>0.22490669671594363</v>
      </c>
      <c r="S112" s="15"/>
      <c r="T112" s="30">
        <f>SUM(T109:T111)</f>
        <v>-554927.53000000038</v>
      </c>
      <c r="U112" s="15"/>
      <c r="V112" s="35">
        <f>IF(T$12=0,0,T112/T$12)</f>
        <v>-0.21041929487354971</v>
      </c>
      <c r="W112" s="17"/>
      <c r="X112" s="30">
        <f>+P112-T112</f>
        <v>1203456.79</v>
      </c>
      <c r="Y112" s="17"/>
      <c r="Z112" s="35">
        <f>IF(T112=0,0,X112/T112)</f>
        <v>-2.1686737906119005</v>
      </c>
    </row>
    <row r="113" spans="1:24" ht="15" customHeight="1" x14ac:dyDescent="0.3">
      <c r="A113" s="12"/>
      <c r="C113" s="12"/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  <row r="114" spans="1:24" ht="15" customHeight="1" x14ac:dyDescent="0.3">
      <c r="A114" s="12"/>
      <c r="B114" s="54">
        <v>44767.815873877313</v>
      </c>
      <c r="D114" s="19"/>
      <c r="E114" s="19"/>
      <c r="G114" s="19"/>
      <c r="H114" s="19"/>
      <c r="I114" s="19"/>
      <c r="J114" s="41"/>
      <c r="K114" s="19"/>
      <c r="L114" s="19"/>
      <c r="M114" s="19"/>
      <c r="P114" s="19"/>
      <c r="Q114" s="19"/>
      <c r="R114" s="41"/>
      <c r="S114" s="19"/>
      <c r="T114" s="19"/>
      <c r="U114" s="19"/>
      <c r="V114" s="41"/>
      <c r="W114" s="19"/>
      <c r="X114" s="19"/>
    </row>
    <row r="115" spans="1:24" ht="15" customHeight="1" x14ac:dyDescent="0.3">
      <c r="A115" s="12"/>
      <c r="B115" s="53" t="s">
        <v>297</v>
      </c>
      <c r="D115" s="19"/>
      <c r="E115" s="19"/>
      <c r="G115" s="19"/>
      <c r="H115" s="19"/>
      <c r="I115" s="19"/>
      <c r="J115" s="41"/>
      <c r="K115" s="19"/>
      <c r="L115" s="19"/>
      <c r="M115" s="19"/>
      <c r="P115" s="19"/>
      <c r="Q115" s="19"/>
      <c r="R115" s="41"/>
      <c r="S115" s="19"/>
      <c r="T115" s="19"/>
      <c r="U115" s="19"/>
      <c r="V115" s="41"/>
      <c r="W115" s="19"/>
      <c r="X115" s="19"/>
    </row>
    <row r="116" spans="1:24" ht="15" customHeight="1" x14ac:dyDescent="0.3">
      <c r="A116" s="12"/>
      <c r="B116" s="51"/>
      <c r="D116" s="19"/>
      <c r="E116" s="19"/>
      <c r="G116" s="19"/>
      <c r="H116" s="19"/>
      <c r="I116" s="19"/>
      <c r="J116" s="41"/>
      <c r="K116" s="19"/>
      <c r="L116" s="19"/>
      <c r="M116" s="19"/>
      <c r="P116" s="19"/>
      <c r="Q116" s="19"/>
      <c r="R116" s="41"/>
      <c r="S116" s="19"/>
      <c r="T116" s="19"/>
      <c r="U116" s="19"/>
      <c r="V116" s="41"/>
      <c r="W116" s="19"/>
      <c r="X116" s="19"/>
    </row>
    <row r="117" spans="1:24" ht="15" customHeight="1" x14ac:dyDescent="0.3">
      <c r="D117" s="19"/>
      <c r="E117" s="19"/>
      <c r="G117" s="19"/>
      <c r="H117" s="19"/>
      <c r="I117" s="19"/>
      <c r="J117" s="41"/>
      <c r="K117" s="19"/>
      <c r="L117" s="19"/>
      <c r="M117" s="19"/>
      <c r="P117" s="19"/>
      <c r="Q117" s="19"/>
      <c r="R117" s="41"/>
      <c r="S117" s="19"/>
      <c r="T117" s="19"/>
      <c r="U117" s="19"/>
      <c r="V117" s="41"/>
      <c r="W117" s="19"/>
      <c r="X11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7345-FD99-4A23-3548-93E858FCCE5F}">
  <sheetPr>
    <tabColor rgb="FF00B0F0"/>
    <outlinePr summaryBelow="0" summaryRight="0"/>
  </sheetPr>
  <dimension ref="A2:Z292"/>
  <sheetViews>
    <sheetView showGridLines="0" tabSelected="1" defaultGridColor="0" colorId="8" zoomScale="80" workbookViewId="0">
      <pane xSplit="3" ySplit="10" topLeftCell="D255" activePane="bottomRight" state="frozen"/>
      <selection pane="topRight" activeCell="D1" sqref="D1"/>
      <selection pane="bottomLeft" activeCell="A11" sqref="A11"/>
      <selection pane="bottomRight" activeCell="D236" sqref="D236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278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941703.08</v>
      </c>
      <c r="E12" s="8"/>
      <c r="F12" s="14"/>
      <c r="G12" s="8"/>
      <c r="H12" s="8">
        <f>SUM(OSRRefH13x_0)</f>
        <v>451001.14999999997</v>
      </c>
      <c r="I12" s="8"/>
      <c r="J12" s="14"/>
      <c r="K12" s="8"/>
      <c r="L12" s="8">
        <f t="shared" ref="L12:L43" si="0">+D12-H12</f>
        <v>490701.93</v>
      </c>
      <c r="M12" s="8"/>
      <c r="N12" s="14">
        <f t="shared" ref="N12:N43" si="1">IF(H12=0,0,L12/H12)</f>
        <v>1.0880281125668971</v>
      </c>
      <c r="O12" s="13"/>
      <c r="P12" s="8">
        <f>SUM(OSRRefP13x_0)</f>
        <v>25006256.440000005</v>
      </c>
      <c r="Q12" s="8"/>
      <c r="R12" s="14"/>
      <c r="S12" s="8"/>
      <c r="T12" s="8">
        <f>SUM(OSRRefT13x_0)</f>
        <v>10263289.989999998</v>
      </c>
      <c r="U12" s="8"/>
      <c r="V12" s="14"/>
      <c r="W12" s="8"/>
      <c r="X12" s="8">
        <f t="shared" ref="X12:X43" si="2">+P12-T12</f>
        <v>14742966.450000007</v>
      </c>
      <c r="Y12" s="8"/>
      <c r="Z12" s="14">
        <f t="shared" ref="Z12:Z43" si="3">IF(T12=0,0,X12/T12)</f>
        <v>1.4364756783024513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--835136.42</f>
        <v>835136.42</v>
      </c>
      <c r="E13" s="3"/>
      <c r="F13" s="26"/>
      <c r="G13" s="3"/>
      <c r="H13" s="3">
        <f>-6674.19</f>
        <v>-6674.19</v>
      </c>
      <c r="I13" s="3"/>
      <c r="J13" s="26"/>
      <c r="K13" s="3"/>
      <c r="L13" s="3">
        <f t="shared" si="0"/>
        <v>841810.61</v>
      </c>
      <c r="M13" s="3"/>
      <c r="N13" s="26">
        <f t="shared" si="1"/>
        <v>-126.12925463614312</v>
      </c>
      <c r="O13" s="9"/>
      <c r="P13" s="3">
        <f>--9831797.98</f>
        <v>9831797.9800000004</v>
      </c>
      <c r="Q13" s="3"/>
      <c r="R13" s="26"/>
      <c r="S13" s="3"/>
      <c r="T13" s="3">
        <f>-154087.13</f>
        <v>-154087.13</v>
      </c>
      <c r="U13" s="3"/>
      <c r="V13" s="26"/>
      <c r="W13" s="3"/>
      <c r="X13" s="3">
        <f t="shared" si="2"/>
        <v>9985885.1100000013</v>
      </c>
      <c r="Y13" s="3"/>
      <c r="Z13" s="26">
        <f t="shared" si="3"/>
        <v>-64.806743496358209</v>
      </c>
    </row>
    <row r="14" spans="1:26" s="69" customFormat="1" ht="15" hidden="1" customHeight="1" outlineLevel="1" x14ac:dyDescent="0.3">
      <c r="A14" s="47"/>
      <c r="B14" s="9" t="str">
        <f>CONCATENATE("          ","4001"," - ","TAXABLE SALES-NEW TEXT")</f>
        <v xml:space="preserve">          4001 - TAXABLE SALES-NEW TEXT</v>
      </c>
      <c r="C14" s="9"/>
      <c r="D14" s="3">
        <f>0</f>
        <v>0</v>
      </c>
      <c r="E14" s="3"/>
      <c r="F14" s="26"/>
      <c r="G14" s="3"/>
      <c r="H14" s="3">
        <f>--9691.34</f>
        <v>9691.34</v>
      </c>
      <c r="I14" s="3"/>
      <c r="J14" s="26"/>
      <c r="K14" s="3"/>
      <c r="L14" s="3">
        <f t="shared" si="0"/>
        <v>-9691.34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--1308779.9</f>
        <v>1308779.8999999999</v>
      </c>
      <c r="U14" s="3"/>
      <c r="V14" s="26"/>
      <c r="W14" s="3"/>
      <c r="X14" s="3">
        <f t="shared" si="2"/>
        <v>-1308779.8999999999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","4002"," - ","TAXABLE SALES-USED TEXT")</f>
        <v xml:space="preserve">          4002 - TAXABLE SALES-USED TEXT</v>
      </c>
      <c r="C15" s="9"/>
      <c r="D15" s="3">
        <f>0</f>
        <v>0</v>
      </c>
      <c r="E15" s="3"/>
      <c r="F15" s="26"/>
      <c r="G15" s="3"/>
      <c r="H15" s="3">
        <f>--6642.8</f>
        <v>6642.8</v>
      </c>
      <c r="I15" s="3"/>
      <c r="J15" s="26"/>
      <c r="K15" s="3"/>
      <c r="L15" s="3">
        <f t="shared" si="0"/>
        <v>-6642.8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--596913.27</f>
        <v>596913.27</v>
      </c>
      <c r="U15" s="3"/>
      <c r="V15" s="26"/>
      <c r="W15" s="3"/>
      <c r="X15" s="3">
        <f t="shared" si="2"/>
        <v>-596913.27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","4003"," - ","TAXABLE SALES-RENTAL TEXT")</f>
        <v xml:space="preserve">          4003 - TAXABLE SALES-RENTAL TEXT</v>
      </c>
      <c r="C16" s="9"/>
      <c r="D16" s="3">
        <f>0</f>
        <v>0</v>
      </c>
      <c r="E16" s="3"/>
      <c r="F16" s="26"/>
      <c r="G16" s="3"/>
      <c r="H16" s="3">
        <f>--1103.98</f>
        <v>1103.98</v>
      </c>
      <c r="I16" s="3"/>
      <c r="J16" s="26"/>
      <c r="K16" s="3"/>
      <c r="L16" s="3">
        <f t="shared" si="0"/>
        <v>-1103.98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--19596.82</f>
        <v>19596.82</v>
      </c>
      <c r="U16" s="3"/>
      <c r="V16" s="26"/>
      <c r="W16" s="3"/>
      <c r="X16" s="3">
        <f t="shared" si="2"/>
        <v>-19596.82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","4004"," - ","TAXABLE SALES-DIGITAL TEXT")</f>
        <v xml:space="preserve">          4004 - TAXABLE SALES-DIGITAL TEXT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--2659.66</f>
        <v>2659.66</v>
      </c>
      <c r="U17" s="3"/>
      <c r="V17" s="26"/>
      <c r="W17" s="3"/>
      <c r="X17" s="3">
        <f t="shared" si="2"/>
        <v>-2659.66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","4013"," - ","TAXABLE SALES-TRADE BOOKS")</f>
        <v xml:space="preserve">          4013 - TAXABLE SALES-TRADE BOOKS</v>
      </c>
      <c r="C18" s="9"/>
      <c r="D18" s="3">
        <f>0</f>
        <v>0</v>
      </c>
      <c r="E18" s="3"/>
      <c r="F18" s="26"/>
      <c r="G18" s="3"/>
      <c r="H18" s="3">
        <f>--92.84</f>
        <v>92.84</v>
      </c>
      <c r="I18" s="3"/>
      <c r="J18" s="26"/>
      <c r="K18" s="3"/>
      <c r="L18" s="3">
        <f t="shared" si="0"/>
        <v>-92.84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--1418.63</f>
        <v>1418.63</v>
      </c>
      <c r="U18" s="3"/>
      <c r="V18" s="26"/>
      <c r="W18" s="3"/>
      <c r="X18" s="3">
        <f t="shared" si="2"/>
        <v>-1418.63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","4014"," - ","TAXABLE SALES-REMAINDERS")</f>
        <v xml:space="preserve">          4014 - TAXABLE SALES-REMAINDERS</v>
      </c>
      <c r="C19" s="9"/>
      <c r="D19" s="3">
        <f>0</f>
        <v>0</v>
      </c>
      <c r="E19" s="3"/>
      <c r="F19" s="26"/>
      <c r="G19" s="3"/>
      <c r="H19" s="3">
        <f>--31.84</f>
        <v>31.84</v>
      </c>
      <c r="I19" s="3"/>
      <c r="J19" s="26"/>
      <c r="K19" s="3"/>
      <c r="L19" s="3">
        <f t="shared" si="0"/>
        <v>-31.84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--547.56</f>
        <v>547.55999999999995</v>
      </c>
      <c r="U19" s="3"/>
      <c r="V19" s="26"/>
      <c r="W19" s="3"/>
      <c r="X19" s="3">
        <f t="shared" si="2"/>
        <v>-547.55999999999995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","4018"," - ","TAXABLE SALES-STUDY GUIDES")</f>
        <v xml:space="preserve">          4018 - TAXABLE SALES-STUDY GUIDES</v>
      </c>
      <c r="C20" s="9"/>
      <c r="D20" s="3">
        <f>0</f>
        <v>0</v>
      </c>
      <c r="E20" s="3"/>
      <c r="F20" s="26"/>
      <c r="G20" s="3"/>
      <c r="H20" s="3">
        <f>--114.01</f>
        <v>114.01</v>
      </c>
      <c r="I20" s="3"/>
      <c r="J20" s="26"/>
      <c r="K20" s="3"/>
      <c r="L20" s="3">
        <f t="shared" si="0"/>
        <v>-114.01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--622.49</f>
        <v>622.49</v>
      </c>
      <c r="U20" s="3"/>
      <c r="V20" s="26"/>
      <c r="W20" s="3"/>
      <c r="X20" s="3">
        <f t="shared" si="2"/>
        <v>-622.49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","4026"," - ","TAXABLE SALES-WRITING INSTRUME")</f>
        <v xml:space="preserve">          4026 - TAXABLE SALES-WRITING INSTRUME</v>
      </c>
      <c r="C21" s="9"/>
      <c r="D21" s="3">
        <f>0</f>
        <v>0</v>
      </c>
      <c r="E21" s="3"/>
      <c r="F21" s="26"/>
      <c r="G21" s="3"/>
      <c r="H21" s="3">
        <f>--25.1</f>
        <v>25.1</v>
      </c>
      <c r="I21" s="3"/>
      <c r="J21" s="26"/>
      <c r="K21" s="3"/>
      <c r="L21" s="3">
        <f t="shared" si="0"/>
        <v>-25.1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--547.64</f>
        <v>547.64</v>
      </c>
      <c r="U21" s="3"/>
      <c r="V21" s="26"/>
      <c r="W21" s="3"/>
      <c r="X21" s="3">
        <f t="shared" si="2"/>
        <v>-547.64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","4027"," - ","TAXABLE SALES-SCHOOL SUPPLIES")</f>
        <v xml:space="preserve">          4027 - TAXABLE SALES-SCHOOL SUPPLIES</v>
      </c>
      <c r="C22" s="9"/>
      <c r="D22" s="3">
        <f>0</f>
        <v>0</v>
      </c>
      <c r="E22" s="3"/>
      <c r="F22" s="26"/>
      <c r="G22" s="3"/>
      <c r="H22" s="3">
        <f>--3459.71</f>
        <v>3459.71</v>
      </c>
      <c r="I22" s="3"/>
      <c r="J22" s="26"/>
      <c r="K22" s="3"/>
      <c r="L22" s="3">
        <f t="shared" si="0"/>
        <v>-3459.71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--73564</f>
        <v>73564</v>
      </c>
      <c r="U22" s="3"/>
      <c r="V22" s="26"/>
      <c r="W22" s="3"/>
      <c r="X22" s="3">
        <f t="shared" si="2"/>
        <v>-73564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","4028"," - ","TAXABLE SALES-ART/TECH")</f>
        <v xml:space="preserve">          4028 - TAXABLE SALES-ART/TECH</v>
      </c>
      <c r="C23" s="9"/>
      <c r="D23" s="3">
        <f>0</f>
        <v>0</v>
      </c>
      <c r="E23" s="3"/>
      <c r="F23" s="26"/>
      <c r="G23" s="3"/>
      <c r="H23" s="3">
        <f>--2312.88</f>
        <v>2312.88</v>
      </c>
      <c r="I23" s="3"/>
      <c r="J23" s="26"/>
      <c r="K23" s="3"/>
      <c r="L23" s="3">
        <f t="shared" si="0"/>
        <v>-2312.88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--50708.2</f>
        <v>50708.2</v>
      </c>
      <c r="U23" s="3"/>
      <c r="V23" s="26"/>
      <c r="W23" s="3"/>
      <c r="X23" s="3">
        <f t="shared" si="2"/>
        <v>-50708.2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","4031"," - ","TAXABLE SALES-FOOD")</f>
        <v xml:space="preserve">          4031 - TAXABLE SALES-FOOD</v>
      </c>
      <c r="C24" s="9"/>
      <c r="D24" s="3">
        <f>0</f>
        <v>0</v>
      </c>
      <c r="E24" s="3"/>
      <c r="F24" s="26"/>
      <c r="G24" s="3"/>
      <c r="H24" s="3">
        <f>--380.76</f>
        <v>380.76</v>
      </c>
      <c r="I24" s="3"/>
      <c r="J24" s="26"/>
      <c r="K24" s="3"/>
      <c r="L24" s="3">
        <f t="shared" si="0"/>
        <v>-380.76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--5081.47</f>
        <v>5081.47</v>
      </c>
      <c r="U24" s="3"/>
      <c r="V24" s="26"/>
      <c r="W24" s="3"/>
      <c r="X24" s="3">
        <f t="shared" si="2"/>
        <v>-5081.47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","4032"," - ","TAXABLE SALES-JUICE")</f>
        <v xml:space="preserve">          4032 - TAXABLE SALES-JUICE</v>
      </c>
      <c r="C25" s="9"/>
      <c r="D25" s="3">
        <f>0</f>
        <v>0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0</v>
      </c>
      <c r="M25" s="3"/>
      <c r="N25" s="26">
        <f t="shared" si="1"/>
        <v>0</v>
      </c>
      <c r="O25" s="9"/>
      <c r="P25" s="3">
        <f>0</f>
        <v>0</v>
      </c>
      <c r="Q25" s="3"/>
      <c r="R25" s="26"/>
      <c r="S25" s="3"/>
      <c r="T25" s="3">
        <f>--444.59</f>
        <v>444.59</v>
      </c>
      <c r="U25" s="3"/>
      <c r="V25" s="26"/>
      <c r="W25" s="3"/>
      <c r="X25" s="3">
        <f t="shared" si="2"/>
        <v>-444.59</v>
      </c>
      <c r="Y25" s="3"/>
      <c r="Z25" s="26">
        <f t="shared" si="3"/>
        <v>-1</v>
      </c>
    </row>
    <row r="26" spans="1:26" s="69" customFormat="1" ht="15" hidden="1" customHeight="1" outlineLevel="1" x14ac:dyDescent="0.3">
      <c r="A26" s="47"/>
      <c r="B26" s="9" t="str">
        <f>CONCATENATE("          ","4034"," - ","TAXABLE SALES-SODA")</f>
        <v xml:space="preserve">          4034 - TAXABLE SALES-SODA</v>
      </c>
      <c r="C26" s="9"/>
      <c r="D26" s="3">
        <f>0</f>
        <v>0</v>
      </c>
      <c r="E26" s="3"/>
      <c r="F26" s="26"/>
      <c r="G26" s="3"/>
      <c r="H26" s="3">
        <f>0</f>
        <v>0</v>
      </c>
      <c r="I26" s="3"/>
      <c r="J26" s="26"/>
      <c r="K26" s="3"/>
      <c r="L26" s="3">
        <f t="shared" si="0"/>
        <v>0</v>
      </c>
      <c r="M26" s="3"/>
      <c r="N26" s="26">
        <f t="shared" si="1"/>
        <v>0</v>
      </c>
      <c r="O26" s="9"/>
      <c r="P26" s="3">
        <f>0</f>
        <v>0</v>
      </c>
      <c r="Q26" s="3"/>
      <c r="R26" s="26"/>
      <c r="S26" s="3"/>
      <c r="T26" s="3">
        <f>--6.78</f>
        <v>6.78</v>
      </c>
      <c r="U26" s="3"/>
      <c r="V26" s="26"/>
      <c r="W26" s="3"/>
      <c r="X26" s="3">
        <f t="shared" si="2"/>
        <v>-6.78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","4040"," - ","TAXABLE SALES-LOGO CLOTHING")</f>
        <v xml:space="preserve">          4040 - TAXABLE SALES-LOGO CLOTHING</v>
      </c>
      <c r="C27" s="9"/>
      <c r="D27" s="3">
        <f>0</f>
        <v>0</v>
      </c>
      <c r="E27" s="3"/>
      <c r="F27" s="26"/>
      <c r="G27" s="3"/>
      <c r="H27" s="3">
        <f>--109798.76</f>
        <v>109798.76</v>
      </c>
      <c r="I27" s="3"/>
      <c r="J27" s="26"/>
      <c r="K27" s="3"/>
      <c r="L27" s="3">
        <f t="shared" si="0"/>
        <v>-109798.76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--1210378.91</f>
        <v>1210378.9099999999</v>
      </c>
      <c r="U27" s="3"/>
      <c r="V27" s="26"/>
      <c r="W27" s="3"/>
      <c r="X27" s="3">
        <f t="shared" si="2"/>
        <v>-1210378.9099999999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","4041"," - ","TAXABLE SALES-LOGO GIFTS")</f>
        <v xml:space="preserve">          4041 - TAXABLE SALES-LOGO GIFTS</v>
      </c>
      <c r="C28" s="9"/>
      <c r="D28" s="3">
        <f>0</f>
        <v>0</v>
      </c>
      <c r="E28" s="3"/>
      <c r="F28" s="26"/>
      <c r="G28" s="3"/>
      <c r="H28" s="3">
        <f>--80467.62</f>
        <v>80467.62</v>
      </c>
      <c r="I28" s="3"/>
      <c r="J28" s="26"/>
      <c r="K28" s="3"/>
      <c r="L28" s="3">
        <f t="shared" si="0"/>
        <v>-80467.62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--712240.21</f>
        <v>712240.21</v>
      </c>
      <c r="U28" s="3"/>
      <c r="V28" s="26"/>
      <c r="W28" s="3"/>
      <c r="X28" s="3">
        <f t="shared" si="2"/>
        <v>-712240.21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","4042"," - ","TAXABLE SALES-EVERYDAY GIFTS")</f>
        <v xml:space="preserve">          4042 - TAXABLE SALES-EVERYDAY GIFTS</v>
      </c>
      <c r="C29" s="9"/>
      <c r="D29" s="3">
        <f>0</f>
        <v>0</v>
      </c>
      <c r="E29" s="3"/>
      <c r="F29" s="26"/>
      <c r="G29" s="3"/>
      <c r="H29" s="3">
        <f>--7345.28</f>
        <v>7345.28</v>
      </c>
      <c r="I29" s="3"/>
      <c r="J29" s="26"/>
      <c r="K29" s="3"/>
      <c r="L29" s="3">
        <f t="shared" si="0"/>
        <v>-7345.28</v>
      </c>
      <c r="M29" s="3"/>
      <c r="N29" s="26">
        <f t="shared" si="1"/>
        <v>-1</v>
      </c>
      <c r="O29" s="9"/>
      <c r="P29" s="3">
        <f>0</f>
        <v>0</v>
      </c>
      <c r="Q29" s="3"/>
      <c r="R29" s="26"/>
      <c r="S29" s="3"/>
      <c r="T29" s="3">
        <f>--116251.83</f>
        <v>116251.83</v>
      </c>
      <c r="U29" s="3"/>
      <c r="V29" s="26"/>
      <c r="W29" s="3"/>
      <c r="X29" s="3">
        <f t="shared" si="2"/>
        <v>-116251.83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","4043"," - ","TAXABLE SALES-CARDS")</f>
        <v xml:space="preserve">          4043 - TAXABLE SALES-CARDS</v>
      </c>
      <c r="C30" s="9"/>
      <c r="D30" s="3">
        <f>0</f>
        <v>0</v>
      </c>
      <c r="E30" s="3"/>
      <c r="F30" s="26"/>
      <c r="G30" s="3"/>
      <c r="H30" s="3">
        <f>--2949.38</f>
        <v>2949.38</v>
      </c>
      <c r="I30" s="3"/>
      <c r="J30" s="26"/>
      <c r="K30" s="3"/>
      <c r="L30" s="3">
        <f t="shared" si="0"/>
        <v>-2949.38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--147027.05</f>
        <v>147027.04999999999</v>
      </c>
      <c r="U30" s="3"/>
      <c r="V30" s="26"/>
      <c r="W30" s="3"/>
      <c r="X30" s="3">
        <f t="shared" si="2"/>
        <v>-147027.04999999999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","4044"," - ","TAXABLE SALES-ACCESSORIES")</f>
        <v xml:space="preserve">          4044 - TAXABLE SALES-ACCESSORIES</v>
      </c>
      <c r="C31" s="9"/>
      <c r="D31" s="3">
        <f>0</f>
        <v>0</v>
      </c>
      <c r="E31" s="3"/>
      <c r="F31" s="26"/>
      <c r="G31" s="3"/>
      <c r="H31" s="3">
        <f>--2172.33</f>
        <v>2172.33</v>
      </c>
      <c r="I31" s="3"/>
      <c r="J31" s="26"/>
      <c r="K31" s="3"/>
      <c r="L31" s="3">
        <f t="shared" si="0"/>
        <v>-2172.33</v>
      </c>
      <c r="M31" s="3"/>
      <c r="N31" s="26">
        <f t="shared" si="1"/>
        <v>-1</v>
      </c>
      <c r="O31" s="9"/>
      <c r="P31" s="3">
        <f>0</f>
        <v>0</v>
      </c>
      <c r="Q31" s="3"/>
      <c r="R31" s="26"/>
      <c r="S31" s="3"/>
      <c r="T31" s="3">
        <f>--43288.66</f>
        <v>43288.66</v>
      </c>
      <c r="U31" s="3"/>
      <c r="V31" s="26"/>
      <c r="W31" s="3"/>
      <c r="X31" s="3">
        <f t="shared" si="2"/>
        <v>-43288.66</v>
      </c>
      <c r="Y31" s="3"/>
      <c r="Z31" s="26">
        <f t="shared" si="3"/>
        <v>-1</v>
      </c>
    </row>
    <row r="32" spans="1:26" s="69" customFormat="1" ht="15" hidden="1" customHeight="1" outlineLevel="1" x14ac:dyDescent="0.3">
      <c r="A32" s="47"/>
      <c r="B32" s="9" t="str">
        <f>CONCATENATE("          ","4045"," - ","TAXABLE SALES-SPECIAL ORDERS")</f>
        <v xml:space="preserve">          4045 - TAXABLE SALES-SPECIAL ORDERS</v>
      </c>
      <c r="C32" s="9"/>
      <c r="D32" s="3">
        <f>0</f>
        <v>0</v>
      </c>
      <c r="E32" s="3"/>
      <c r="F32" s="26"/>
      <c r="G32" s="3"/>
      <c r="H32" s="3">
        <f>--81300.55</f>
        <v>81300.55</v>
      </c>
      <c r="I32" s="3"/>
      <c r="J32" s="26"/>
      <c r="K32" s="3"/>
      <c r="L32" s="3">
        <f t="shared" si="0"/>
        <v>-81300.55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--314878.48</f>
        <v>314878.48</v>
      </c>
      <c r="U32" s="3"/>
      <c r="V32" s="26"/>
      <c r="W32" s="3"/>
      <c r="X32" s="3">
        <f t="shared" si="2"/>
        <v>-314878.48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","4051"," - ","TAXABLE SALES-FOOD")</f>
        <v xml:space="preserve">          4051 - TAXABLE SALES-FOOD</v>
      </c>
      <c r="C33" s="9"/>
      <c r="D33" s="3">
        <f>--14372.1</f>
        <v>14372.1</v>
      </c>
      <c r="E33" s="3"/>
      <c r="F33" s="26"/>
      <c r="G33" s="3"/>
      <c r="H33" s="3">
        <f>--9799.52</f>
        <v>9799.52</v>
      </c>
      <c r="I33" s="3"/>
      <c r="J33" s="26"/>
      <c r="K33" s="3"/>
      <c r="L33" s="3">
        <f t="shared" si="0"/>
        <v>4572.58</v>
      </c>
      <c r="M33" s="3"/>
      <c r="N33" s="26">
        <f t="shared" si="1"/>
        <v>0.46661265041553052</v>
      </c>
      <c r="O33" s="9"/>
      <c r="P33" s="3">
        <f>--360408.55</f>
        <v>360408.55</v>
      </c>
      <c r="Q33" s="3"/>
      <c r="R33" s="26"/>
      <c r="S33" s="3"/>
      <c r="T33" s="3">
        <f>--49082.44</f>
        <v>49082.44</v>
      </c>
      <c r="U33" s="3"/>
      <c r="V33" s="26"/>
      <c r="W33" s="3"/>
      <c r="X33" s="3">
        <f t="shared" si="2"/>
        <v>311326.11</v>
      </c>
      <c r="Y33" s="3"/>
      <c r="Z33" s="26">
        <f t="shared" si="3"/>
        <v>6.3429224382487908</v>
      </c>
    </row>
    <row r="34" spans="1:26" s="69" customFormat="1" ht="15" hidden="1" customHeight="1" outlineLevel="1" x14ac:dyDescent="0.3">
      <c r="A34" s="47"/>
      <c r="B34" s="9" t="str">
        <f>CONCATENATE("          ","4052"," - ","TAXABLE SALES-FOOD")</f>
        <v xml:space="preserve">          4052 - TAXABLE SALES-FOOD</v>
      </c>
      <c r="C34" s="9"/>
      <c r="D34" s="3">
        <f>0</f>
        <v>0</v>
      </c>
      <c r="E34" s="3"/>
      <c r="F34" s="26"/>
      <c r="G34" s="3"/>
      <c r="H34" s="3">
        <f>--61213.59</f>
        <v>61213.59</v>
      </c>
      <c r="I34" s="3"/>
      <c r="J34" s="26"/>
      <c r="K34" s="3"/>
      <c r="L34" s="3">
        <f t="shared" si="0"/>
        <v>-61213.59</v>
      </c>
      <c r="M34" s="3"/>
      <c r="N34" s="26">
        <f t="shared" si="1"/>
        <v>-1</v>
      </c>
      <c r="O34" s="9"/>
      <c r="P34" s="3">
        <f>0</f>
        <v>0</v>
      </c>
      <c r="Q34" s="3"/>
      <c r="R34" s="26"/>
      <c r="S34" s="3"/>
      <c r="T34" s="3">
        <f>--489866.6</f>
        <v>489866.6</v>
      </c>
      <c r="U34" s="3"/>
      <c r="V34" s="26"/>
      <c r="W34" s="3"/>
      <c r="X34" s="3">
        <f t="shared" si="2"/>
        <v>-489866.6</v>
      </c>
      <c r="Y34" s="3"/>
      <c r="Z34" s="26">
        <f t="shared" si="3"/>
        <v>-1</v>
      </c>
    </row>
    <row r="35" spans="1:26" s="69" customFormat="1" ht="15" hidden="1" customHeight="1" outlineLevel="1" x14ac:dyDescent="0.3">
      <c r="A35" s="47"/>
      <c r="B35" s="9" t="str">
        <f>CONCATENATE("          ","4053"," - ","TAXABLE SALES-FOOD")</f>
        <v xml:space="preserve">          4053 - TAXABLE SALES-FOOD</v>
      </c>
      <c r="C35" s="9"/>
      <c r="D35" s="3">
        <f>--11752.35</f>
        <v>11752.35</v>
      </c>
      <c r="E35" s="3"/>
      <c r="F35" s="26"/>
      <c r="G35" s="3"/>
      <c r="H35" s="3">
        <f>--10.83</f>
        <v>10.83</v>
      </c>
      <c r="I35" s="3"/>
      <c r="J35" s="26"/>
      <c r="K35" s="3"/>
      <c r="L35" s="3">
        <f t="shared" si="0"/>
        <v>11741.52</v>
      </c>
      <c r="M35" s="3"/>
      <c r="N35" s="26">
        <f t="shared" si="1"/>
        <v>1084.1662049861495</v>
      </c>
      <c r="O35" s="9"/>
      <c r="P35" s="3">
        <f>--42941.38</f>
        <v>42941.38</v>
      </c>
      <c r="Q35" s="3"/>
      <c r="R35" s="26"/>
      <c r="S35" s="3"/>
      <c r="T35" s="3">
        <f>--1117.39</f>
        <v>1117.3900000000001</v>
      </c>
      <c r="U35" s="3"/>
      <c r="V35" s="26"/>
      <c r="W35" s="3"/>
      <c r="X35" s="3">
        <f t="shared" si="2"/>
        <v>41823.99</v>
      </c>
      <c r="Y35" s="3"/>
      <c r="Z35" s="26">
        <f t="shared" si="3"/>
        <v>37.430073653782472</v>
      </c>
    </row>
    <row r="36" spans="1:26" s="69" customFormat="1" ht="15" hidden="1" customHeight="1" outlineLevel="1" x14ac:dyDescent="0.3">
      <c r="A36" s="47"/>
      <c r="B36" s="9" t="str">
        <f>CONCATENATE("          ","4055"," - ","TAXABLE SALES-FOOD")</f>
        <v xml:space="preserve">          4055 - TAXABLE SALES-FOOD</v>
      </c>
      <c r="C36" s="9"/>
      <c r="D36" s="3">
        <f>0</f>
        <v>0</v>
      </c>
      <c r="E36" s="3"/>
      <c r="F36" s="26"/>
      <c r="G36" s="3"/>
      <c r="H36" s="3">
        <f>0</f>
        <v>0</v>
      </c>
      <c r="I36" s="3"/>
      <c r="J36" s="26"/>
      <c r="K36" s="3"/>
      <c r="L36" s="3">
        <f t="shared" si="0"/>
        <v>0</v>
      </c>
      <c r="M36" s="3"/>
      <c r="N36" s="26">
        <f t="shared" si="1"/>
        <v>0</v>
      </c>
      <c r="O36" s="9"/>
      <c r="P36" s="3">
        <f>--2070.63</f>
        <v>2070.63</v>
      </c>
      <c r="Q36" s="3"/>
      <c r="R36" s="26"/>
      <c r="S36" s="3"/>
      <c r="T36" s="3">
        <f>0</f>
        <v>0</v>
      </c>
      <c r="U36" s="3"/>
      <c r="V36" s="26"/>
      <c r="W36" s="3"/>
      <c r="X36" s="3">
        <f t="shared" si="2"/>
        <v>2070.63</v>
      </c>
      <c r="Y36" s="3"/>
      <c r="Z36" s="26">
        <f t="shared" si="3"/>
        <v>0</v>
      </c>
    </row>
    <row r="37" spans="1:26" s="69" customFormat="1" ht="15" hidden="1" customHeight="1" outlineLevel="1" x14ac:dyDescent="0.3">
      <c r="A37" s="47"/>
      <c r="B37" s="9" t="str">
        <f>CONCATENATE("          ","4058"," - ","TAXABLE SALES-FOOD")</f>
        <v xml:space="preserve">          4058 - TAXABLE SALES-FOOD</v>
      </c>
      <c r="C37" s="9"/>
      <c r="D37" s="3">
        <f>0</f>
        <v>0</v>
      </c>
      <c r="E37" s="3"/>
      <c r="F37" s="26"/>
      <c r="G37" s="3"/>
      <c r="H37" s="3">
        <f>0</f>
        <v>0</v>
      </c>
      <c r="I37" s="3"/>
      <c r="J37" s="26"/>
      <c r="K37" s="3"/>
      <c r="L37" s="3">
        <f t="shared" si="0"/>
        <v>0</v>
      </c>
      <c r="M37" s="3"/>
      <c r="N37" s="26">
        <f t="shared" si="1"/>
        <v>0</v>
      </c>
      <c r="O37" s="9"/>
      <c r="P37" s="3">
        <f>0</f>
        <v>0</v>
      </c>
      <c r="Q37" s="3"/>
      <c r="R37" s="26"/>
      <c r="S37" s="3"/>
      <c r="T37" s="3">
        <f>--974.91</f>
        <v>974.91</v>
      </c>
      <c r="U37" s="3"/>
      <c r="V37" s="26"/>
      <c r="W37" s="3"/>
      <c r="X37" s="3">
        <f t="shared" si="2"/>
        <v>-974.91</v>
      </c>
      <c r="Y37" s="3"/>
      <c r="Z37" s="26">
        <f t="shared" si="3"/>
        <v>-1</v>
      </c>
    </row>
    <row r="38" spans="1:26" s="69" customFormat="1" ht="15" hidden="1" customHeight="1" outlineLevel="1" x14ac:dyDescent="0.3">
      <c r="A38" s="47"/>
      <c r="B38" s="9" t="str">
        <f>CONCATENATE("          ","4081"," - ","TAXABLE SALES-ELECTRONICS")</f>
        <v xml:space="preserve">          4081 - TAXABLE SALES-ELECTRONICS</v>
      </c>
      <c r="C38" s="9"/>
      <c r="D38" s="3">
        <f>0</f>
        <v>0</v>
      </c>
      <c r="E38" s="3"/>
      <c r="F38" s="26"/>
      <c r="G38" s="3"/>
      <c r="H38" s="3">
        <f>--1743.92</f>
        <v>1743.92</v>
      </c>
      <c r="I38" s="3"/>
      <c r="J38" s="26"/>
      <c r="K38" s="3"/>
      <c r="L38" s="3">
        <f t="shared" si="0"/>
        <v>-1743.92</v>
      </c>
      <c r="M38" s="3"/>
      <c r="N38" s="26">
        <f t="shared" si="1"/>
        <v>-1</v>
      </c>
      <c r="O38" s="9"/>
      <c r="P38" s="3">
        <f>0</f>
        <v>0</v>
      </c>
      <c r="Q38" s="3"/>
      <c r="R38" s="26"/>
      <c r="S38" s="3"/>
      <c r="T38" s="3">
        <f>--65769.85</f>
        <v>65769.850000000006</v>
      </c>
      <c r="U38" s="3"/>
      <c r="V38" s="26"/>
      <c r="W38" s="3"/>
      <c r="X38" s="3">
        <f t="shared" si="2"/>
        <v>-65769.850000000006</v>
      </c>
      <c r="Y38" s="3"/>
      <c r="Z38" s="26">
        <f t="shared" si="3"/>
        <v>-1</v>
      </c>
    </row>
    <row r="39" spans="1:26" s="69" customFormat="1" ht="15" hidden="1" customHeight="1" outlineLevel="1" x14ac:dyDescent="0.3">
      <c r="A39" s="47"/>
      <c r="B39" s="9" t="str">
        <f>CONCATENATE("          ","4082"," - ","TAXABLE SALES-COMPUTER HARDWAR")</f>
        <v xml:space="preserve">          4082 - TAXABLE SALES-COMPUTER HARDWAR</v>
      </c>
      <c r="C39" s="9"/>
      <c r="D39" s="3">
        <f>0</f>
        <v>0</v>
      </c>
      <c r="E39" s="3"/>
      <c r="F39" s="26"/>
      <c r="G39" s="3"/>
      <c r="H39" s="3">
        <f>--78232.49</f>
        <v>78232.490000000005</v>
      </c>
      <c r="I39" s="3"/>
      <c r="J39" s="26"/>
      <c r="K39" s="3"/>
      <c r="L39" s="3">
        <f t="shared" si="0"/>
        <v>-78232.490000000005</v>
      </c>
      <c r="M39" s="3"/>
      <c r="N39" s="26">
        <f t="shared" si="1"/>
        <v>-1</v>
      </c>
      <c r="O39" s="9"/>
      <c r="P39" s="3">
        <f>0</f>
        <v>0</v>
      </c>
      <c r="Q39" s="3"/>
      <c r="R39" s="26"/>
      <c r="S39" s="3"/>
      <c r="T39" s="3">
        <f>--2207891.11</f>
        <v>2207891.11</v>
      </c>
      <c r="U39" s="3"/>
      <c r="V39" s="26"/>
      <c r="W39" s="3"/>
      <c r="X39" s="3">
        <f t="shared" si="2"/>
        <v>-2207891.11</v>
      </c>
      <c r="Y39" s="3"/>
      <c r="Z39" s="26">
        <f t="shared" si="3"/>
        <v>-1</v>
      </c>
    </row>
    <row r="40" spans="1:26" s="69" customFormat="1" ht="15" hidden="1" customHeight="1" outlineLevel="1" x14ac:dyDescent="0.3">
      <c r="A40" s="47"/>
      <c r="B40" s="9" t="str">
        <f>CONCATENATE("          ","4083"," - ","TAXABLE SALES-COMPUTER EQUIPME")</f>
        <v xml:space="preserve">          4083 - TAXABLE SALES-COMPUTER EQUIPME</v>
      </c>
      <c r="C40" s="9"/>
      <c r="D40" s="3">
        <f>0</f>
        <v>0</v>
      </c>
      <c r="E40" s="3"/>
      <c r="F40" s="26"/>
      <c r="G40" s="3"/>
      <c r="H40" s="3">
        <f>--3971.25</f>
        <v>3971.25</v>
      </c>
      <c r="I40" s="3"/>
      <c r="J40" s="26"/>
      <c r="K40" s="3"/>
      <c r="L40" s="3">
        <f t="shared" si="0"/>
        <v>-3971.25</v>
      </c>
      <c r="M40" s="3"/>
      <c r="N40" s="26">
        <f t="shared" si="1"/>
        <v>-1</v>
      </c>
      <c r="O40" s="9"/>
      <c r="P40" s="3">
        <f>0</f>
        <v>0</v>
      </c>
      <c r="Q40" s="3"/>
      <c r="R40" s="26"/>
      <c r="S40" s="3"/>
      <c r="T40" s="3">
        <f>--141118.23</f>
        <v>141118.23000000001</v>
      </c>
      <c r="U40" s="3"/>
      <c r="V40" s="26"/>
      <c r="W40" s="3"/>
      <c r="X40" s="3">
        <f t="shared" si="2"/>
        <v>-141118.23000000001</v>
      </c>
      <c r="Y40" s="3"/>
      <c r="Z40" s="26">
        <f t="shared" si="3"/>
        <v>-1</v>
      </c>
    </row>
    <row r="41" spans="1:26" s="69" customFormat="1" ht="15" hidden="1" customHeight="1" outlineLevel="1" x14ac:dyDescent="0.3">
      <c r="A41" s="47"/>
      <c r="B41" s="9" t="str">
        <f>CONCATENATE("          ","4085"," - ","TAXABLE SALES-SOFTWARE")</f>
        <v xml:space="preserve">          4085 - TAXABLE SALES-SOFTWARE</v>
      </c>
      <c r="C41" s="9"/>
      <c r="D41" s="3">
        <f>0</f>
        <v>0</v>
      </c>
      <c r="E41" s="3"/>
      <c r="F41" s="26"/>
      <c r="G41" s="3"/>
      <c r="H41" s="3">
        <f>0</f>
        <v>0</v>
      </c>
      <c r="I41" s="3"/>
      <c r="J41" s="26"/>
      <c r="K41" s="3"/>
      <c r="L41" s="3">
        <f t="shared" si="0"/>
        <v>0</v>
      </c>
      <c r="M41" s="3"/>
      <c r="N41" s="26">
        <f t="shared" si="1"/>
        <v>0</v>
      </c>
      <c r="O41" s="9"/>
      <c r="P41" s="3">
        <f>0</f>
        <v>0</v>
      </c>
      <c r="Q41" s="3"/>
      <c r="R41" s="26"/>
      <c r="S41" s="3"/>
      <c r="T41" s="3">
        <f>--4870.79</f>
        <v>4870.79</v>
      </c>
      <c r="U41" s="3"/>
      <c r="V41" s="26"/>
      <c r="W41" s="3"/>
      <c r="X41" s="3">
        <f t="shared" si="2"/>
        <v>-4870.79</v>
      </c>
      <c r="Y41" s="3"/>
      <c r="Z41" s="26">
        <f t="shared" si="3"/>
        <v>-1</v>
      </c>
    </row>
    <row r="42" spans="1:26" s="69" customFormat="1" ht="15" hidden="1" customHeight="1" outlineLevel="1" x14ac:dyDescent="0.3">
      <c r="A42" s="47"/>
      <c r="B42" s="9" t="str">
        <f>CONCATENATE("          ","4086"," - ","TAXABLE SALES-COMPUTER SUPPLIE")</f>
        <v xml:space="preserve">          4086 - TAXABLE SALES-COMPUTER SUPPLIE</v>
      </c>
      <c r="C42" s="9"/>
      <c r="D42" s="3">
        <f>0</f>
        <v>0</v>
      </c>
      <c r="E42" s="3"/>
      <c r="F42" s="26"/>
      <c r="G42" s="3"/>
      <c r="H42" s="3">
        <f>--850.72</f>
        <v>850.72</v>
      </c>
      <c r="I42" s="3"/>
      <c r="J42" s="26"/>
      <c r="K42" s="3"/>
      <c r="L42" s="3">
        <f t="shared" si="0"/>
        <v>-850.72</v>
      </c>
      <c r="M42" s="3"/>
      <c r="N42" s="26">
        <f t="shared" si="1"/>
        <v>-1</v>
      </c>
      <c r="O42" s="9"/>
      <c r="P42" s="3">
        <f>0</f>
        <v>0</v>
      </c>
      <c r="Q42" s="3"/>
      <c r="R42" s="26"/>
      <c r="S42" s="3"/>
      <c r="T42" s="3">
        <f>--67783.14</f>
        <v>67783.14</v>
      </c>
      <c r="U42" s="3"/>
      <c r="V42" s="26"/>
      <c r="W42" s="3"/>
      <c r="X42" s="3">
        <f t="shared" si="2"/>
        <v>-67783.14</v>
      </c>
      <c r="Y42" s="3"/>
      <c r="Z42" s="26">
        <f t="shared" si="3"/>
        <v>-1</v>
      </c>
    </row>
    <row r="43" spans="1:26" s="69" customFormat="1" ht="15" hidden="1" customHeight="1" outlineLevel="1" x14ac:dyDescent="0.3">
      <c r="A43" s="47"/>
      <c r="B43" s="9" t="str">
        <f>CONCATENATE("          ","4095"," - ","TAXABLE SALES-CUSTOMER SERVICE")</f>
        <v xml:space="preserve">          4095 - TAXABLE SALES-CUSTOMER SERVICE</v>
      </c>
      <c r="C43" s="9"/>
      <c r="D43" s="3">
        <f>0</f>
        <v>0</v>
      </c>
      <c r="E43" s="3"/>
      <c r="F43" s="26"/>
      <c r="G43" s="3"/>
      <c r="H43" s="3">
        <f>--1688.17</f>
        <v>1688.17</v>
      </c>
      <c r="I43" s="3"/>
      <c r="J43" s="26"/>
      <c r="K43" s="3"/>
      <c r="L43" s="3">
        <f t="shared" si="0"/>
        <v>-1688.17</v>
      </c>
      <c r="M43" s="3"/>
      <c r="N43" s="26">
        <f t="shared" si="1"/>
        <v>-1</v>
      </c>
      <c r="O43" s="9"/>
      <c r="P43" s="3">
        <f>0</f>
        <v>0</v>
      </c>
      <c r="Q43" s="3"/>
      <c r="R43" s="26"/>
      <c r="S43" s="3"/>
      <c r="T43" s="3">
        <f>--15614</f>
        <v>15614</v>
      </c>
      <c r="U43" s="3"/>
      <c r="V43" s="26"/>
      <c r="W43" s="3"/>
      <c r="X43" s="3">
        <f t="shared" si="2"/>
        <v>-15614</v>
      </c>
      <c r="Y43" s="3"/>
      <c r="Z43" s="26">
        <f t="shared" si="3"/>
        <v>-1</v>
      </c>
    </row>
    <row r="44" spans="1:26" s="69" customFormat="1" ht="15" hidden="1" customHeight="1" outlineLevel="1" x14ac:dyDescent="0.3">
      <c r="A44" s="47"/>
      <c r="B44" s="9" t="str">
        <f>CONCATENATE("          ","4100"," - ","NON-TAXABLE SALES")</f>
        <v xml:space="preserve">          4100 - NON-TAXABLE SALES</v>
      </c>
      <c r="C44" s="9"/>
      <c r="D44" s="3">
        <f>--141120.94</f>
        <v>141120.94</v>
      </c>
      <c r="E44" s="3"/>
      <c r="F44" s="26"/>
      <c r="G44" s="3"/>
      <c r="H44" s="3">
        <f>--10487.8</f>
        <v>10487.8</v>
      </c>
      <c r="I44" s="3"/>
      <c r="J44" s="26"/>
      <c r="K44" s="3"/>
      <c r="L44" s="3">
        <f t="shared" ref="L44:L75" si="4">+D44-H44</f>
        <v>130633.14</v>
      </c>
      <c r="M44" s="3"/>
      <c r="N44" s="26">
        <f t="shared" ref="N44:N75" si="5">IF(H44=0,0,L44/H44)</f>
        <v>12.455723793359905</v>
      </c>
      <c r="O44" s="9"/>
      <c r="P44" s="3">
        <f>--3002349.04</f>
        <v>3002349.04</v>
      </c>
      <c r="Q44" s="3"/>
      <c r="R44" s="26"/>
      <c r="S44" s="3"/>
      <c r="T44" s="3">
        <f>--805058.78</f>
        <v>805058.78</v>
      </c>
      <c r="U44" s="3"/>
      <c r="V44" s="26"/>
      <c r="W44" s="3"/>
      <c r="X44" s="3">
        <f t="shared" ref="X44:X75" si="6">+P44-T44</f>
        <v>2197290.2599999998</v>
      </c>
      <c r="Y44" s="3"/>
      <c r="Z44" s="26">
        <f t="shared" ref="Z44:Z75" si="7">IF(T44=0,0,X44/T44)</f>
        <v>2.7293538243257216</v>
      </c>
    </row>
    <row r="45" spans="1:26" s="69" customFormat="1" ht="15" hidden="1" customHeight="1" outlineLevel="1" x14ac:dyDescent="0.3">
      <c r="A45" s="47"/>
      <c r="B45" s="9" t="str">
        <f>CONCATENATE("          ","4101"," - ","NON-TAXABLE SALES-NEW TEXT")</f>
        <v xml:space="preserve">          4101 - NON-TAXABLE SALES-NEW TEXT</v>
      </c>
      <c r="C45" s="9"/>
      <c r="D45" s="3">
        <f>0</f>
        <v>0</v>
      </c>
      <c r="E45" s="3"/>
      <c r="F45" s="26"/>
      <c r="G45" s="3"/>
      <c r="H45" s="3">
        <f>--1301.39</f>
        <v>1301.3900000000001</v>
      </c>
      <c r="I45" s="3"/>
      <c r="J45" s="26"/>
      <c r="K45" s="3"/>
      <c r="L45" s="3">
        <f t="shared" si="4"/>
        <v>-1301.3900000000001</v>
      </c>
      <c r="M45" s="3"/>
      <c r="N45" s="26">
        <f t="shared" si="5"/>
        <v>-1</v>
      </c>
      <c r="O45" s="9"/>
      <c r="P45" s="3">
        <f>0</f>
        <v>0</v>
      </c>
      <c r="Q45" s="3"/>
      <c r="R45" s="26"/>
      <c r="S45" s="3"/>
      <c r="T45" s="3">
        <f>--120548.46</f>
        <v>120548.46</v>
      </c>
      <c r="U45" s="3"/>
      <c r="V45" s="26"/>
      <c r="W45" s="3"/>
      <c r="X45" s="3">
        <f t="shared" si="6"/>
        <v>-120548.46</v>
      </c>
      <c r="Y45" s="3"/>
      <c r="Z45" s="26">
        <f t="shared" si="7"/>
        <v>-1</v>
      </c>
    </row>
    <row r="46" spans="1:26" s="69" customFormat="1" ht="15" hidden="1" customHeight="1" outlineLevel="1" x14ac:dyDescent="0.3">
      <c r="A46" s="47"/>
      <c r="B46" s="9" t="str">
        <f>CONCATENATE("          ","4102"," - ","NON-TAXABLE SALES-USED TEXT")</f>
        <v xml:space="preserve">          4102 - NON-TAXABLE SALES-USED TEXT</v>
      </c>
      <c r="C46" s="9"/>
      <c r="D46" s="3">
        <f>0</f>
        <v>0</v>
      </c>
      <c r="E46" s="3"/>
      <c r="F46" s="26"/>
      <c r="G46" s="3"/>
      <c r="H46" s="3">
        <f>--540.91</f>
        <v>540.91</v>
      </c>
      <c r="I46" s="3"/>
      <c r="J46" s="26"/>
      <c r="K46" s="3"/>
      <c r="L46" s="3">
        <f t="shared" si="4"/>
        <v>-540.91</v>
      </c>
      <c r="M46" s="3"/>
      <c r="N46" s="26">
        <f t="shared" si="5"/>
        <v>-1</v>
      </c>
      <c r="O46" s="9"/>
      <c r="P46" s="3">
        <f>0</f>
        <v>0</v>
      </c>
      <c r="Q46" s="3"/>
      <c r="R46" s="26"/>
      <c r="S46" s="3"/>
      <c r="T46" s="3">
        <f>--51587.64</f>
        <v>51587.64</v>
      </c>
      <c r="U46" s="3"/>
      <c r="V46" s="26"/>
      <c r="W46" s="3"/>
      <c r="X46" s="3">
        <f t="shared" si="6"/>
        <v>-51587.64</v>
      </c>
      <c r="Y46" s="3"/>
      <c r="Z46" s="26">
        <f t="shared" si="7"/>
        <v>-1</v>
      </c>
    </row>
    <row r="47" spans="1:26" s="69" customFormat="1" ht="15" hidden="1" customHeight="1" outlineLevel="1" x14ac:dyDescent="0.3">
      <c r="A47" s="47"/>
      <c r="B47" s="9" t="str">
        <f>CONCATENATE("          ","4103"," - ","NON-TAXABLE SALES-RENTAL TEXT")</f>
        <v xml:space="preserve">          4103 - NON-TAXABLE SALES-RENTAL TEXT</v>
      </c>
      <c r="C47" s="9"/>
      <c r="D47" s="3">
        <f>0</f>
        <v>0</v>
      </c>
      <c r="E47" s="3"/>
      <c r="F47" s="26"/>
      <c r="G47" s="3"/>
      <c r="H47" s="3">
        <f>0</f>
        <v>0</v>
      </c>
      <c r="I47" s="3"/>
      <c r="J47" s="26"/>
      <c r="K47" s="3"/>
      <c r="L47" s="3">
        <f t="shared" si="4"/>
        <v>0</v>
      </c>
      <c r="M47" s="3"/>
      <c r="N47" s="26">
        <f t="shared" si="5"/>
        <v>0</v>
      </c>
      <c r="O47" s="9"/>
      <c r="P47" s="3">
        <f>0</f>
        <v>0</v>
      </c>
      <c r="Q47" s="3"/>
      <c r="R47" s="26"/>
      <c r="S47" s="3"/>
      <c r="T47" s="3">
        <f>--1138.95</f>
        <v>1138.95</v>
      </c>
      <c r="U47" s="3"/>
      <c r="V47" s="26"/>
      <c r="W47" s="3"/>
      <c r="X47" s="3">
        <f t="shared" si="6"/>
        <v>-1138.95</v>
      </c>
      <c r="Y47" s="3"/>
      <c r="Z47" s="26">
        <f t="shared" si="7"/>
        <v>-1</v>
      </c>
    </row>
    <row r="48" spans="1:26" s="69" customFormat="1" ht="15" hidden="1" customHeight="1" outlineLevel="1" x14ac:dyDescent="0.3">
      <c r="A48" s="47"/>
      <c r="B48" s="9" t="str">
        <f>CONCATENATE("          ","4104"," - ","NON-TAXABLE SALES-DIGITAL TEXT")</f>
        <v xml:space="preserve">          4104 - NON-TAXABLE SALES-DIGITAL TEXT</v>
      </c>
      <c r="C48" s="9"/>
      <c r="D48" s="3">
        <f>0</f>
        <v>0</v>
      </c>
      <c r="E48" s="3"/>
      <c r="F48" s="26"/>
      <c r="G48" s="3"/>
      <c r="H48" s="3">
        <f>--695.53</f>
        <v>695.53</v>
      </c>
      <c r="I48" s="3"/>
      <c r="J48" s="26"/>
      <c r="K48" s="3"/>
      <c r="L48" s="3">
        <f t="shared" si="4"/>
        <v>-695.53</v>
      </c>
      <c r="M48" s="3"/>
      <c r="N48" s="26">
        <f t="shared" si="5"/>
        <v>-1</v>
      </c>
      <c r="O48" s="9"/>
      <c r="P48" s="3">
        <f>0</f>
        <v>0</v>
      </c>
      <c r="Q48" s="3"/>
      <c r="R48" s="26"/>
      <c r="S48" s="3"/>
      <c r="T48" s="3">
        <f>--491583.26</f>
        <v>491583.26</v>
      </c>
      <c r="U48" s="3"/>
      <c r="V48" s="26"/>
      <c r="W48" s="3"/>
      <c r="X48" s="3">
        <f t="shared" si="6"/>
        <v>-491583.26</v>
      </c>
      <c r="Y48" s="3"/>
      <c r="Z48" s="26">
        <f t="shared" si="7"/>
        <v>-1</v>
      </c>
    </row>
    <row r="49" spans="1:26" s="69" customFormat="1" ht="15" hidden="1" customHeight="1" outlineLevel="1" x14ac:dyDescent="0.3">
      <c r="A49" s="47"/>
      <c r="B49" s="9" t="str">
        <f>CONCATENATE("          ","4113"," - ","NON-TAXABLE SALES-TRADE BOOKS")</f>
        <v xml:space="preserve">          4113 - NON-TAXABLE SALES-TRADE BOOKS</v>
      </c>
      <c r="C49" s="9"/>
      <c r="D49" s="3">
        <f>0</f>
        <v>0</v>
      </c>
      <c r="E49" s="3"/>
      <c r="F49" s="26"/>
      <c r="G49" s="3"/>
      <c r="H49" s="3">
        <f>0</f>
        <v>0</v>
      </c>
      <c r="I49" s="3"/>
      <c r="J49" s="26"/>
      <c r="K49" s="3"/>
      <c r="L49" s="3">
        <f t="shared" si="4"/>
        <v>0</v>
      </c>
      <c r="M49" s="3"/>
      <c r="N49" s="26">
        <f t="shared" si="5"/>
        <v>0</v>
      </c>
      <c r="O49" s="9"/>
      <c r="P49" s="3">
        <f>0</f>
        <v>0</v>
      </c>
      <c r="Q49" s="3"/>
      <c r="R49" s="26"/>
      <c r="S49" s="3"/>
      <c r="T49" s="3">
        <f>--12127.25</f>
        <v>12127.25</v>
      </c>
      <c r="U49" s="3"/>
      <c r="V49" s="26"/>
      <c r="W49" s="3"/>
      <c r="X49" s="3">
        <f t="shared" si="6"/>
        <v>-12127.25</v>
      </c>
      <c r="Y49" s="3"/>
      <c r="Z49" s="26">
        <f t="shared" si="7"/>
        <v>-1</v>
      </c>
    </row>
    <row r="50" spans="1:26" s="69" customFormat="1" ht="15" hidden="1" customHeight="1" outlineLevel="1" x14ac:dyDescent="0.3">
      <c r="A50" s="47"/>
      <c r="B50" s="9" t="str">
        <f>CONCATENATE("          ","4118"," - ","NON-TAXABLE SALES-STUDY GUIDES")</f>
        <v xml:space="preserve">          4118 - NON-TAXABLE SALES-STUDY GUIDES</v>
      </c>
      <c r="C50" s="9"/>
      <c r="D50" s="3">
        <f>0</f>
        <v>0</v>
      </c>
      <c r="E50" s="3"/>
      <c r="F50" s="26"/>
      <c r="G50" s="3"/>
      <c r="H50" s="3">
        <f>--594.22</f>
        <v>594.22</v>
      </c>
      <c r="I50" s="3"/>
      <c r="J50" s="26"/>
      <c r="K50" s="3"/>
      <c r="L50" s="3">
        <f t="shared" si="4"/>
        <v>-594.22</v>
      </c>
      <c r="M50" s="3"/>
      <c r="N50" s="26">
        <f t="shared" si="5"/>
        <v>-1</v>
      </c>
      <c r="O50" s="9"/>
      <c r="P50" s="3">
        <f>0</f>
        <v>0</v>
      </c>
      <c r="Q50" s="3"/>
      <c r="R50" s="26"/>
      <c r="S50" s="3"/>
      <c r="T50" s="3">
        <f>--1365.95</f>
        <v>1365.95</v>
      </c>
      <c r="U50" s="3"/>
      <c r="V50" s="26"/>
      <c r="W50" s="3"/>
      <c r="X50" s="3">
        <f t="shared" si="6"/>
        <v>-1365.95</v>
      </c>
      <c r="Y50" s="3"/>
      <c r="Z50" s="26">
        <f t="shared" si="7"/>
        <v>-1</v>
      </c>
    </row>
    <row r="51" spans="1:26" s="69" customFormat="1" ht="15" hidden="1" customHeight="1" outlineLevel="1" x14ac:dyDescent="0.3">
      <c r="A51" s="47"/>
      <c r="B51" s="9" t="str">
        <f>CONCATENATE("          ","4126"," - ","NON-TAXABLE SALES-WRITING INST")</f>
        <v xml:space="preserve">          4126 - NON-TAXABLE SALES-WRITING INST</v>
      </c>
      <c r="C51" s="9"/>
      <c r="D51" s="3">
        <f>0</f>
        <v>0</v>
      </c>
      <c r="E51" s="3"/>
      <c r="F51" s="26"/>
      <c r="G51" s="3"/>
      <c r="H51" s="3">
        <f>0</f>
        <v>0</v>
      </c>
      <c r="I51" s="3"/>
      <c r="J51" s="26"/>
      <c r="K51" s="3"/>
      <c r="L51" s="3">
        <f t="shared" si="4"/>
        <v>0</v>
      </c>
      <c r="M51" s="3"/>
      <c r="N51" s="26">
        <f t="shared" si="5"/>
        <v>0</v>
      </c>
      <c r="O51" s="9"/>
      <c r="P51" s="3">
        <f>0</f>
        <v>0</v>
      </c>
      <c r="Q51" s="3"/>
      <c r="R51" s="26"/>
      <c r="S51" s="3"/>
      <c r="T51" s="3">
        <f>--52.68</f>
        <v>52.68</v>
      </c>
      <c r="U51" s="3"/>
      <c r="V51" s="26"/>
      <c r="W51" s="3"/>
      <c r="X51" s="3">
        <f t="shared" si="6"/>
        <v>-52.68</v>
      </c>
      <c r="Y51" s="3"/>
      <c r="Z51" s="26">
        <f t="shared" si="7"/>
        <v>-1</v>
      </c>
    </row>
    <row r="52" spans="1:26" s="69" customFormat="1" ht="15" hidden="1" customHeight="1" outlineLevel="1" x14ac:dyDescent="0.3">
      <c r="A52" s="47"/>
      <c r="B52" s="9" t="str">
        <f>CONCATENATE("          ","4127"," - ","NON-TAXABLE SALES-SCHOOL SUPPL")</f>
        <v xml:space="preserve">          4127 - NON-TAXABLE SALES-SCHOOL SUPPL</v>
      </c>
      <c r="C52" s="9"/>
      <c r="D52" s="3">
        <f>0</f>
        <v>0</v>
      </c>
      <c r="E52" s="3"/>
      <c r="F52" s="26"/>
      <c r="G52" s="3"/>
      <c r="H52" s="3">
        <f>--99.87</f>
        <v>99.87</v>
      </c>
      <c r="I52" s="3"/>
      <c r="J52" s="26"/>
      <c r="K52" s="3"/>
      <c r="L52" s="3">
        <f t="shared" si="4"/>
        <v>-99.87</v>
      </c>
      <c r="M52" s="3"/>
      <c r="N52" s="26">
        <f t="shared" si="5"/>
        <v>-1</v>
      </c>
      <c r="O52" s="9"/>
      <c r="P52" s="3">
        <f>0</f>
        <v>0</v>
      </c>
      <c r="Q52" s="3"/>
      <c r="R52" s="26"/>
      <c r="S52" s="3"/>
      <c r="T52" s="3">
        <f>--7748.6</f>
        <v>7748.6</v>
      </c>
      <c r="U52" s="3"/>
      <c r="V52" s="26"/>
      <c r="W52" s="3"/>
      <c r="X52" s="3">
        <f t="shared" si="6"/>
        <v>-7748.6</v>
      </c>
      <c r="Y52" s="3"/>
      <c r="Z52" s="26">
        <f t="shared" si="7"/>
        <v>-1</v>
      </c>
    </row>
    <row r="53" spans="1:26" s="69" customFormat="1" ht="15" hidden="1" customHeight="1" outlineLevel="1" x14ac:dyDescent="0.3">
      <c r="A53" s="47"/>
      <c r="B53" s="9" t="str">
        <f>CONCATENATE("          ","4128"," - ","NON-TAXABLE SALES-ART/TECH")</f>
        <v xml:space="preserve">          4128 - NON-TAXABLE SALES-ART/TECH</v>
      </c>
      <c r="C53" s="9"/>
      <c r="D53" s="3">
        <f>0</f>
        <v>0</v>
      </c>
      <c r="E53" s="3"/>
      <c r="F53" s="26"/>
      <c r="G53" s="3"/>
      <c r="H53" s="3">
        <f>0</f>
        <v>0</v>
      </c>
      <c r="I53" s="3"/>
      <c r="J53" s="26"/>
      <c r="K53" s="3"/>
      <c r="L53" s="3">
        <f t="shared" si="4"/>
        <v>0</v>
      </c>
      <c r="M53" s="3"/>
      <c r="N53" s="26">
        <f t="shared" si="5"/>
        <v>0</v>
      </c>
      <c r="O53" s="9"/>
      <c r="P53" s="3">
        <f>0</f>
        <v>0</v>
      </c>
      <c r="Q53" s="3"/>
      <c r="R53" s="26"/>
      <c r="S53" s="3"/>
      <c r="T53" s="3">
        <f>--115.91</f>
        <v>115.91</v>
      </c>
      <c r="U53" s="3"/>
      <c r="V53" s="26"/>
      <c r="W53" s="3"/>
      <c r="X53" s="3">
        <f t="shared" si="6"/>
        <v>-115.91</v>
      </c>
      <c r="Y53" s="3"/>
      <c r="Z53" s="26">
        <f t="shared" si="7"/>
        <v>-1</v>
      </c>
    </row>
    <row r="54" spans="1:26" s="69" customFormat="1" ht="15" hidden="1" customHeight="1" outlineLevel="1" x14ac:dyDescent="0.3">
      <c r="A54" s="47"/>
      <c r="B54" s="9" t="str">
        <f>CONCATENATE("          ","4131"," - ","NON-TAXABLE SALES-FOOD")</f>
        <v xml:space="preserve">          4131 - NON-TAXABLE SALES-FOOD</v>
      </c>
      <c r="C54" s="9"/>
      <c r="D54" s="3">
        <f>0</f>
        <v>0</v>
      </c>
      <c r="E54" s="3"/>
      <c r="F54" s="26"/>
      <c r="G54" s="3"/>
      <c r="H54" s="3">
        <f>--540.62</f>
        <v>540.62</v>
      </c>
      <c r="I54" s="3"/>
      <c r="J54" s="26"/>
      <c r="K54" s="3"/>
      <c r="L54" s="3">
        <f t="shared" si="4"/>
        <v>-540.62</v>
      </c>
      <c r="M54" s="3"/>
      <c r="N54" s="26">
        <f t="shared" si="5"/>
        <v>-1</v>
      </c>
      <c r="O54" s="9"/>
      <c r="P54" s="3">
        <f>0</f>
        <v>0</v>
      </c>
      <c r="Q54" s="3"/>
      <c r="R54" s="26"/>
      <c r="S54" s="3"/>
      <c r="T54" s="3">
        <f>--12696.76</f>
        <v>12696.76</v>
      </c>
      <c r="U54" s="3"/>
      <c r="V54" s="26"/>
      <c r="W54" s="3"/>
      <c r="X54" s="3">
        <f t="shared" si="6"/>
        <v>-12696.76</v>
      </c>
      <c r="Y54" s="3"/>
      <c r="Z54" s="26">
        <f t="shared" si="7"/>
        <v>-1</v>
      </c>
    </row>
    <row r="55" spans="1:26" s="69" customFormat="1" ht="15" hidden="1" customHeight="1" outlineLevel="1" x14ac:dyDescent="0.3">
      <c r="A55" s="47"/>
      <c r="B55" s="9" t="str">
        <f>CONCATENATE("          ","4132"," - ","NON-TAXABLE SALES-JUICE")</f>
        <v xml:space="preserve">          4132 - NON-TAXABLE SALES-JUICE</v>
      </c>
      <c r="C55" s="9"/>
      <c r="D55" s="3">
        <f>0</f>
        <v>0</v>
      </c>
      <c r="E55" s="3"/>
      <c r="F55" s="26"/>
      <c r="G55" s="3"/>
      <c r="H55" s="3">
        <f>0</f>
        <v>0</v>
      </c>
      <c r="I55" s="3"/>
      <c r="J55" s="26"/>
      <c r="K55" s="3"/>
      <c r="L55" s="3">
        <f t="shared" si="4"/>
        <v>0</v>
      </c>
      <c r="M55" s="3"/>
      <c r="N55" s="26">
        <f t="shared" si="5"/>
        <v>0</v>
      </c>
      <c r="O55" s="9"/>
      <c r="P55" s="3">
        <f>0</f>
        <v>0</v>
      </c>
      <c r="Q55" s="3"/>
      <c r="R55" s="26"/>
      <c r="S55" s="3"/>
      <c r="T55" s="3">
        <f>--2054.37</f>
        <v>2054.37</v>
      </c>
      <c r="U55" s="3"/>
      <c r="V55" s="26"/>
      <c r="W55" s="3"/>
      <c r="X55" s="3">
        <f t="shared" si="6"/>
        <v>-2054.37</v>
      </c>
      <c r="Y55" s="3"/>
      <c r="Z55" s="26">
        <f t="shared" si="7"/>
        <v>-1</v>
      </c>
    </row>
    <row r="56" spans="1:26" s="69" customFormat="1" ht="15" hidden="1" customHeight="1" outlineLevel="1" x14ac:dyDescent="0.3">
      <c r="A56" s="47"/>
      <c r="B56" s="9" t="str">
        <f>CONCATENATE("          ","4133"," - ","NON-TAXABLE SALES-CANDY")</f>
        <v xml:space="preserve">          4133 - NON-TAXABLE SALES-CANDY</v>
      </c>
      <c r="C56" s="9"/>
      <c r="D56" s="3">
        <f>0</f>
        <v>0</v>
      </c>
      <c r="E56" s="3"/>
      <c r="F56" s="26"/>
      <c r="G56" s="3"/>
      <c r="H56" s="3">
        <f>0</f>
        <v>0</v>
      </c>
      <c r="I56" s="3"/>
      <c r="J56" s="26"/>
      <c r="K56" s="3"/>
      <c r="L56" s="3">
        <f t="shared" si="4"/>
        <v>0</v>
      </c>
      <c r="M56" s="3"/>
      <c r="N56" s="26">
        <f t="shared" si="5"/>
        <v>0</v>
      </c>
      <c r="O56" s="9"/>
      <c r="P56" s="3">
        <f>0</f>
        <v>0</v>
      </c>
      <c r="Q56" s="3"/>
      <c r="R56" s="26"/>
      <c r="S56" s="3"/>
      <c r="T56" s="3">
        <f>--80.71</f>
        <v>80.709999999999994</v>
      </c>
      <c r="U56" s="3"/>
      <c r="V56" s="26"/>
      <c r="W56" s="3"/>
      <c r="X56" s="3">
        <f t="shared" si="6"/>
        <v>-80.709999999999994</v>
      </c>
      <c r="Y56" s="3"/>
      <c r="Z56" s="26">
        <f t="shared" si="7"/>
        <v>-1</v>
      </c>
    </row>
    <row r="57" spans="1:26" s="69" customFormat="1" ht="15" hidden="1" customHeight="1" outlineLevel="1" x14ac:dyDescent="0.3">
      <c r="A57" s="47"/>
      <c r="B57" s="9" t="str">
        <f>CONCATENATE("          ","4134"," - ","NON-TAXABLE SALES-SODA")</f>
        <v xml:space="preserve">          4134 - NON-TAXABLE SALES-SODA</v>
      </c>
      <c r="C57" s="9"/>
      <c r="D57" s="3">
        <f>0</f>
        <v>0</v>
      </c>
      <c r="E57" s="3"/>
      <c r="F57" s="26"/>
      <c r="G57" s="3"/>
      <c r="H57" s="3">
        <f>0</f>
        <v>0</v>
      </c>
      <c r="I57" s="3"/>
      <c r="J57" s="26"/>
      <c r="K57" s="3"/>
      <c r="L57" s="3">
        <f t="shared" si="4"/>
        <v>0</v>
      </c>
      <c r="M57" s="3"/>
      <c r="N57" s="26">
        <f t="shared" si="5"/>
        <v>0</v>
      </c>
      <c r="O57" s="9"/>
      <c r="P57" s="3">
        <f>0</f>
        <v>0</v>
      </c>
      <c r="Q57" s="3"/>
      <c r="R57" s="26"/>
      <c r="S57" s="3"/>
      <c r="T57" s="3">
        <f>--45.53</f>
        <v>45.53</v>
      </c>
      <c r="U57" s="3"/>
      <c r="V57" s="26"/>
      <c r="W57" s="3"/>
      <c r="X57" s="3">
        <f t="shared" si="6"/>
        <v>-45.53</v>
      </c>
      <c r="Y57" s="3"/>
      <c r="Z57" s="26">
        <f t="shared" si="7"/>
        <v>-1</v>
      </c>
    </row>
    <row r="58" spans="1:26" s="69" customFormat="1" ht="15" hidden="1" customHeight="1" outlineLevel="1" x14ac:dyDescent="0.3">
      <c r="A58" s="47"/>
      <c r="B58" s="9" t="str">
        <f>CONCATENATE("          ","4137"," - ","NON-TAXABLE SALES-WATER")</f>
        <v xml:space="preserve">          4137 - NON-TAXABLE SALES-WATER</v>
      </c>
      <c r="C58" s="9"/>
      <c r="D58" s="3">
        <f>0</f>
        <v>0</v>
      </c>
      <c r="E58" s="3"/>
      <c r="F58" s="26"/>
      <c r="G58" s="3"/>
      <c r="H58" s="3">
        <f>0</f>
        <v>0</v>
      </c>
      <c r="I58" s="3"/>
      <c r="J58" s="26"/>
      <c r="K58" s="3"/>
      <c r="L58" s="3">
        <f t="shared" si="4"/>
        <v>0</v>
      </c>
      <c r="M58" s="3"/>
      <c r="N58" s="26">
        <f t="shared" si="5"/>
        <v>0</v>
      </c>
      <c r="O58" s="9"/>
      <c r="P58" s="3">
        <f>0</f>
        <v>0</v>
      </c>
      <c r="Q58" s="3"/>
      <c r="R58" s="26"/>
      <c r="S58" s="3"/>
      <c r="T58" s="3">
        <f>--68.25</f>
        <v>68.25</v>
      </c>
      <c r="U58" s="3"/>
      <c r="V58" s="26"/>
      <c r="W58" s="3"/>
      <c r="X58" s="3">
        <f t="shared" si="6"/>
        <v>-68.25</v>
      </c>
      <c r="Y58" s="3"/>
      <c r="Z58" s="26">
        <f t="shared" si="7"/>
        <v>-1</v>
      </c>
    </row>
    <row r="59" spans="1:26" s="69" customFormat="1" ht="15" hidden="1" customHeight="1" outlineLevel="1" x14ac:dyDescent="0.3">
      <c r="A59" s="47"/>
      <c r="B59" s="9" t="str">
        <f>CONCATENATE("          ","4140"," - ","NON-TAXABLE SALES-LOGO CLOTHIN")</f>
        <v xml:space="preserve">          4140 - NON-TAXABLE SALES-LOGO CLOTHIN</v>
      </c>
      <c r="C59" s="9"/>
      <c r="D59" s="3">
        <f>0</f>
        <v>0</v>
      </c>
      <c r="E59" s="3"/>
      <c r="F59" s="26"/>
      <c r="G59" s="3"/>
      <c r="H59" s="3">
        <f>--9520.45</f>
        <v>9520.4500000000007</v>
      </c>
      <c r="I59" s="3"/>
      <c r="J59" s="26"/>
      <c r="K59" s="3"/>
      <c r="L59" s="3">
        <f t="shared" si="4"/>
        <v>-9520.4500000000007</v>
      </c>
      <c r="M59" s="3"/>
      <c r="N59" s="26">
        <f t="shared" si="5"/>
        <v>-1</v>
      </c>
      <c r="O59" s="9"/>
      <c r="P59" s="3">
        <f>0</f>
        <v>0</v>
      </c>
      <c r="Q59" s="3"/>
      <c r="R59" s="26"/>
      <c r="S59" s="3"/>
      <c r="T59" s="3">
        <f>--181046.21</f>
        <v>181046.21</v>
      </c>
      <c r="U59" s="3"/>
      <c r="V59" s="26"/>
      <c r="W59" s="3"/>
      <c r="X59" s="3">
        <f t="shared" si="6"/>
        <v>-181046.21</v>
      </c>
      <c r="Y59" s="3"/>
      <c r="Z59" s="26">
        <f t="shared" si="7"/>
        <v>-1</v>
      </c>
    </row>
    <row r="60" spans="1:26" s="69" customFormat="1" ht="15" hidden="1" customHeight="1" outlineLevel="1" x14ac:dyDescent="0.3">
      <c r="A60" s="47"/>
      <c r="B60" s="9" t="str">
        <f>CONCATENATE("          ","4141"," - ","NON-TAXABLE SALES-LOGO GIFTS")</f>
        <v xml:space="preserve">          4141 - NON-TAXABLE SALES-LOGO GIFTS</v>
      </c>
      <c r="C60" s="9"/>
      <c r="D60" s="3">
        <f>0</f>
        <v>0</v>
      </c>
      <c r="E60" s="3"/>
      <c r="F60" s="26"/>
      <c r="G60" s="3"/>
      <c r="H60" s="3">
        <f>-25127.54</f>
        <v>-25127.54</v>
      </c>
      <c r="I60" s="3"/>
      <c r="J60" s="26"/>
      <c r="K60" s="3"/>
      <c r="L60" s="3">
        <f t="shared" si="4"/>
        <v>25127.54</v>
      </c>
      <c r="M60" s="3"/>
      <c r="N60" s="26">
        <f t="shared" si="5"/>
        <v>-1</v>
      </c>
      <c r="O60" s="9"/>
      <c r="P60" s="3">
        <f>0</f>
        <v>0</v>
      </c>
      <c r="Q60" s="3"/>
      <c r="R60" s="26"/>
      <c r="S60" s="3"/>
      <c r="T60" s="3">
        <f>--14028.49</f>
        <v>14028.49</v>
      </c>
      <c r="U60" s="3"/>
      <c r="V60" s="26"/>
      <c r="W60" s="3"/>
      <c r="X60" s="3">
        <f t="shared" si="6"/>
        <v>-14028.49</v>
      </c>
      <c r="Y60" s="3"/>
      <c r="Z60" s="26">
        <f t="shared" si="7"/>
        <v>-1</v>
      </c>
    </row>
    <row r="61" spans="1:26" s="69" customFormat="1" ht="15" hidden="1" customHeight="1" outlineLevel="1" x14ac:dyDescent="0.3">
      <c r="A61" s="47"/>
      <c r="B61" s="9" t="str">
        <f>CONCATENATE("          ","4142"," - ","NON-TAXABLE SALES-EVERYDAY GIF")</f>
        <v xml:space="preserve">          4142 - NON-TAXABLE SALES-EVERYDAY GIF</v>
      </c>
      <c r="C61" s="9"/>
      <c r="D61" s="3">
        <f>0</f>
        <v>0</v>
      </c>
      <c r="E61" s="3"/>
      <c r="F61" s="26"/>
      <c r="G61" s="3"/>
      <c r="H61" s="3">
        <f>--54.07</f>
        <v>54.07</v>
      </c>
      <c r="I61" s="3"/>
      <c r="J61" s="26"/>
      <c r="K61" s="3"/>
      <c r="L61" s="3">
        <f t="shared" si="4"/>
        <v>-54.07</v>
      </c>
      <c r="M61" s="3"/>
      <c r="N61" s="26">
        <f t="shared" si="5"/>
        <v>-1</v>
      </c>
      <c r="O61" s="9"/>
      <c r="P61" s="3">
        <f>0</f>
        <v>0</v>
      </c>
      <c r="Q61" s="3"/>
      <c r="R61" s="26"/>
      <c r="S61" s="3"/>
      <c r="T61" s="3">
        <f>--2658.52</f>
        <v>2658.52</v>
      </c>
      <c r="U61" s="3"/>
      <c r="V61" s="26"/>
      <c r="W61" s="3"/>
      <c r="X61" s="3">
        <f t="shared" si="6"/>
        <v>-2658.52</v>
      </c>
      <c r="Y61" s="3"/>
      <c r="Z61" s="26">
        <f t="shared" si="7"/>
        <v>-1</v>
      </c>
    </row>
    <row r="62" spans="1:26" s="69" customFormat="1" ht="15" hidden="1" customHeight="1" outlineLevel="1" x14ac:dyDescent="0.3">
      <c r="A62" s="47"/>
      <c r="B62" s="9" t="str">
        <f>CONCATENATE("          ","4143"," - ","NON-TAXABLE SALES-CARDS")</f>
        <v xml:space="preserve">          4143 - NON-TAXABLE SALES-CARDS</v>
      </c>
      <c r="C62" s="9"/>
      <c r="D62" s="3">
        <f>0</f>
        <v>0</v>
      </c>
      <c r="E62" s="3"/>
      <c r="F62" s="26"/>
      <c r="G62" s="3"/>
      <c r="H62" s="3">
        <f>--9.95</f>
        <v>9.9499999999999993</v>
      </c>
      <c r="I62" s="3"/>
      <c r="J62" s="26"/>
      <c r="K62" s="3"/>
      <c r="L62" s="3">
        <f t="shared" si="4"/>
        <v>-9.9499999999999993</v>
      </c>
      <c r="M62" s="3"/>
      <c r="N62" s="26">
        <f t="shared" si="5"/>
        <v>-1</v>
      </c>
      <c r="O62" s="9"/>
      <c r="P62" s="3">
        <f>0</f>
        <v>0</v>
      </c>
      <c r="Q62" s="3"/>
      <c r="R62" s="26"/>
      <c r="S62" s="3"/>
      <c r="T62" s="3">
        <f>--2562.11</f>
        <v>2562.11</v>
      </c>
      <c r="U62" s="3"/>
      <c r="V62" s="26"/>
      <c r="W62" s="3"/>
      <c r="X62" s="3">
        <f t="shared" si="6"/>
        <v>-2562.11</v>
      </c>
      <c r="Y62" s="3"/>
      <c r="Z62" s="26">
        <f t="shared" si="7"/>
        <v>-1</v>
      </c>
    </row>
    <row r="63" spans="1:26" s="69" customFormat="1" ht="15" hidden="1" customHeight="1" outlineLevel="1" x14ac:dyDescent="0.3">
      <c r="A63" s="47"/>
      <c r="B63" s="9" t="str">
        <f>CONCATENATE("          ","4144"," - ","NON-TAXABLE SALES-ACCESSORIES")</f>
        <v xml:space="preserve">          4144 - NON-TAXABLE SALES-ACCESSORIES</v>
      </c>
      <c r="C63" s="9"/>
      <c r="D63" s="3">
        <f>0</f>
        <v>0</v>
      </c>
      <c r="E63" s="3"/>
      <c r="F63" s="26"/>
      <c r="G63" s="3"/>
      <c r="H63" s="3">
        <f>--129.75</f>
        <v>129.75</v>
      </c>
      <c r="I63" s="3"/>
      <c r="J63" s="26"/>
      <c r="K63" s="3"/>
      <c r="L63" s="3">
        <f t="shared" si="4"/>
        <v>-129.75</v>
      </c>
      <c r="M63" s="3"/>
      <c r="N63" s="26">
        <f t="shared" si="5"/>
        <v>-1</v>
      </c>
      <c r="O63" s="9"/>
      <c r="P63" s="3">
        <f>0</f>
        <v>0</v>
      </c>
      <c r="Q63" s="3"/>
      <c r="R63" s="26"/>
      <c r="S63" s="3"/>
      <c r="T63" s="3">
        <f>--1003.55</f>
        <v>1003.55</v>
      </c>
      <c r="U63" s="3"/>
      <c r="V63" s="26"/>
      <c r="W63" s="3"/>
      <c r="X63" s="3">
        <f t="shared" si="6"/>
        <v>-1003.55</v>
      </c>
      <c r="Y63" s="3"/>
      <c r="Z63" s="26">
        <f t="shared" si="7"/>
        <v>-1</v>
      </c>
    </row>
    <row r="64" spans="1:26" s="69" customFormat="1" ht="15" hidden="1" customHeight="1" outlineLevel="1" x14ac:dyDescent="0.3">
      <c r="A64" s="47"/>
      <c r="B64" s="9" t="str">
        <f>CONCATENATE("          ","4145"," - ","NON-TAXABLE SALES-SPECIAL ORDE")</f>
        <v xml:space="preserve">          4145 - NON-TAXABLE SALES-SPECIAL ORDE</v>
      </c>
      <c r="C64" s="9"/>
      <c r="D64" s="3">
        <f>0</f>
        <v>0</v>
      </c>
      <c r="E64" s="3"/>
      <c r="F64" s="26"/>
      <c r="G64" s="3"/>
      <c r="H64" s="3">
        <f>--30</f>
        <v>30</v>
      </c>
      <c r="I64" s="3"/>
      <c r="J64" s="26"/>
      <c r="K64" s="3"/>
      <c r="L64" s="3">
        <f t="shared" si="4"/>
        <v>-30</v>
      </c>
      <c r="M64" s="3"/>
      <c r="N64" s="26">
        <f t="shared" si="5"/>
        <v>-1</v>
      </c>
      <c r="O64" s="9"/>
      <c r="P64" s="3">
        <f>0</f>
        <v>0</v>
      </c>
      <c r="Q64" s="3"/>
      <c r="R64" s="26"/>
      <c r="S64" s="3"/>
      <c r="T64" s="3">
        <f>--74096.89</f>
        <v>74096.89</v>
      </c>
      <c r="U64" s="3"/>
      <c r="V64" s="26"/>
      <c r="W64" s="3"/>
      <c r="X64" s="3">
        <f t="shared" si="6"/>
        <v>-74096.89</v>
      </c>
      <c r="Y64" s="3"/>
      <c r="Z64" s="26">
        <f t="shared" si="7"/>
        <v>-1</v>
      </c>
    </row>
    <row r="65" spans="1:26" s="69" customFormat="1" ht="15" hidden="1" customHeight="1" outlineLevel="1" x14ac:dyDescent="0.3">
      <c r="A65" s="47"/>
      <c r="B65" s="9" t="str">
        <f>CONCATENATE("          ","4146"," - ","NON-TAXABLE SALES-COIN OP MACH")</f>
        <v xml:space="preserve">          4146 - NON-TAXABLE SALES-COIN OP MACH</v>
      </c>
      <c r="C65" s="9"/>
      <c r="D65" s="3">
        <f>0</f>
        <v>0</v>
      </c>
      <c r="E65" s="3"/>
      <c r="F65" s="26"/>
      <c r="G65" s="3"/>
      <c r="H65" s="3">
        <f>--282.2</f>
        <v>282.2</v>
      </c>
      <c r="I65" s="3"/>
      <c r="J65" s="26"/>
      <c r="K65" s="3"/>
      <c r="L65" s="3">
        <f t="shared" si="4"/>
        <v>-282.2</v>
      </c>
      <c r="M65" s="3"/>
      <c r="N65" s="26">
        <f t="shared" si="5"/>
        <v>-1</v>
      </c>
      <c r="O65" s="9"/>
      <c r="P65" s="3">
        <f>0</f>
        <v>0</v>
      </c>
      <c r="Q65" s="3"/>
      <c r="R65" s="26"/>
      <c r="S65" s="3"/>
      <c r="T65" s="3">
        <f>--668.1</f>
        <v>668.1</v>
      </c>
      <c r="U65" s="3"/>
      <c r="V65" s="26"/>
      <c r="W65" s="3"/>
      <c r="X65" s="3">
        <f t="shared" si="6"/>
        <v>-668.1</v>
      </c>
      <c r="Y65" s="3"/>
      <c r="Z65" s="26">
        <f t="shared" si="7"/>
        <v>-1</v>
      </c>
    </row>
    <row r="66" spans="1:26" s="69" customFormat="1" ht="15" hidden="1" customHeight="1" outlineLevel="1" x14ac:dyDescent="0.3">
      <c r="A66" s="47"/>
      <c r="B66" s="9" t="str">
        <f>CONCATENATE("          ","4147"," - ","NON-TAXABLE SALES-MISC")</f>
        <v xml:space="preserve">          4147 - NON-TAXABLE SALES-MISC</v>
      </c>
      <c r="C66" s="9"/>
      <c r="D66" s="3">
        <f>0</f>
        <v>0</v>
      </c>
      <c r="E66" s="3"/>
      <c r="F66" s="26"/>
      <c r="G66" s="3"/>
      <c r="H66" s="3">
        <f>--4</f>
        <v>4</v>
      </c>
      <c r="I66" s="3"/>
      <c r="J66" s="26"/>
      <c r="K66" s="3"/>
      <c r="L66" s="3">
        <f t="shared" si="4"/>
        <v>-4</v>
      </c>
      <c r="M66" s="3"/>
      <c r="N66" s="26">
        <f t="shared" si="5"/>
        <v>-1</v>
      </c>
      <c r="O66" s="9"/>
      <c r="P66" s="3">
        <f>0</f>
        <v>0</v>
      </c>
      <c r="Q66" s="3"/>
      <c r="R66" s="26"/>
      <c r="S66" s="3"/>
      <c r="T66" s="3">
        <f>--172</f>
        <v>172</v>
      </c>
      <c r="U66" s="3"/>
      <c r="V66" s="26"/>
      <c r="W66" s="3"/>
      <c r="X66" s="3">
        <f t="shared" si="6"/>
        <v>-172</v>
      </c>
      <c r="Y66" s="3"/>
      <c r="Z66" s="26">
        <f t="shared" si="7"/>
        <v>-1</v>
      </c>
    </row>
    <row r="67" spans="1:26" s="69" customFormat="1" ht="15" hidden="1" customHeight="1" outlineLevel="1" x14ac:dyDescent="0.3">
      <c r="A67" s="47"/>
      <c r="B67" s="9" t="str">
        <f>CONCATENATE("          ","4151"," - ","NON-TAXABLE SALES-FOOD")</f>
        <v xml:space="preserve">          4151 - NON-TAXABLE SALES-FOOD</v>
      </c>
      <c r="C67" s="9"/>
      <c r="D67" s="3">
        <f>--183490.71</f>
        <v>183490.71</v>
      </c>
      <c r="E67" s="3"/>
      <c r="F67" s="26"/>
      <c r="G67" s="3"/>
      <c r="H67" s="3">
        <f>--34861.45</f>
        <v>34861.449999999997</v>
      </c>
      <c r="I67" s="3"/>
      <c r="J67" s="26"/>
      <c r="K67" s="3"/>
      <c r="L67" s="3">
        <f t="shared" si="4"/>
        <v>148629.26</v>
      </c>
      <c r="M67" s="3"/>
      <c r="N67" s="26">
        <f t="shared" si="5"/>
        <v>4.263427367478978</v>
      </c>
      <c r="O67" s="9"/>
      <c r="P67" s="3">
        <f>--12808478.17</f>
        <v>12808478.17</v>
      </c>
      <c r="Q67" s="3"/>
      <c r="R67" s="26"/>
      <c r="S67" s="3"/>
      <c r="T67" s="3">
        <f>--1013188.44</f>
        <v>1013188.44</v>
      </c>
      <c r="U67" s="3"/>
      <c r="V67" s="26"/>
      <c r="W67" s="3"/>
      <c r="X67" s="3">
        <f t="shared" si="6"/>
        <v>11795289.73</v>
      </c>
      <c r="Y67" s="3"/>
      <c r="Z67" s="26">
        <f t="shared" si="7"/>
        <v>11.641753166864005</v>
      </c>
    </row>
    <row r="68" spans="1:26" s="69" customFormat="1" ht="15" hidden="1" customHeight="1" outlineLevel="1" x14ac:dyDescent="0.3">
      <c r="A68" s="47"/>
      <c r="B68" s="9" t="str">
        <f>CONCATENATE("          ","4152"," - ","NON-TAXABLE SALES-FOOD")</f>
        <v xml:space="preserve">          4152 - NON-TAXABLE SALES-FOOD</v>
      </c>
      <c r="C68" s="9"/>
      <c r="D68" s="3">
        <f>0</f>
        <v>0</v>
      </c>
      <c r="E68" s="3"/>
      <c r="F68" s="26"/>
      <c r="G68" s="3"/>
      <c r="H68" s="3">
        <f>-11580.95</f>
        <v>-11580.95</v>
      </c>
      <c r="I68" s="3"/>
      <c r="J68" s="26"/>
      <c r="K68" s="3"/>
      <c r="L68" s="3">
        <f t="shared" si="4"/>
        <v>11580.95</v>
      </c>
      <c r="M68" s="3"/>
      <c r="N68" s="26">
        <f t="shared" si="5"/>
        <v>-1</v>
      </c>
      <c r="O68" s="9"/>
      <c r="P68" s="3">
        <f>0</f>
        <v>0</v>
      </c>
      <c r="Q68" s="3"/>
      <c r="R68" s="26"/>
      <c r="S68" s="3"/>
      <c r="T68" s="3">
        <f>0</f>
        <v>0</v>
      </c>
      <c r="U68" s="3"/>
      <c r="V68" s="26"/>
      <c r="W68" s="3"/>
      <c r="X68" s="3">
        <f t="shared" si="6"/>
        <v>0</v>
      </c>
      <c r="Y68" s="3"/>
      <c r="Z68" s="26">
        <f t="shared" si="7"/>
        <v>0</v>
      </c>
    </row>
    <row r="69" spans="1:26" s="69" customFormat="1" ht="15" hidden="1" customHeight="1" outlineLevel="1" x14ac:dyDescent="0.3">
      <c r="A69" s="47"/>
      <c r="B69" s="9" t="str">
        <f>CONCATENATE("          ","4153"," - ","NON-TAXABLE SALES-FOOD")</f>
        <v xml:space="preserve">          4153 - NON-TAXABLE SALES-FOOD</v>
      </c>
      <c r="C69" s="9"/>
      <c r="D69" s="3">
        <f>--1126.52</f>
        <v>1126.52</v>
      </c>
      <c r="E69" s="3"/>
      <c r="F69" s="26"/>
      <c r="G69" s="3"/>
      <c r="H69" s="3">
        <f>--2535.62</f>
        <v>2535.62</v>
      </c>
      <c r="I69" s="3"/>
      <c r="J69" s="26"/>
      <c r="K69" s="3"/>
      <c r="L69" s="3">
        <f t="shared" si="4"/>
        <v>-1409.1</v>
      </c>
      <c r="M69" s="3"/>
      <c r="N69" s="26">
        <f t="shared" si="5"/>
        <v>-0.5557220719192939</v>
      </c>
      <c r="O69" s="9"/>
      <c r="P69" s="3">
        <f>--119241.51</f>
        <v>119241.51</v>
      </c>
      <c r="Q69" s="3"/>
      <c r="R69" s="26"/>
      <c r="S69" s="3"/>
      <c r="T69" s="3">
        <f>--53270.39</f>
        <v>53270.39</v>
      </c>
      <c r="U69" s="3"/>
      <c r="V69" s="26"/>
      <c r="W69" s="3"/>
      <c r="X69" s="3">
        <f t="shared" si="6"/>
        <v>65971.12</v>
      </c>
      <c r="Y69" s="3"/>
      <c r="Z69" s="26">
        <f t="shared" si="7"/>
        <v>1.2384200678838657</v>
      </c>
    </row>
    <row r="70" spans="1:26" s="69" customFormat="1" ht="15" hidden="1" customHeight="1" outlineLevel="1" x14ac:dyDescent="0.3">
      <c r="A70" s="47"/>
      <c r="B70" s="9" t="str">
        <f>CONCATENATE("          ","4155"," - ","NON-TAXABLE SALES-FOOD")</f>
        <v xml:space="preserve">          4155 - NON-TAXABLE SALES-FOOD</v>
      </c>
      <c r="C70" s="9"/>
      <c r="D70" s="3">
        <f>0</f>
        <v>0</v>
      </c>
      <c r="E70" s="3"/>
      <c r="F70" s="26"/>
      <c r="G70" s="3"/>
      <c r="H70" s="3">
        <f>0</f>
        <v>0</v>
      </c>
      <c r="I70" s="3"/>
      <c r="J70" s="26"/>
      <c r="K70" s="3"/>
      <c r="L70" s="3">
        <f t="shared" si="4"/>
        <v>0</v>
      </c>
      <c r="M70" s="3"/>
      <c r="N70" s="26">
        <f t="shared" si="5"/>
        <v>0</v>
      </c>
      <c r="O70" s="9"/>
      <c r="P70" s="3">
        <f>--4683.41</f>
        <v>4683.41</v>
      </c>
      <c r="Q70" s="3"/>
      <c r="R70" s="26"/>
      <c r="S70" s="3"/>
      <c r="T70" s="3">
        <f>0</f>
        <v>0</v>
      </c>
      <c r="U70" s="3"/>
      <c r="V70" s="26"/>
      <c r="W70" s="3"/>
      <c r="X70" s="3">
        <f t="shared" si="6"/>
        <v>4683.41</v>
      </c>
      <c r="Y70" s="3"/>
      <c r="Z70" s="26">
        <f t="shared" si="7"/>
        <v>0</v>
      </c>
    </row>
    <row r="71" spans="1:26" s="69" customFormat="1" ht="15" hidden="1" customHeight="1" outlineLevel="1" x14ac:dyDescent="0.3">
      <c r="A71" s="47"/>
      <c r="B71" s="9" t="str">
        <f>CONCATENATE("          ","4181"," - ","NON-TAXABLE SALES-ELECTRONICS")</f>
        <v xml:space="preserve">          4181 - NON-TAXABLE SALES-ELECTRONICS</v>
      </c>
      <c r="C71" s="9"/>
      <c r="D71" s="3">
        <f>0</f>
        <v>0</v>
      </c>
      <c r="E71" s="3"/>
      <c r="F71" s="26"/>
      <c r="G71" s="3"/>
      <c r="H71" s="3">
        <f>--33.97</f>
        <v>33.97</v>
      </c>
      <c r="I71" s="3"/>
      <c r="J71" s="26"/>
      <c r="K71" s="3"/>
      <c r="L71" s="3">
        <f t="shared" si="4"/>
        <v>-33.97</v>
      </c>
      <c r="M71" s="3"/>
      <c r="N71" s="26">
        <f t="shared" si="5"/>
        <v>-1</v>
      </c>
      <c r="O71" s="9"/>
      <c r="P71" s="3">
        <f>0</f>
        <v>0</v>
      </c>
      <c r="Q71" s="3"/>
      <c r="R71" s="26"/>
      <c r="S71" s="3"/>
      <c r="T71" s="3">
        <f>--14322.55</f>
        <v>14322.55</v>
      </c>
      <c r="U71" s="3"/>
      <c r="V71" s="26"/>
      <c r="W71" s="3"/>
      <c r="X71" s="3">
        <f t="shared" si="6"/>
        <v>-14322.55</v>
      </c>
      <c r="Y71" s="3"/>
      <c r="Z71" s="26">
        <f t="shared" si="7"/>
        <v>-1</v>
      </c>
    </row>
    <row r="72" spans="1:26" s="69" customFormat="1" ht="15" hidden="1" customHeight="1" outlineLevel="1" x14ac:dyDescent="0.3">
      <c r="A72" s="47"/>
      <c r="B72" s="9" t="str">
        <f>CONCATENATE("          ","4182"," - ","NON-TAXABLE SALES-COMPUTER HAR")</f>
        <v xml:space="preserve">          4182 - NON-TAXABLE SALES-COMPUTER HAR</v>
      </c>
      <c r="C72" s="9"/>
      <c r="D72" s="3">
        <f>0</f>
        <v>0</v>
      </c>
      <c r="E72" s="3"/>
      <c r="F72" s="26"/>
      <c r="G72" s="3"/>
      <c r="H72" s="3">
        <f>--19892.86</f>
        <v>19892.86</v>
      </c>
      <c r="I72" s="3"/>
      <c r="J72" s="26"/>
      <c r="K72" s="3"/>
      <c r="L72" s="3">
        <f t="shared" si="4"/>
        <v>-19892.86</v>
      </c>
      <c r="M72" s="3"/>
      <c r="N72" s="26">
        <f t="shared" si="5"/>
        <v>-1</v>
      </c>
      <c r="O72" s="9"/>
      <c r="P72" s="3">
        <f>0</f>
        <v>0</v>
      </c>
      <c r="Q72" s="3"/>
      <c r="R72" s="26"/>
      <c r="S72" s="3"/>
      <c r="T72" s="3">
        <f>--367422.08</f>
        <v>367422.08</v>
      </c>
      <c r="U72" s="3"/>
      <c r="V72" s="26"/>
      <c r="W72" s="3"/>
      <c r="X72" s="3">
        <f t="shared" si="6"/>
        <v>-367422.08</v>
      </c>
      <c r="Y72" s="3"/>
      <c r="Z72" s="26">
        <f t="shared" si="7"/>
        <v>-1</v>
      </c>
    </row>
    <row r="73" spans="1:26" s="69" customFormat="1" ht="15" hidden="1" customHeight="1" outlineLevel="1" x14ac:dyDescent="0.3">
      <c r="A73" s="47"/>
      <c r="B73" s="9" t="str">
        <f>CONCATENATE("          ","4183"," - ","NON-TAXABLE SALES-COMPUTER EQU")</f>
        <v xml:space="preserve">          4183 - NON-TAXABLE SALES-COMPUTER EQU</v>
      </c>
      <c r="C73" s="9"/>
      <c r="D73" s="3">
        <f>0</f>
        <v>0</v>
      </c>
      <c r="E73" s="3"/>
      <c r="F73" s="26"/>
      <c r="G73" s="3"/>
      <c r="H73" s="3">
        <f>--1441.27</f>
        <v>1441.27</v>
      </c>
      <c r="I73" s="3"/>
      <c r="J73" s="26"/>
      <c r="K73" s="3"/>
      <c r="L73" s="3">
        <f t="shared" si="4"/>
        <v>-1441.27</v>
      </c>
      <c r="M73" s="3"/>
      <c r="N73" s="26">
        <f t="shared" si="5"/>
        <v>-1</v>
      </c>
      <c r="O73" s="9"/>
      <c r="P73" s="3">
        <f>0</f>
        <v>0</v>
      </c>
      <c r="Q73" s="3"/>
      <c r="R73" s="26"/>
      <c r="S73" s="3"/>
      <c r="T73" s="3">
        <f>--23887.02</f>
        <v>23887.02</v>
      </c>
      <c r="U73" s="3"/>
      <c r="V73" s="26"/>
      <c r="W73" s="3"/>
      <c r="X73" s="3">
        <f t="shared" si="6"/>
        <v>-23887.02</v>
      </c>
      <c r="Y73" s="3"/>
      <c r="Z73" s="26">
        <f t="shared" si="7"/>
        <v>-1</v>
      </c>
    </row>
    <row r="74" spans="1:26" s="69" customFormat="1" ht="15" hidden="1" customHeight="1" outlineLevel="1" x14ac:dyDescent="0.3">
      <c r="A74" s="47"/>
      <c r="B74" s="9" t="str">
        <f>CONCATENATE("          ","4185"," - ","NON-TAXABLE SALES-SOFTWARE")</f>
        <v xml:space="preserve">          4185 - NON-TAXABLE SALES-SOFTWARE</v>
      </c>
      <c r="C74" s="9"/>
      <c r="D74" s="3">
        <f>0</f>
        <v>0</v>
      </c>
      <c r="E74" s="3"/>
      <c r="F74" s="26"/>
      <c r="G74" s="3"/>
      <c r="H74" s="3">
        <f>--3849.74</f>
        <v>3849.74</v>
      </c>
      <c r="I74" s="3"/>
      <c r="J74" s="26"/>
      <c r="K74" s="3"/>
      <c r="L74" s="3">
        <f t="shared" si="4"/>
        <v>-3849.74</v>
      </c>
      <c r="M74" s="3"/>
      <c r="N74" s="26">
        <f t="shared" si="5"/>
        <v>-1</v>
      </c>
      <c r="O74" s="9"/>
      <c r="P74" s="3">
        <f>0</f>
        <v>0</v>
      </c>
      <c r="Q74" s="3"/>
      <c r="R74" s="26"/>
      <c r="S74" s="3"/>
      <c r="T74" s="3">
        <f>--59807.35</f>
        <v>59807.35</v>
      </c>
      <c r="U74" s="3"/>
      <c r="V74" s="26"/>
      <c r="W74" s="3"/>
      <c r="X74" s="3">
        <f t="shared" si="6"/>
        <v>-59807.35</v>
      </c>
      <c r="Y74" s="3"/>
      <c r="Z74" s="26">
        <f t="shared" si="7"/>
        <v>-1</v>
      </c>
    </row>
    <row r="75" spans="1:26" s="69" customFormat="1" ht="15" hidden="1" customHeight="1" outlineLevel="1" x14ac:dyDescent="0.3">
      <c r="A75" s="47"/>
      <c r="B75" s="9" t="str">
        <f>CONCATENATE("          ","4186"," - ","NON-TAXABLE SALES-COMPUTER SUP")</f>
        <v xml:space="preserve">          4186 - NON-TAXABLE SALES-COMPUTER SUP</v>
      </c>
      <c r="C75" s="9"/>
      <c r="D75" s="3">
        <f>0</f>
        <v>0</v>
      </c>
      <c r="E75" s="3"/>
      <c r="F75" s="26"/>
      <c r="G75" s="3"/>
      <c r="H75" s="3">
        <f>--317.9</f>
        <v>317.89999999999998</v>
      </c>
      <c r="I75" s="3"/>
      <c r="J75" s="26"/>
      <c r="K75" s="3"/>
      <c r="L75" s="3">
        <f t="shared" si="4"/>
        <v>-317.89999999999998</v>
      </c>
      <c r="M75" s="3"/>
      <c r="N75" s="26">
        <f t="shared" si="5"/>
        <v>-1</v>
      </c>
      <c r="O75" s="9"/>
      <c r="P75" s="3">
        <f>0</f>
        <v>0</v>
      </c>
      <c r="Q75" s="3"/>
      <c r="R75" s="26"/>
      <c r="S75" s="3"/>
      <c r="T75" s="3">
        <f>--3797.04</f>
        <v>3797.04</v>
      </c>
      <c r="U75" s="3"/>
      <c r="V75" s="26"/>
      <c r="W75" s="3"/>
      <c r="X75" s="3">
        <f t="shared" si="6"/>
        <v>-3797.04</v>
      </c>
      <c r="Y75" s="3"/>
      <c r="Z75" s="26">
        <f t="shared" si="7"/>
        <v>-1</v>
      </c>
    </row>
    <row r="76" spans="1:26" s="69" customFormat="1" ht="15" hidden="1" customHeight="1" outlineLevel="1" x14ac:dyDescent="0.3">
      <c r="A76" s="47"/>
      <c r="B76" s="9" t="str">
        <f>CONCATENATE("          ","4200"," - ","TAXABLE RETURNS")</f>
        <v xml:space="preserve">          4200 - TAXABLE RETURNS</v>
      </c>
      <c r="C76" s="9"/>
      <c r="D76" s="3">
        <f>-235863.53</f>
        <v>-235863.53</v>
      </c>
      <c r="E76" s="3"/>
      <c r="F76" s="26"/>
      <c r="G76" s="3"/>
      <c r="H76" s="3">
        <f>0</f>
        <v>0</v>
      </c>
      <c r="I76" s="3"/>
      <c r="J76" s="26"/>
      <c r="K76" s="3"/>
      <c r="L76" s="3">
        <f t="shared" ref="L76:L106" si="8">+D76-H76</f>
        <v>-235863.53</v>
      </c>
      <c r="M76" s="3"/>
      <c r="N76" s="26">
        <f t="shared" ref="N76:N106" si="9">IF(H76=0,0,L76/H76)</f>
        <v>0</v>
      </c>
      <c r="O76" s="9"/>
      <c r="P76" s="3">
        <f>-984039.13</f>
        <v>-984039.13</v>
      </c>
      <c r="Q76" s="3"/>
      <c r="R76" s="26"/>
      <c r="S76" s="3"/>
      <c r="T76" s="3">
        <f>0</f>
        <v>0</v>
      </c>
      <c r="U76" s="3"/>
      <c r="V76" s="26"/>
      <c r="W76" s="3"/>
      <c r="X76" s="3">
        <f t="shared" ref="X76:X106" si="10">+P76-T76</f>
        <v>-984039.13</v>
      </c>
      <c r="Y76" s="3"/>
      <c r="Z76" s="26">
        <f t="shared" ref="Z76:Z106" si="11">IF(T76=0,0,X76/T76)</f>
        <v>0</v>
      </c>
    </row>
    <row r="77" spans="1:26" s="69" customFormat="1" ht="15" hidden="1" customHeight="1" outlineLevel="1" x14ac:dyDescent="0.3">
      <c r="A77" s="47"/>
      <c r="B77" s="9" t="str">
        <f>CONCATENATE("          ","4201"," - ","SALES RETURN TAXABLE-NEW TEXT")</f>
        <v xml:space="preserve">          4201 - SALES RETURN TAXABLE-NEW TEXT</v>
      </c>
      <c r="C77" s="9"/>
      <c r="D77" s="3">
        <f>0</f>
        <v>0</v>
      </c>
      <c r="E77" s="3"/>
      <c r="F77" s="26"/>
      <c r="G77" s="3"/>
      <c r="H77" s="3">
        <f>-1101.25</f>
        <v>-1101.25</v>
      </c>
      <c r="I77" s="3"/>
      <c r="J77" s="26"/>
      <c r="K77" s="3"/>
      <c r="L77" s="3">
        <f t="shared" si="8"/>
        <v>1101.25</v>
      </c>
      <c r="M77" s="3"/>
      <c r="N77" s="26">
        <f t="shared" si="9"/>
        <v>-1</v>
      </c>
      <c r="O77" s="9"/>
      <c r="P77" s="3">
        <f>0</f>
        <v>0</v>
      </c>
      <c r="Q77" s="3"/>
      <c r="R77" s="26"/>
      <c r="S77" s="3"/>
      <c r="T77" s="3">
        <f>-53397.67</f>
        <v>-53397.67</v>
      </c>
      <c r="U77" s="3"/>
      <c r="V77" s="26"/>
      <c r="W77" s="3"/>
      <c r="X77" s="3">
        <f t="shared" si="10"/>
        <v>53397.67</v>
      </c>
      <c r="Y77" s="3"/>
      <c r="Z77" s="26">
        <f t="shared" si="11"/>
        <v>-1</v>
      </c>
    </row>
    <row r="78" spans="1:26" s="69" customFormat="1" ht="15" hidden="1" customHeight="1" outlineLevel="1" x14ac:dyDescent="0.3">
      <c r="A78" s="47"/>
      <c r="B78" s="9" t="str">
        <f>CONCATENATE("          ","4202"," - ","SALES RETURN TAXABLE-USED TEXT")</f>
        <v xml:space="preserve">          4202 - SALES RETURN TAXABLE-USED TEXT</v>
      </c>
      <c r="C78" s="9"/>
      <c r="D78" s="3">
        <f>0</f>
        <v>0</v>
      </c>
      <c r="E78" s="3"/>
      <c r="F78" s="26"/>
      <c r="G78" s="3"/>
      <c r="H78" s="3">
        <f>-433.75</f>
        <v>-433.75</v>
      </c>
      <c r="I78" s="3"/>
      <c r="J78" s="26"/>
      <c r="K78" s="3"/>
      <c r="L78" s="3">
        <f t="shared" si="8"/>
        <v>433.75</v>
      </c>
      <c r="M78" s="3"/>
      <c r="N78" s="26">
        <f t="shared" si="9"/>
        <v>-1</v>
      </c>
      <c r="O78" s="9"/>
      <c r="P78" s="3">
        <f>0</f>
        <v>0</v>
      </c>
      <c r="Q78" s="3"/>
      <c r="R78" s="26"/>
      <c r="S78" s="3"/>
      <c r="T78" s="3">
        <f>-20889.41</f>
        <v>-20889.41</v>
      </c>
      <c r="U78" s="3"/>
      <c r="V78" s="26"/>
      <c r="W78" s="3"/>
      <c r="X78" s="3">
        <f t="shared" si="10"/>
        <v>20889.41</v>
      </c>
      <c r="Y78" s="3"/>
      <c r="Z78" s="26">
        <f t="shared" si="11"/>
        <v>-1</v>
      </c>
    </row>
    <row r="79" spans="1:26" s="69" customFormat="1" ht="15" hidden="1" customHeight="1" outlineLevel="1" x14ac:dyDescent="0.3">
      <c r="A79" s="47"/>
      <c r="B79" s="9" t="str">
        <f>CONCATENATE("          ","4204"," - ","SALES RETURN TAXABLE-DIGITAL T")</f>
        <v xml:space="preserve">          4204 - SALES RETURN TAXABLE-DIGITAL T</v>
      </c>
      <c r="C79" s="9"/>
      <c r="D79" s="3">
        <f>0</f>
        <v>0</v>
      </c>
      <c r="E79" s="3"/>
      <c r="F79" s="26"/>
      <c r="G79" s="3"/>
      <c r="H79" s="3">
        <f>0</f>
        <v>0</v>
      </c>
      <c r="I79" s="3"/>
      <c r="J79" s="26"/>
      <c r="K79" s="3"/>
      <c r="L79" s="3">
        <f t="shared" si="8"/>
        <v>0</v>
      </c>
      <c r="M79" s="3"/>
      <c r="N79" s="26">
        <f t="shared" si="9"/>
        <v>0</v>
      </c>
      <c r="O79" s="9"/>
      <c r="P79" s="3">
        <f>0</f>
        <v>0</v>
      </c>
      <c r="Q79" s="3"/>
      <c r="R79" s="26"/>
      <c r="S79" s="3"/>
      <c r="T79" s="3">
        <f>-1763.1</f>
        <v>-1763.1</v>
      </c>
      <c r="U79" s="3"/>
      <c r="V79" s="26"/>
      <c r="W79" s="3"/>
      <c r="X79" s="3">
        <f t="shared" si="10"/>
        <v>1763.1</v>
      </c>
      <c r="Y79" s="3"/>
      <c r="Z79" s="26">
        <f t="shared" si="11"/>
        <v>-1</v>
      </c>
    </row>
    <row r="80" spans="1:26" s="69" customFormat="1" ht="15" hidden="1" customHeight="1" outlineLevel="1" x14ac:dyDescent="0.3">
      <c r="A80" s="47"/>
      <c r="B80" s="9" t="str">
        <f>CONCATENATE("          ","4213"," - ","NON-TAXABLE SALES-TRADE BOOKS")</f>
        <v xml:space="preserve">          4213 - NON-TAXABLE SALES-TRADE BOOKS</v>
      </c>
      <c r="C80" s="9"/>
      <c r="D80" s="3">
        <f>0</f>
        <v>0</v>
      </c>
      <c r="E80" s="3"/>
      <c r="F80" s="26"/>
      <c r="G80" s="3"/>
      <c r="H80" s="3">
        <f>-25</f>
        <v>-25</v>
      </c>
      <c r="I80" s="3"/>
      <c r="J80" s="26"/>
      <c r="K80" s="3"/>
      <c r="L80" s="3">
        <f t="shared" si="8"/>
        <v>25</v>
      </c>
      <c r="M80" s="3"/>
      <c r="N80" s="26">
        <f t="shared" si="9"/>
        <v>-1</v>
      </c>
      <c r="O80" s="9"/>
      <c r="P80" s="3">
        <f>0</f>
        <v>0</v>
      </c>
      <c r="Q80" s="3"/>
      <c r="R80" s="26"/>
      <c r="S80" s="3"/>
      <c r="T80" s="3">
        <f>-103.92</f>
        <v>-103.92</v>
      </c>
      <c r="U80" s="3"/>
      <c r="V80" s="26"/>
      <c r="W80" s="3"/>
      <c r="X80" s="3">
        <f t="shared" si="10"/>
        <v>103.92</v>
      </c>
      <c r="Y80" s="3"/>
      <c r="Z80" s="26">
        <f t="shared" si="11"/>
        <v>-1</v>
      </c>
    </row>
    <row r="81" spans="1:26" s="69" customFormat="1" ht="15" hidden="1" customHeight="1" outlineLevel="1" x14ac:dyDescent="0.3">
      <c r="A81" s="47"/>
      <c r="B81" s="9" t="str">
        <f>CONCATENATE("          ","4218"," - ","SALES RETURN TAXABLE-STUDY GUI")</f>
        <v xml:space="preserve">          4218 - SALES RETURN TAXABLE-STUDY GUI</v>
      </c>
      <c r="C81" s="9"/>
      <c r="D81" s="3">
        <f>0</f>
        <v>0</v>
      </c>
      <c r="E81" s="3"/>
      <c r="F81" s="26"/>
      <c r="G81" s="3"/>
      <c r="H81" s="3">
        <f>-23.44</f>
        <v>-23.44</v>
      </c>
      <c r="I81" s="3"/>
      <c r="J81" s="26"/>
      <c r="K81" s="3"/>
      <c r="L81" s="3">
        <f t="shared" si="8"/>
        <v>23.44</v>
      </c>
      <c r="M81" s="3"/>
      <c r="N81" s="26">
        <f t="shared" si="9"/>
        <v>-1</v>
      </c>
      <c r="O81" s="9"/>
      <c r="P81" s="3">
        <f>0</f>
        <v>0</v>
      </c>
      <c r="Q81" s="3"/>
      <c r="R81" s="26"/>
      <c r="S81" s="3"/>
      <c r="T81" s="3">
        <f>-28.65</f>
        <v>-28.65</v>
      </c>
      <c r="U81" s="3"/>
      <c r="V81" s="26"/>
      <c r="W81" s="3"/>
      <c r="X81" s="3">
        <f t="shared" si="10"/>
        <v>28.65</v>
      </c>
      <c r="Y81" s="3"/>
      <c r="Z81" s="26">
        <f t="shared" si="11"/>
        <v>-1</v>
      </c>
    </row>
    <row r="82" spans="1:26" s="69" customFormat="1" ht="15" hidden="1" customHeight="1" outlineLevel="1" x14ac:dyDescent="0.3">
      <c r="A82" s="47"/>
      <c r="B82" s="9" t="str">
        <f>CONCATENATE("          ","4226"," - ","SALES RETURN TAXABLE-WRITING I")</f>
        <v xml:space="preserve">          4226 - SALES RETURN TAXABLE-WRITING I</v>
      </c>
      <c r="C82" s="9"/>
      <c r="D82" s="3">
        <f>0</f>
        <v>0</v>
      </c>
      <c r="E82" s="3"/>
      <c r="F82" s="26"/>
      <c r="G82" s="3"/>
      <c r="H82" s="3">
        <f>0</f>
        <v>0</v>
      </c>
      <c r="I82" s="3"/>
      <c r="J82" s="26"/>
      <c r="K82" s="3"/>
      <c r="L82" s="3">
        <f t="shared" si="8"/>
        <v>0</v>
      </c>
      <c r="M82" s="3"/>
      <c r="N82" s="26">
        <f t="shared" si="9"/>
        <v>0</v>
      </c>
      <c r="O82" s="9"/>
      <c r="P82" s="3">
        <f>0</f>
        <v>0</v>
      </c>
      <c r="Q82" s="3"/>
      <c r="R82" s="26"/>
      <c r="S82" s="3"/>
      <c r="T82" s="3">
        <f>-35.02</f>
        <v>-35.020000000000003</v>
      </c>
      <c r="U82" s="3"/>
      <c r="V82" s="26"/>
      <c r="W82" s="3"/>
      <c r="X82" s="3">
        <f t="shared" si="10"/>
        <v>35.020000000000003</v>
      </c>
      <c r="Y82" s="3"/>
      <c r="Z82" s="26">
        <f t="shared" si="11"/>
        <v>-1</v>
      </c>
    </row>
    <row r="83" spans="1:26" s="69" customFormat="1" ht="15" hidden="1" customHeight="1" outlineLevel="1" x14ac:dyDescent="0.3">
      <c r="A83" s="47"/>
      <c r="B83" s="9" t="str">
        <f>CONCATENATE("          ","4227"," - ","SALES RETURN TAXABLE-SCHOOL SU")</f>
        <v xml:space="preserve">          4227 - SALES RETURN TAXABLE-SCHOOL SU</v>
      </c>
      <c r="C83" s="9"/>
      <c r="D83" s="3">
        <f>0</f>
        <v>0</v>
      </c>
      <c r="E83" s="3"/>
      <c r="F83" s="26"/>
      <c r="G83" s="3"/>
      <c r="H83" s="3">
        <f>-80.63</f>
        <v>-80.63</v>
      </c>
      <c r="I83" s="3"/>
      <c r="J83" s="26"/>
      <c r="K83" s="3"/>
      <c r="L83" s="3">
        <f t="shared" si="8"/>
        <v>80.63</v>
      </c>
      <c r="M83" s="3"/>
      <c r="N83" s="26">
        <f t="shared" si="9"/>
        <v>-1</v>
      </c>
      <c r="O83" s="9"/>
      <c r="P83" s="3">
        <f>0</f>
        <v>0</v>
      </c>
      <c r="Q83" s="3"/>
      <c r="R83" s="26"/>
      <c r="S83" s="3"/>
      <c r="T83" s="3">
        <f>-1565.11</f>
        <v>-1565.11</v>
      </c>
      <c r="U83" s="3"/>
      <c r="V83" s="26"/>
      <c r="W83" s="3"/>
      <c r="X83" s="3">
        <f t="shared" si="10"/>
        <v>1565.11</v>
      </c>
      <c r="Y83" s="3"/>
      <c r="Z83" s="26">
        <f t="shared" si="11"/>
        <v>-1</v>
      </c>
    </row>
    <row r="84" spans="1:26" s="69" customFormat="1" ht="15" hidden="1" customHeight="1" outlineLevel="1" x14ac:dyDescent="0.3">
      <c r="A84" s="47"/>
      <c r="B84" s="9" t="str">
        <f>CONCATENATE("          ","4228"," - ","SALES RETURN TAXABLE-ART/TECH")</f>
        <v xml:space="preserve">          4228 - SALES RETURN TAXABLE-ART/TECH</v>
      </c>
      <c r="C84" s="9"/>
      <c r="D84" s="3">
        <f>0</f>
        <v>0</v>
      </c>
      <c r="E84" s="3"/>
      <c r="F84" s="26"/>
      <c r="G84" s="3"/>
      <c r="H84" s="3">
        <f>-105.6</f>
        <v>-105.6</v>
      </c>
      <c r="I84" s="3"/>
      <c r="J84" s="26"/>
      <c r="K84" s="3"/>
      <c r="L84" s="3">
        <f t="shared" si="8"/>
        <v>105.6</v>
      </c>
      <c r="M84" s="3"/>
      <c r="N84" s="26">
        <f t="shared" si="9"/>
        <v>-1</v>
      </c>
      <c r="O84" s="9"/>
      <c r="P84" s="3">
        <f>0</f>
        <v>0</v>
      </c>
      <c r="Q84" s="3"/>
      <c r="R84" s="26"/>
      <c r="S84" s="3"/>
      <c r="T84" s="3">
        <f>-13079.33</f>
        <v>-13079.33</v>
      </c>
      <c r="U84" s="3"/>
      <c r="V84" s="26"/>
      <c r="W84" s="3"/>
      <c r="X84" s="3">
        <f t="shared" si="10"/>
        <v>13079.33</v>
      </c>
      <c r="Y84" s="3"/>
      <c r="Z84" s="26">
        <f t="shared" si="11"/>
        <v>-1</v>
      </c>
    </row>
    <row r="85" spans="1:26" s="69" customFormat="1" ht="15" hidden="1" customHeight="1" outlineLevel="1" x14ac:dyDescent="0.3">
      <c r="A85" s="47"/>
      <c r="B85" s="9" t="str">
        <f>CONCATENATE("          ","4240"," - ","SALES RETURN TAXABLE-LOGO CLOT")</f>
        <v xml:space="preserve">          4240 - SALES RETURN TAXABLE-LOGO CLOT</v>
      </c>
      <c r="C85" s="9"/>
      <c r="D85" s="3">
        <f>0</f>
        <v>0</v>
      </c>
      <c r="E85" s="3"/>
      <c r="F85" s="26"/>
      <c r="G85" s="3"/>
      <c r="H85" s="3">
        <f>-4795.71</f>
        <v>-4795.71</v>
      </c>
      <c r="I85" s="3"/>
      <c r="J85" s="26"/>
      <c r="K85" s="3"/>
      <c r="L85" s="3">
        <f t="shared" si="8"/>
        <v>4795.71</v>
      </c>
      <c r="M85" s="3"/>
      <c r="N85" s="26">
        <f t="shared" si="9"/>
        <v>-1</v>
      </c>
      <c r="O85" s="9"/>
      <c r="P85" s="3">
        <f>0</f>
        <v>0</v>
      </c>
      <c r="Q85" s="3"/>
      <c r="R85" s="26"/>
      <c r="S85" s="3"/>
      <c r="T85" s="3">
        <f>-51889.15</f>
        <v>-51889.15</v>
      </c>
      <c r="U85" s="3"/>
      <c r="V85" s="26"/>
      <c r="W85" s="3"/>
      <c r="X85" s="3">
        <f t="shared" si="10"/>
        <v>51889.15</v>
      </c>
      <c r="Y85" s="3"/>
      <c r="Z85" s="26">
        <f t="shared" si="11"/>
        <v>-1</v>
      </c>
    </row>
    <row r="86" spans="1:26" s="69" customFormat="1" ht="15" hidden="1" customHeight="1" outlineLevel="1" x14ac:dyDescent="0.3">
      <c r="A86" s="47"/>
      <c r="B86" s="9" t="str">
        <f>CONCATENATE("          ","4241"," - ","SALES RETURN TAXABLE-LOGO GIFT")</f>
        <v xml:space="preserve">          4241 - SALES RETURN TAXABLE-LOGO GIFT</v>
      </c>
      <c r="C86" s="9"/>
      <c r="D86" s="3">
        <f>0</f>
        <v>0</v>
      </c>
      <c r="E86" s="3"/>
      <c r="F86" s="26"/>
      <c r="G86" s="3"/>
      <c r="H86" s="3">
        <f>-1907.39</f>
        <v>-1907.39</v>
      </c>
      <c r="I86" s="3"/>
      <c r="J86" s="26"/>
      <c r="K86" s="3"/>
      <c r="L86" s="3">
        <f t="shared" si="8"/>
        <v>1907.39</v>
      </c>
      <c r="M86" s="3"/>
      <c r="N86" s="26">
        <f t="shared" si="9"/>
        <v>-1</v>
      </c>
      <c r="O86" s="9"/>
      <c r="P86" s="3">
        <f>0</f>
        <v>0</v>
      </c>
      <c r="Q86" s="3"/>
      <c r="R86" s="26"/>
      <c r="S86" s="3"/>
      <c r="T86" s="3">
        <f>-18587.93</f>
        <v>-18587.93</v>
      </c>
      <c r="U86" s="3"/>
      <c r="V86" s="26"/>
      <c r="W86" s="3"/>
      <c r="X86" s="3">
        <f t="shared" si="10"/>
        <v>18587.93</v>
      </c>
      <c r="Y86" s="3"/>
      <c r="Z86" s="26">
        <f t="shared" si="11"/>
        <v>-1</v>
      </c>
    </row>
    <row r="87" spans="1:26" s="69" customFormat="1" ht="15" hidden="1" customHeight="1" outlineLevel="1" x14ac:dyDescent="0.3">
      <c r="A87" s="47"/>
      <c r="B87" s="9" t="str">
        <f>CONCATENATE("          ","4242"," - ","SALES RETURN TAXABLE-EVERYDAY")</f>
        <v xml:space="preserve">          4242 - SALES RETURN TAXABLE-EVERYDAY</v>
      </c>
      <c r="C87" s="9"/>
      <c r="D87" s="3">
        <f>0</f>
        <v>0</v>
      </c>
      <c r="E87" s="3"/>
      <c r="F87" s="26"/>
      <c r="G87" s="3"/>
      <c r="H87" s="3">
        <f>-131.98</f>
        <v>-131.97999999999999</v>
      </c>
      <c r="I87" s="3"/>
      <c r="J87" s="26"/>
      <c r="K87" s="3"/>
      <c r="L87" s="3">
        <f t="shared" si="8"/>
        <v>131.97999999999999</v>
      </c>
      <c r="M87" s="3"/>
      <c r="N87" s="26">
        <f t="shared" si="9"/>
        <v>-1</v>
      </c>
      <c r="O87" s="9"/>
      <c r="P87" s="3">
        <f>0</f>
        <v>0</v>
      </c>
      <c r="Q87" s="3"/>
      <c r="R87" s="26"/>
      <c r="S87" s="3"/>
      <c r="T87" s="3">
        <f>-2875.07</f>
        <v>-2875.07</v>
      </c>
      <c r="U87" s="3"/>
      <c r="V87" s="26"/>
      <c r="W87" s="3"/>
      <c r="X87" s="3">
        <f t="shared" si="10"/>
        <v>2875.07</v>
      </c>
      <c r="Y87" s="3"/>
      <c r="Z87" s="26">
        <f t="shared" si="11"/>
        <v>-1</v>
      </c>
    </row>
    <row r="88" spans="1:26" s="69" customFormat="1" ht="15" hidden="1" customHeight="1" outlineLevel="1" x14ac:dyDescent="0.3">
      <c r="A88" s="47"/>
      <c r="B88" s="9" t="str">
        <f>CONCATENATE("          ","4243"," - ","SALES RETURN TAXABLE-CARDS")</f>
        <v xml:space="preserve">          4243 - SALES RETURN TAXABLE-CARDS</v>
      </c>
      <c r="C88" s="9"/>
      <c r="D88" s="3">
        <f>0</f>
        <v>0</v>
      </c>
      <c r="E88" s="3"/>
      <c r="F88" s="26"/>
      <c r="G88" s="3"/>
      <c r="H88" s="3">
        <f>-9.99</f>
        <v>-9.99</v>
      </c>
      <c r="I88" s="3"/>
      <c r="J88" s="26"/>
      <c r="K88" s="3"/>
      <c r="L88" s="3">
        <f t="shared" si="8"/>
        <v>9.99</v>
      </c>
      <c r="M88" s="3"/>
      <c r="N88" s="26">
        <f t="shared" si="9"/>
        <v>-1</v>
      </c>
      <c r="O88" s="9"/>
      <c r="P88" s="3">
        <f>0</f>
        <v>0</v>
      </c>
      <c r="Q88" s="3"/>
      <c r="R88" s="26"/>
      <c r="S88" s="3"/>
      <c r="T88" s="3">
        <f>-6228.98</f>
        <v>-6228.98</v>
      </c>
      <c r="U88" s="3"/>
      <c r="V88" s="26"/>
      <c r="W88" s="3"/>
      <c r="X88" s="3">
        <f t="shared" si="10"/>
        <v>6228.98</v>
      </c>
      <c r="Y88" s="3"/>
      <c r="Z88" s="26">
        <f t="shared" si="11"/>
        <v>-1</v>
      </c>
    </row>
    <row r="89" spans="1:26" s="69" customFormat="1" ht="15" hidden="1" customHeight="1" outlineLevel="1" x14ac:dyDescent="0.3">
      <c r="A89" s="47"/>
      <c r="B89" s="9" t="str">
        <f>CONCATENATE("          ","4244"," - ","SALES RETURN TAXABLE-ACCESSORI")</f>
        <v xml:space="preserve">          4244 - SALES RETURN TAXABLE-ACCESSORI</v>
      </c>
      <c r="C89" s="9"/>
      <c r="D89" s="3">
        <f>0</f>
        <v>0</v>
      </c>
      <c r="E89" s="3"/>
      <c r="F89" s="26"/>
      <c r="G89" s="3"/>
      <c r="H89" s="3">
        <f>-34.84</f>
        <v>-34.840000000000003</v>
      </c>
      <c r="I89" s="3"/>
      <c r="J89" s="26"/>
      <c r="K89" s="3"/>
      <c r="L89" s="3">
        <f t="shared" si="8"/>
        <v>34.840000000000003</v>
      </c>
      <c r="M89" s="3"/>
      <c r="N89" s="26">
        <f t="shared" si="9"/>
        <v>-1</v>
      </c>
      <c r="O89" s="9"/>
      <c r="P89" s="3">
        <f>0</f>
        <v>0</v>
      </c>
      <c r="Q89" s="3"/>
      <c r="R89" s="26"/>
      <c r="S89" s="3"/>
      <c r="T89" s="3">
        <f>-1302.75</f>
        <v>-1302.75</v>
      </c>
      <c r="U89" s="3"/>
      <c r="V89" s="26"/>
      <c r="W89" s="3"/>
      <c r="X89" s="3">
        <f t="shared" si="10"/>
        <v>1302.75</v>
      </c>
      <c r="Y89" s="3"/>
      <c r="Z89" s="26">
        <f t="shared" si="11"/>
        <v>-1</v>
      </c>
    </row>
    <row r="90" spans="1:26" s="69" customFormat="1" ht="15" hidden="1" customHeight="1" outlineLevel="1" x14ac:dyDescent="0.3">
      <c r="A90" s="47"/>
      <c r="B90" s="9" t="str">
        <f>CONCATENATE("          ","4245"," - ","SALES RETURN TAXABLE-SPECIAL O")</f>
        <v xml:space="preserve">          4245 - SALES RETURN TAXABLE-SPECIAL O</v>
      </c>
      <c r="C90" s="9"/>
      <c r="D90" s="3">
        <f>0</f>
        <v>0</v>
      </c>
      <c r="E90" s="3"/>
      <c r="F90" s="26"/>
      <c r="G90" s="3"/>
      <c r="H90" s="3">
        <f>-3318.4</f>
        <v>-3318.4</v>
      </c>
      <c r="I90" s="3"/>
      <c r="J90" s="26"/>
      <c r="K90" s="3"/>
      <c r="L90" s="3">
        <f t="shared" si="8"/>
        <v>3318.4</v>
      </c>
      <c r="M90" s="3"/>
      <c r="N90" s="26">
        <f t="shared" si="9"/>
        <v>-1</v>
      </c>
      <c r="O90" s="9"/>
      <c r="P90" s="3">
        <f>0</f>
        <v>0</v>
      </c>
      <c r="Q90" s="3"/>
      <c r="R90" s="26"/>
      <c r="S90" s="3"/>
      <c r="T90" s="3">
        <f>-18779.13</f>
        <v>-18779.13</v>
      </c>
      <c r="U90" s="3"/>
      <c r="V90" s="26"/>
      <c r="W90" s="3"/>
      <c r="X90" s="3">
        <f t="shared" si="10"/>
        <v>18779.13</v>
      </c>
      <c r="Y90" s="3"/>
      <c r="Z90" s="26">
        <f t="shared" si="11"/>
        <v>-1</v>
      </c>
    </row>
    <row r="91" spans="1:26" s="69" customFormat="1" ht="15" hidden="1" customHeight="1" outlineLevel="1" x14ac:dyDescent="0.3">
      <c r="A91" s="47"/>
      <c r="B91" s="9" t="str">
        <f>CONCATENATE("          ","4281"," - ","SALES RETURN TAXABLE-ELECTRONI")</f>
        <v xml:space="preserve">          4281 - SALES RETURN TAXABLE-ELECTRONI</v>
      </c>
      <c r="C91" s="9"/>
      <c r="D91" s="3">
        <f>0</f>
        <v>0</v>
      </c>
      <c r="E91" s="3"/>
      <c r="F91" s="26"/>
      <c r="G91" s="3"/>
      <c r="H91" s="3">
        <f>-529.99</f>
        <v>-529.99</v>
      </c>
      <c r="I91" s="3"/>
      <c r="J91" s="26"/>
      <c r="K91" s="3"/>
      <c r="L91" s="3">
        <f t="shared" si="8"/>
        <v>529.99</v>
      </c>
      <c r="M91" s="3"/>
      <c r="N91" s="26">
        <f t="shared" si="9"/>
        <v>-1</v>
      </c>
      <c r="O91" s="9"/>
      <c r="P91" s="3">
        <f>0</f>
        <v>0</v>
      </c>
      <c r="Q91" s="3"/>
      <c r="R91" s="26"/>
      <c r="S91" s="3"/>
      <c r="T91" s="3">
        <f>-15372.12</f>
        <v>-15372.12</v>
      </c>
      <c r="U91" s="3"/>
      <c r="V91" s="26"/>
      <c r="W91" s="3"/>
      <c r="X91" s="3">
        <f t="shared" si="10"/>
        <v>15372.12</v>
      </c>
      <c r="Y91" s="3"/>
      <c r="Z91" s="26">
        <f t="shared" si="11"/>
        <v>-1</v>
      </c>
    </row>
    <row r="92" spans="1:26" s="69" customFormat="1" ht="15" hidden="1" customHeight="1" outlineLevel="1" x14ac:dyDescent="0.3">
      <c r="A92" s="47"/>
      <c r="B92" s="9" t="str">
        <f>CONCATENATE("          ","4282"," - ","SALES RETURN TAXABLE-COMPUTER")</f>
        <v xml:space="preserve">          4282 - SALES RETURN TAXABLE-COMPUTER</v>
      </c>
      <c r="C92" s="9"/>
      <c r="D92" s="3">
        <f>0</f>
        <v>0</v>
      </c>
      <c r="E92" s="3"/>
      <c r="F92" s="26"/>
      <c r="G92" s="3"/>
      <c r="H92" s="3">
        <f>-44973</f>
        <v>-44973</v>
      </c>
      <c r="I92" s="3"/>
      <c r="J92" s="26"/>
      <c r="K92" s="3"/>
      <c r="L92" s="3">
        <f t="shared" si="8"/>
        <v>44973</v>
      </c>
      <c r="M92" s="3"/>
      <c r="N92" s="26">
        <f t="shared" si="9"/>
        <v>-1</v>
      </c>
      <c r="O92" s="9"/>
      <c r="P92" s="3">
        <f>0</f>
        <v>0</v>
      </c>
      <c r="Q92" s="3"/>
      <c r="R92" s="26"/>
      <c r="S92" s="3"/>
      <c r="T92" s="3">
        <f>-285193.17</f>
        <v>-285193.17</v>
      </c>
      <c r="U92" s="3"/>
      <c r="V92" s="26"/>
      <c r="W92" s="3"/>
      <c r="X92" s="3">
        <f t="shared" si="10"/>
        <v>285193.17</v>
      </c>
      <c r="Y92" s="3"/>
      <c r="Z92" s="26">
        <f t="shared" si="11"/>
        <v>-1</v>
      </c>
    </row>
    <row r="93" spans="1:26" s="69" customFormat="1" ht="15" hidden="1" customHeight="1" outlineLevel="1" x14ac:dyDescent="0.3">
      <c r="A93" s="47"/>
      <c r="B93" s="9" t="str">
        <f>CONCATENATE("          ","4283"," - ","SALES RETURN TAXABLE-COMPUTER")</f>
        <v xml:space="preserve">          4283 - SALES RETURN TAXABLE-COMPUTER</v>
      </c>
      <c r="C93" s="9"/>
      <c r="D93" s="3">
        <f>0</f>
        <v>0</v>
      </c>
      <c r="E93" s="3"/>
      <c r="F93" s="26"/>
      <c r="G93" s="3"/>
      <c r="H93" s="3">
        <f>-23.47</f>
        <v>-23.47</v>
      </c>
      <c r="I93" s="3"/>
      <c r="J93" s="26"/>
      <c r="K93" s="3"/>
      <c r="L93" s="3">
        <f t="shared" si="8"/>
        <v>23.47</v>
      </c>
      <c r="M93" s="3"/>
      <c r="N93" s="26">
        <f t="shared" si="9"/>
        <v>-1</v>
      </c>
      <c r="O93" s="9"/>
      <c r="P93" s="3">
        <f>0</f>
        <v>0</v>
      </c>
      <c r="Q93" s="3"/>
      <c r="R93" s="26"/>
      <c r="S93" s="3"/>
      <c r="T93" s="3">
        <f>-4152.64</f>
        <v>-4152.6400000000003</v>
      </c>
      <c r="U93" s="3"/>
      <c r="V93" s="26"/>
      <c r="W93" s="3"/>
      <c r="X93" s="3">
        <f t="shared" si="10"/>
        <v>4152.6400000000003</v>
      </c>
      <c r="Y93" s="3"/>
      <c r="Z93" s="26">
        <f t="shared" si="11"/>
        <v>-1</v>
      </c>
    </row>
    <row r="94" spans="1:26" s="69" customFormat="1" ht="15" hidden="1" customHeight="1" outlineLevel="1" x14ac:dyDescent="0.3">
      <c r="A94" s="47"/>
      <c r="B94" s="9" t="str">
        <f>CONCATENATE("          ","4285"," - ","SALES RETURN TAXABLE-SOFTWARE")</f>
        <v xml:space="preserve">          4285 - SALES RETURN TAXABLE-SOFTWARE</v>
      </c>
      <c r="C94" s="9"/>
      <c r="D94" s="3">
        <f>0</f>
        <v>0</v>
      </c>
      <c r="E94" s="3"/>
      <c r="F94" s="26"/>
      <c r="G94" s="3"/>
      <c r="H94" s="3">
        <f>0</f>
        <v>0</v>
      </c>
      <c r="I94" s="3"/>
      <c r="J94" s="26"/>
      <c r="K94" s="3"/>
      <c r="L94" s="3">
        <f t="shared" si="8"/>
        <v>0</v>
      </c>
      <c r="M94" s="3"/>
      <c r="N94" s="26">
        <f t="shared" si="9"/>
        <v>0</v>
      </c>
      <c r="O94" s="9"/>
      <c r="P94" s="3">
        <f>0</f>
        <v>0</v>
      </c>
      <c r="Q94" s="3"/>
      <c r="R94" s="26"/>
      <c r="S94" s="3"/>
      <c r="T94" s="3">
        <f>-1091.79</f>
        <v>-1091.79</v>
      </c>
      <c r="U94" s="3"/>
      <c r="V94" s="26"/>
      <c r="W94" s="3"/>
      <c r="X94" s="3">
        <f t="shared" si="10"/>
        <v>1091.79</v>
      </c>
      <c r="Y94" s="3"/>
      <c r="Z94" s="26">
        <f t="shared" si="11"/>
        <v>-1</v>
      </c>
    </row>
    <row r="95" spans="1:26" s="69" customFormat="1" ht="15" hidden="1" customHeight="1" outlineLevel="1" x14ac:dyDescent="0.3">
      <c r="A95" s="47"/>
      <c r="B95" s="9" t="str">
        <f>CONCATENATE("          ","4286"," - ","SALES RETURN TAXABLE-COMPUTER")</f>
        <v xml:space="preserve">          4286 - SALES RETURN TAXABLE-COMPUTER</v>
      </c>
      <c r="C95" s="9"/>
      <c r="D95" s="3">
        <f>0</f>
        <v>0</v>
      </c>
      <c r="E95" s="3"/>
      <c r="F95" s="26"/>
      <c r="G95" s="3"/>
      <c r="H95" s="3">
        <f>-9.99</f>
        <v>-9.99</v>
      </c>
      <c r="I95" s="3"/>
      <c r="J95" s="26"/>
      <c r="K95" s="3"/>
      <c r="L95" s="3">
        <f t="shared" si="8"/>
        <v>9.99</v>
      </c>
      <c r="M95" s="3"/>
      <c r="N95" s="26">
        <f t="shared" si="9"/>
        <v>-1</v>
      </c>
      <c r="O95" s="9"/>
      <c r="P95" s="3">
        <f>0</f>
        <v>0</v>
      </c>
      <c r="Q95" s="3"/>
      <c r="R95" s="26"/>
      <c r="S95" s="3"/>
      <c r="T95" s="3">
        <f>-4812.28</f>
        <v>-4812.28</v>
      </c>
      <c r="U95" s="3"/>
      <c r="V95" s="26"/>
      <c r="W95" s="3"/>
      <c r="X95" s="3">
        <f t="shared" si="10"/>
        <v>4812.28</v>
      </c>
      <c r="Y95" s="3"/>
      <c r="Z95" s="26">
        <f t="shared" si="11"/>
        <v>-1</v>
      </c>
    </row>
    <row r="96" spans="1:26" s="69" customFormat="1" ht="15" hidden="1" customHeight="1" outlineLevel="1" x14ac:dyDescent="0.3">
      <c r="A96" s="47"/>
      <c r="B96" s="9" t="str">
        <f>CONCATENATE("          ","4300"," - ","NON-TAX RETURNS")</f>
        <v xml:space="preserve">          4300 - NON-TAX RETURNS</v>
      </c>
      <c r="C96" s="9"/>
      <c r="D96" s="3">
        <f>-1514.12</f>
        <v>-1514.12</v>
      </c>
      <c r="E96" s="3"/>
      <c r="F96" s="26"/>
      <c r="G96" s="3"/>
      <c r="H96" s="3">
        <f>0</f>
        <v>0</v>
      </c>
      <c r="I96" s="3"/>
      <c r="J96" s="26"/>
      <c r="K96" s="3"/>
      <c r="L96" s="3">
        <f t="shared" si="8"/>
        <v>-1514.12</v>
      </c>
      <c r="M96" s="3"/>
      <c r="N96" s="26">
        <f t="shared" si="9"/>
        <v>0</v>
      </c>
      <c r="O96" s="9"/>
      <c r="P96" s="3">
        <f>-44399.7</f>
        <v>-44399.7</v>
      </c>
      <c r="Q96" s="3"/>
      <c r="R96" s="26"/>
      <c r="S96" s="3"/>
      <c r="T96" s="3">
        <f>0</f>
        <v>0</v>
      </c>
      <c r="U96" s="3"/>
      <c r="V96" s="26"/>
      <c r="W96" s="3"/>
      <c r="X96" s="3">
        <f t="shared" si="10"/>
        <v>-44399.7</v>
      </c>
      <c r="Y96" s="3"/>
      <c r="Z96" s="26">
        <f t="shared" si="11"/>
        <v>0</v>
      </c>
    </row>
    <row r="97" spans="1:26" s="69" customFormat="1" ht="15" hidden="1" customHeight="1" outlineLevel="1" x14ac:dyDescent="0.3">
      <c r="A97" s="47"/>
      <c r="B97" s="9" t="str">
        <f>CONCATENATE("          ","4301"," - ","SALES RETURN NON TAXABLE-NEW T")</f>
        <v xml:space="preserve">          4301 - SALES RETURN NON TAXABLE-NEW T</v>
      </c>
      <c r="C97" s="9"/>
      <c r="D97" s="3">
        <f>0</f>
        <v>0</v>
      </c>
      <c r="E97" s="3"/>
      <c r="F97" s="26"/>
      <c r="G97" s="3"/>
      <c r="H97" s="3">
        <f>-169.32</f>
        <v>-169.32</v>
      </c>
      <c r="I97" s="3"/>
      <c r="J97" s="26"/>
      <c r="K97" s="3"/>
      <c r="L97" s="3">
        <f t="shared" si="8"/>
        <v>169.32</v>
      </c>
      <c r="M97" s="3"/>
      <c r="N97" s="26">
        <f t="shared" si="9"/>
        <v>-1</v>
      </c>
      <c r="O97" s="9"/>
      <c r="P97" s="3">
        <f>0</f>
        <v>0</v>
      </c>
      <c r="Q97" s="3"/>
      <c r="R97" s="26"/>
      <c r="S97" s="3"/>
      <c r="T97" s="3">
        <f>-4965.68</f>
        <v>-4965.68</v>
      </c>
      <c r="U97" s="3"/>
      <c r="V97" s="26"/>
      <c r="W97" s="3"/>
      <c r="X97" s="3">
        <f t="shared" si="10"/>
        <v>4965.68</v>
      </c>
      <c r="Y97" s="3"/>
      <c r="Z97" s="26">
        <f t="shared" si="11"/>
        <v>-1</v>
      </c>
    </row>
    <row r="98" spans="1:26" s="69" customFormat="1" ht="15" hidden="1" customHeight="1" outlineLevel="1" x14ac:dyDescent="0.3">
      <c r="A98" s="47"/>
      <c r="B98" s="9" t="str">
        <f>CONCATENATE("          ","4302"," - ","SALES RETURN NON TAXABLE-TEXT")</f>
        <v xml:space="preserve">          4302 - SALES RETURN NON TAXABLE-TEXT</v>
      </c>
      <c r="C98" s="9"/>
      <c r="D98" s="3">
        <f>0</f>
        <v>0</v>
      </c>
      <c r="E98" s="3"/>
      <c r="F98" s="26"/>
      <c r="G98" s="3"/>
      <c r="H98" s="3">
        <f>-111.43</f>
        <v>-111.43</v>
      </c>
      <c r="I98" s="3"/>
      <c r="J98" s="26"/>
      <c r="K98" s="3"/>
      <c r="L98" s="3">
        <f t="shared" si="8"/>
        <v>111.43</v>
      </c>
      <c r="M98" s="3"/>
      <c r="N98" s="26">
        <f t="shared" si="9"/>
        <v>-1</v>
      </c>
      <c r="O98" s="9"/>
      <c r="P98" s="3">
        <f>0</f>
        <v>0</v>
      </c>
      <c r="Q98" s="3"/>
      <c r="R98" s="26"/>
      <c r="S98" s="3"/>
      <c r="T98" s="3">
        <f>-2688.97</f>
        <v>-2688.97</v>
      </c>
      <c r="U98" s="3"/>
      <c r="V98" s="26"/>
      <c r="W98" s="3"/>
      <c r="X98" s="3">
        <f t="shared" si="10"/>
        <v>2688.97</v>
      </c>
      <c r="Y98" s="3"/>
      <c r="Z98" s="26">
        <f t="shared" si="11"/>
        <v>-1</v>
      </c>
    </row>
    <row r="99" spans="1:26" s="69" customFormat="1" ht="15" hidden="1" customHeight="1" outlineLevel="1" x14ac:dyDescent="0.3">
      <c r="A99" s="47"/>
      <c r="B99" s="9" t="str">
        <f>CONCATENATE("          ","4304"," - ","SALES RETURN NON TAXABLE-DIGIT")</f>
        <v xml:space="preserve">          4304 - SALES RETURN NON TAXABLE-DIGIT</v>
      </c>
      <c r="C99" s="9"/>
      <c r="D99" s="3">
        <f>0</f>
        <v>0</v>
      </c>
      <c r="E99" s="3"/>
      <c r="F99" s="26"/>
      <c r="G99" s="3"/>
      <c r="H99" s="3">
        <f>-144.89</f>
        <v>-144.88999999999999</v>
      </c>
      <c r="I99" s="3"/>
      <c r="J99" s="26"/>
      <c r="K99" s="3"/>
      <c r="L99" s="3">
        <f t="shared" si="8"/>
        <v>144.88999999999999</v>
      </c>
      <c r="M99" s="3"/>
      <c r="N99" s="26">
        <f t="shared" si="9"/>
        <v>-1</v>
      </c>
      <c r="O99" s="9"/>
      <c r="P99" s="3">
        <f>0</f>
        <v>0</v>
      </c>
      <c r="Q99" s="3"/>
      <c r="R99" s="26"/>
      <c r="S99" s="3"/>
      <c r="T99" s="3">
        <f>-31026.87</f>
        <v>-31026.87</v>
      </c>
      <c r="U99" s="3"/>
      <c r="V99" s="26"/>
      <c r="W99" s="3"/>
      <c r="X99" s="3">
        <f t="shared" si="10"/>
        <v>31026.87</v>
      </c>
      <c r="Y99" s="3"/>
      <c r="Z99" s="26">
        <f t="shared" si="11"/>
        <v>-1</v>
      </c>
    </row>
    <row r="100" spans="1:26" s="69" customFormat="1" ht="15" hidden="1" customHeight="1" outlineLevel="1" x14ac:dyDescent="0.3">
      <c r="A100" s="47"/>
      <c r="B100" s="9" t="str">
        <f>CONCATENATE("          ","4327"," - ","SALES RETURN NON TAXABLE-SCHOO")</f>
        <v xml:space="preserve">          4327 - SALES RETURN NON TAXABLE-SCHOO</v>
      </c>
      <c r="C100" s="9"/>
      <c r="D100" s="3">
        <f>0</f>
        <v>0</v>
      </c>
      <c r="E100" s="3"/>
      <c r="F100" s="26"/>
      <c r="G100" s="3"/>
      <c r="H100" s="3">
        <f>0</f>
        <v>0</v>
      </c>
      <c r="I100" s="3"/>
      <c r="J100" s="26"/>
      <c r="K100" s="3"/>
      <c r="L100" s="3">
        <f t="shared" si="8"/>
        <v>0</v>
      </c>
      <c r="M100" s="3"/>
      <c r="N100" s="26">
        <f t="shared" si="9"/>
        <v>0</v>
      </c>
      <c r="O100" s="9"/>
      <c r="P100" s="3">
        <f>0</f>
        <v>0</v>
      </c>
      <c r="Q100" s="3"/>
      <c r="R100" s="26"/>
      <c r="S100" s="3"/>
      <c r="T100" s="3">
        <f>-17.41</f>
        <v>-17.41</v>
      </c>
      <c r="U100" s="3"/>
      <c r="V100" s="26"/>
      <c r="W100" s="3"/>
      <c r="X100" s="3">
        <f t="shared" si="10"/>
        <v>17.41</v>
      </c>
      <c r="Y100" s="3"/>
      <c r="Z100" s="26">
        <f t="shared" si="11"/>
        <v>-1</v>
      </c>
    </row>
    <row r="101" spans="1:26" s="69" customFormat="1" ht="15" hidden="1" customHeight="1" outlineLevel="1" x14ac:dyDescent="0.3">
      <c r="A101" s="47"/>
      <c r="B101" s="9" t="str">
        <f>CONCATENATE("          ","4340"," - ","SALES RETURN NON TAXABLE-LOGO")</f>
        <v xml:space="preserve">          4340 - SALES RETURN NON TAXABLE-LOGO</v>
      </c>
      <c r="C101" s="9"/>
      <c r="D101" s="3">
        <f>0</f>
        <v>0</v>
      </c>
      <c r="E101" s="3"/>
      <c r="F101" s="26"/>
      <c r="G101" s="3"/>
      <c r="H101" s="3">
        <f>-286.5</f>
        <v>-286.5</v>
      </c>
      <c r="I101" s="3"/>
      <c r="J101" s="26"/>
      <c r="K101" s="3"/>
      <c r="L101" s="3">
        <f t="shared" si="8"/>
        <v>286.5</v>
      </c>
      <c r="M101" s="3"/>
      <c r="N101" s="26">
        <f t="shared" si="9"/>
        <v>-1</v>
      </c>
      <c r="O101" s="9"/>
      <c r="P101" s="3">
        <f>0</f>
        <v>0</v>
      </c>
      <c r="Q101" s="3"/>
      <c r="R101" s="26"/>
      <c r="S101" s="3"/>
      <c r="T101" s="3">
        <f>-3737.76</f>
        <v>-3737.76</v>
      </c>
      <c r="U101" s="3"/>
      <c r="V101" s="26"/>
      <c r="W101" s="3"/>
      <c r="X101" s="3">
        <f t="shared" si="10"/>
        <v>3737.76</v>
      </c>
      <c r="Y101" s="3"/>
      <c r="Z101" s="26">
        <f t="shared" si="11"/>
        <v>-1</v>
      </c>
    </row>
    <row r="102" spans="1:26" s="69" customFormat="1" ht="15" hidden="1" customHeight="1" outlineLevel="1" x14ac:dyDescent="0.3">
      <c r="A102" s="47"/>
      <c r="B102" s="9" t="str">
        <f>CONCATENATE("          ","4341"," - ","SALES RETURN NON TAXABLE-LOGO")</f>
        <v xml:space="preserve">          4341 - SALES RETURN NON TAXABLE-LOGO</v>
      </c>
      <c r="C102" s="9"/>
      <c r="D102" s="3">
        <f>0</f>
        <v>0</v>
      </c>
      <c r="E102" s="3"/>
      <c r="F102" s="26"/>
      <c r="G102" s="3"/>
      <c r="H102" s="3">
        <f>-20.85</f>
        <v>-20.85</v>
      </c>
      <c r="I102" s="3"/>
      <c r="J102" s="26"/>
      <c r="K102" s="3"/>
      <c r="L102" s="3">
        <f t="shared" si="8"/>
        <v>20.85</v>
      </c>
      <c r="M102" s="3"/>
      <c r="N102" s="26">
        <f t="shared" si="9"/>
        <v>-1</v>
      </c>
      <c r="O102" s="9"/>
      <c r="P102" s="3">
        <f>0</f>
        <v>0</v>
      </c>
      <c r="Q102" s="3"/>
      <c r="R102" s="26"/>
      <c r="S102" s="3"/>
      <c r="T102" s="3">
        <f>-527.59</f>
        <v>-527.59</v>
      </c>
      <c r="U102" s="3"/>
      <c r="V102" s="26"/>
      <c r="W102" s="3"/>
      <c r="X102" s="3">
        <f t="shared" si="10"/>
        <v>527.59</v>
      </c>
      <c r="Y102" s="3"/>
      <c r="Z102" s="26">
        <f t="shared" si="11"/>
        <v>-1</v>
      </c>
    </row>
    <row r="103" spans="1:26" s="69" customFormat="1" ht="15" hidden="1" customHeight="1" outlineLevel="1" x14ac:dyDescent="0.3">
      <c r="A103" s="47"/>
      <c r="B103" s="9" t="str">
        <f>CONCATENATE("          ","4342"," - ","SALES RETURN NON TAXABLE-EVERY")</f>
        <v xml:space="preserve">          4342 - SALES RETURN NON TAXABLE-EVERY</v>
      </c>
      <c r="C103" s="9"/>
      <c r="D103" s="3">
        <f>0</f>
        <v>0</v>
      </c>
      <c r="E103" s="3"/>
      <c r="F103" s="26"/>
      <c r="G103" s="3"/>
      <c r="H103" s="3">
        <f>0</f>
        <v>0</v>
      </c>
      <c r="I103" s="3"/>
      <c r="J103" s="26"/>
      <c r="K103" s="3"/>
      <c r="L103" s="3">
        <f t="shared" si="8"/>
        <v>0</v>
      </c>
      <c r="M103" s="3"/>
      <c r="N103" s="26">
        <f t="shared" si="9"/>
        <v>0</v>
      </c>
      <c r="O103" s="9"/>
      <c r="P103" s="3">
        <f>0</f>
        <v>0</v>
      </c>
      <c r="Q103" s="3"/>
      <c r="R103" s="26"/>
      <c r="S103" s="3"/>
      <c r="T103" s="3">
        <f>-118.7</f>
        <v>-118.7</v>
      </c>
      <c r="U103" s="3"/>
      <c r="V103" s="26"/>
      <c r="W103" s="3"/>
      <c r="X103" s="3">
        <f t="shared" si="10"/>
        <v>118.7</v>
      </c>
      <c r="Y103" s="3"/>
      <c r="Z103" s="26">
        <f t="shared" si="11"/>
        <v>-1</v>
      </c>
    </row>
    <row r="104" spans="1:26" s="69" customFormat="1" ht="15" hidden="1" customHeight="1" outlineLevel="1" x14ac:dyDescent="0.3">
      <c r="A104" s="47"/>
      <c r="B104" s="9" t="str">
        <f>CONCATENATE("          ","4381"," - ","SALES RETURN NON TAXABLE-ELECT")</f>
        <v xml:space="preserve">          4381 - SALES RETURN NON TAXABLE-ELECT</v>
      </c>
      <c r="C104" s="9"/>
      <c r="D104" s="3">
        <f>0</f>
        <v>0</v>
      </c>
      <c r="E104" s="3"/>
      <c r="F104" s="26"/>
      <c r="G104" s="3"/>
      <c r="H104" s="3">
        <f>-1.99</f>
        <v>-1.99</v>
      </c>
      <c r="I104" s="3"/>
      <c r="J104" s="26"/>
      <c r="K104" s="3"/>
      <c r="L104" s="3">
        <f t="shared" si="8"/>
        <v>1.99</v>
      </c>
      <c r="M104" s="3"/>
      <c r="N104" s="26">
        <f t="shared" si="9"/>
        <v>-1</v>
      </c>
      <c r="O104" s="9"/>
      <c r="P104" s="3">
        <f>0</f>
        <v>0</v>
      </c>
      <c r="Q104" s="3"/>
      <c r="R104" s="26"/>
      <c r="S104" s="3"/>
      <c r="T104" s="3">
        <f>-5626.14</f>
        <v>-5626.14</v>
      </c>
      <c r="U104" s="3"/>
      <c r="V104" s="26"/>
      <c r="W104" s="3"/>
      <c r="X104" s="3">
        <f t="shared" si="10"/>
        <v>5626.14</v>
      </c>
      <c r="Y104" s="3"/>
      <c r="Z104" s="26">
        <f t="shared" si="11"/>
        <v>-1</v>
      </c>
    </row>
    <row r="105" spans="1:26" s="69" customFormat="1" ht="15" hidden="1" customHeight="1" outlineLevel="1" x14ac:dyDescent="0.3">
      <c r="A105" s="47"/>
      <c r="B105" s="9" t="str">
        <f>CONCATENATE("          ","4383"," - ","SALES RETURN NON TAXABLE-COMPU")</f>
        <v xml:space="preserve">          4383 - SALES RETURN NON TAXABLE-COMPU</v>
      </c>
      <c r="C105" s="9"/>
      <c r="D105" s="3">
        <f>0</f>
        <v>0</v>
      </c>
      <c r="E105" s="3"/>
      <c r="F105" s="26"/>
      <c r="G105" s="3"/>
      <c r="H105" s="3">
        <f>0</f>
        <v>0</v>
      </c>
      <c r="I105" s="3"/>
      <c r="J105" s="26"/>
      <c r="K105" s="3"/>
      <c r="L105" s="3">
        <f t="shared" si="8"/>
        <v>0</v>
      </c>
      <c r="M105" s="3"/>
      <c r="N105" s="26">
        <f t="shared" si="9"/>
        <v>0</v>
      </c>
      <c r="O105" s="9"/>
      <c r="P105" s="3">
        <f>0</f>
        <v>0</v>
      </c>
      <c r="Q105" s="3"/>
      <c r="R105" s="26"/>
      <c r="S105" s="3"/>
      <c r="T105" s="3">
        <f>-14.99</f>
        <v>-14.99</v>
      </c>
      <c r="U105" s="3"/>
      <c r="V105" s="26"/>
      <c r="W105" s="3"/>
      <c r="X105" s="3">
        <f t="shared" si="10"/>
        <v>14.99</v>
      </c>
      <c r="Y105" s="3"/>
      <c r="Z105" s="26">
        <f t="shared" si="11"/>
        <v>-1</v>
      </c>
    </row>
    <row r="106" spans="1:26" s="69" customFormat="1" ht="15" hidden="1" customHeight="1" outlineLevel="1" x14ac:dyDescent="0.3">
      <c r="A106" s="47"/>
      <c r="B106" s="9" t="str">
        <f>CONCATENATE("          ","4500"," - ","SALES DISCOUNT")</f>
        <v xml:space="preserve">          4500 - SALES DISCOUNT</v>
      </c>
      <c r="C106" s="9"/>
      <c r="D106" s="3">
        <f>-7918.31</f>
        <v>-7918.31</v>
      </c>
      <c r="E106" s="3"/>
      <c r="F106" s="26"/>
      <c r="G106" s="3"/>
      <c r="H106" s="3">
        <f>0</f>
        <v>0</v>
      </c>
      <c r="I106" s="3"/>
      <c r="J106" s="26"/>
      <c r="K106" s="3"/>
      <c r="L106" s="3">
        <f t="shared" si="8"/>
        <v>-7918.31</v>
      </c>
      <c r="M106" s="3"/>
      <c r="N106" s="26">
        <f t="shared" si="9"/>
        <v>0</v>
      </c>
      <c r="O106" s="9"/>
      <c r="P106" s="3">
        <f>-137275.4</f>
        <v>-137275.4</v>
      </c>
      <c r="Q106" s="3"/>
      <c r="R106" s="26"/>
      <c r="S106" s="3"/>
      <c r="T106" s="3">
        <f>0</f>
        <v>0</v>
      </c>
      <c r="U106" s="3"/>
      <c r="V106" s="26"/>
      <c r="W106" s="3"/>
      <c r="X106" s="3">
        <f t="shared" si="10"/>
        <v>-137275.4</v>
      </c>
      <c r="Y106" s="3"/>
      <c r="Z106" s="26">
        <f t="shared" si="11"/>
        <v>0</v>
      </c>
    </row>
    <row r="107" spans="1:26" ht="15" customHeight="1" x14ac:dyDescent="0.3">
      <c r="A107" s="12"/>
      <c r="B107" s="13"/>
      <c r="C107" s="12"/>
      <c r="D107" s="4"/>
      <c r="E107" s="4"/>
      <c r="F107" s="10"/>
      <c r="G107" s="4"/>
      <c r="H107" s="4"/>
      <c r="I107" s="4"/>
      <c r="J107" s="10"/>
      <c r="K107" s="4"/>
      <c r="L107" s="4"/>
      <c r="M107" s="4"/>
      <c r="N107" s="10"/>
      <c r="P107" s="4"/>
      <c r="Q107" s="4"/>
      <c r="R107" s="10"/>
      <c r="S107" s="4"/>
      <c r="T107" s="4"/>
      <c r="U107" s="4"/>
      <c r="V107" s="10"/>
      <c r="W107" s="4"/>
      <c r="X107" s="4"/>
      <c r="Y107" s="4"/>
      <c r="Z107" s="10"/>
    </row>
    <row r="108" spans="1:26" s="62" customFormat="1" ht="15" customHeight="1" collapsed="1" x14ac:dyDescent="0.3">
      <c r="A108" s="13"/>
      <c r="B108" s="27" t="s">
        <v>287</v>
      </c>
      <c r="C108" s="13"/>
      <c r="D108" s="8">
        <f>SUM(OSRRefD16x_0)</f>
        <v>829072.44</v>
      </c>
      <c r="E108" s="8"/>
      <c r="F108" s="14">
        <f t="shared" ref="F108:F139" si="12">IF(D$12=0,0,D108/D$12)</f>
        <v>0.88039686564474229</v>
      </c>
      <c r="G108" s="8"/>
      <c r="H108" s="8">
        <f>SUM(OSRRefH16x_0)</f>
        <v>317774.34999999992</v>
      </c>
      <c r="I108" s="8"/>
      <c r="J108" s="14">
        <f t="shared" ref="J108:J139" si="13">IF(H$12=0,0,H108/H$12)</f>
        <v>0.7045976490303848</v>
      </c>
      <c r="K108" s="8"/>
      <c r="L108" s="8">
        <f t="shared" ref="L108:L139" si="14">+D108-H108</f>
        <v>511298.09</v>
      </c>
      <c r="M108" s="8"/>
      <c r="N108" s="14">
        <f t="shared" ref="N108:N139" si="15">IF(H108=0,0,L108/H108)</f>
        <v>1.6089973592896978</v>
      </c>
      <c r="O108" s="13"/>
      <c r="P108" s="8">
        <f>SUM(OSRRefP16x_0)</f>
        <v>10588767.67</v>
      </c>
      <c r="Q108" s="8"/>
      <c r="R108" s="14">
        <f t="shared" ref="R108:R139" si="16">IF(P$12=0,0,P108/P$12)</f>
        <v>0.42344473653650166</v>
      </c>
      <c r="S108" s="8"/>
      <c r="T108" s="8">
        <f>SUM(OSRRefT16x_0)</f>
        <v>6288271.2600000007</v>
      </c>
      <c r="U108" s="8"/>
      <c r="V108" s="14">
        <f t="shared" ref="V108:V139" si="17">IF(T$12=0,0,T108/T$12)</f>
        <v>0.61269546764506866</v>
      </c>
      <c r="W108" s="8"/>
      <c r="X108" s="8">
        <f t="shared" ref="X108:X139" si="18">+P108-T108</f>
        <v>4300496.4099999992</v>
      </c>
      <c r="Y108" s="8"/>
      <c r="Z108" s="14">
        <f t="shared" ref="Z108:Z139" si="19">IF(T108=0,0,X108/T108)</f>
        <v>0.68389168217911744</v>
      </c>
    </row>
    <row r="109" spans="1:26" s="69" customFormat="1" ht="15" hidden="1" customHeight="1" outlineLevel="1" x14ac:dyDescent="0.3">
      <c r="A109" s="47"/>
      <c r="B109" s="9" t="str">
        <f>CONCATENATE("          ","5000"," - ","PURCHASES @ COST")</f>
        <v xml:space="preserve">          5000 - PURCHASES @ COST</v>
      </c>
      <c r="C109" s="9"/>
      <c r="D109" s="3">
        <v>785276.08</v>
      </c>
      <c r="E109" s="3"/>
      <c r="F109" s="26">
        <f t="shared" si="12"/>
        <v>0.83388925519920776</v>
      </c>
      <c r="G109" s="3"/>
      <c r="H109" s="3"/>
      <c r="I109" s="3"/>
      <c r="J109" s="26">
        <f t="shared" si="13"/>
        <v>0</v>
      </c>
      <c r="K109" s="3"/>
      <c r="L109" s="3">
        <f t="shared" si="14"/>
        <v>785276.08</v>
      </c>
      <c r="M109" s="3"/>
      <c r="N109" s="26">
        <f t="shared" si="15"/>
        <v>0</v>
      </c>
      <c r="O109" s="9"/>
      <c r="P109" s="3">
        <v>7039186.1600000001</v>
      </c>
      <c r="Q109" s="3"/>
      <c r="R109" s="26">
        <f t="shared" si="16"/>
        <v>0.28149699963646374</v>
      </c>
      <c r="S109" s="3"/>
      <c r="T109" s="3">
        <v>0</v>
      </c>
      <c r="U109" s="3"/>
      <c r="V109" s="26">
        <f t="shared" si="17"/>
        <v>0</v>
      </c>
      <c r="W109" s="3"/>
      <c r="X109" s="3">
        <f t="shared" si="18"/>
        <v>7039186.1600000001</v>
      </c>
      <c r="Y109" s="3"/>
      <c r="Z109" s="26">
        <f t="shared" si="19"/>
        <v>0</v>
      </c>
    </row>
    <row r="110" spans="1:26" s="69" customFormat="1" ht="15" hidden="1" customHeight="1" outlineLevel="1" x14ac:dyDescent="0.3">
      <c r="A110" s="47"/>
      <c r="B110" s="9" t="str">
        <f>CONCATENATE("          ","5001"," - ","PURCHASES @ COST-NEW TEXT")</f>
        <v xml:space="preserve">          5001 - PURCHASES @ COST-NEW TEXT</v>
      </c>
      <c r="C110" s="9"/>
      <c r="D110" s="3"/>
      <c r="E110" s="3"/>
      <c r="F110" s="26">
        <f t="shared" si="12"/>
        <v>0</v>
      </c>
      <c r="G110" s="3"/>
      <c r="H110" s="3">
        <v>142777.26</v>
      </c>
      <c r="I110" s="3"/>
      <c r="J110" s="26">
        <f t="shared" si="13"/>
        <v>0.31657848322559712</v>
      </c>
      <c r="K110" s="3"/>
      <c r="L110" s="3">
        <f t="shared" si="14"/>
        <v>-142777.26</v>
      </c>
      <c r="M110" s="3"/>
      <c r="N110" s="26">
        <f t="shared" si="15"/>
        <v>-1</v>
      </c>
      <c r="O110" s="9"/>
      <c r="P110" s="3">
        <v>0</v>
      </c>
      <c r="Q110" s="3"/>
      <c r="R110" s="26">
        <f t="shared" si="16"/>
        <v>0</v>
      </c>
      <c r="S110" s="3"/>
      <c r="T110" s="3">
        <v>1214343.74</v>
      </c>
      <c r="U110" s="3"/>
      <c r="V110" s="26">
        <f t="shared" si="17"/>
        <v>0.11831914923803105</v>
      </c>
      <c r="W110" s="3"/>
      <c r="X110" s="3">
        <f t="shared" si="18"/>
        <v>-1214343.74</v>
      </c>
      <c r="Y110" s="3"/>
      <c r="Z110" s="26">
        <f t="shared" si="19"/>
        <v>-1</v>
      </c>
    </row>
    <row r="111" spans="1:26" s="69" customFormat="1" ht="15" hidden="1" customHeight="1" outlineLevel="1" x14ac:dyDescent="0.3">
      <c r="A111" s="47"/>
      <c r="B111" s="9" t="str">
        <f>CONCATENATE("          ","5002"," - ","PURCHASES @ COST-USED TEXT")</f>
        <v xml:space="preserve">          5002 - PURCHASES @ COST-USED TEXT</v>
      </c>
      <c r="C111" s="9"/>
      <c r="D111" s="3"/>
      <c r="E111" s="3"/>
      <c r="F111" s="26">
        <f t="shared" si="12"/>
        <v>0</v>
      </c>
      <c r="G111" s="3"/>
      <c r="H111" s="3">
        <v>-17366.759999999998</v>
      </c>
      <c r="I111" s="3"/>
      <c r="J111" s="26">
        <f t="shared" si="13"/>
        <v>-3.8507130192461818E-2</v>
      </c>
      <c r="K111" s="3"/>
      <c r="L111" s="3">
        <f t="shared" si="14"/>
        <v>17366.759999999998</v>
      </c>
      <c r="M111" s="3"/>
      <c r="N111" s="26">
        <f t="shared" si="15"/>
        <v>-1</v>
      </c>
      <c r="O111" s="9"/>
      <c r="P111" s="3">
        <v>0</v>
      </c>
      <c r="Q111" s="3"/>
      <c r="R111" s="26">
        <f t="shared" si="16"/>
        <v>0</v>
      </c>
      <c r="S111" s="3"/>
      <c r="T111" s="3">
        <v>262546.52</v>
      </c>
      <c r="U111" s="3"/>
      <c r="V111" s="26">
        <f t="shared" si="17"/>
        <v>2.5581126544783526E-2</v>
      </c>
      <c r="W111" s="3"/>
      <c r="X111" s="3">
        <f t="shared" si="18"/>
        <v>-262546.52</v>
      </c>
      <c r="Y111" s="3"/>
      <c r="Z111" s="26">
        <f t="shared" si="19"/>
        <v>-1</v>
      </c>
    </row>
    <row r="112" spans="1:26" s="69" customFormat="1" ht="15" hidden="1" customHeight="1" outlineLevel="1" x14ac:dyDescent="0.3">
      <c r="A112" s="47"/>
      <c r="B112" s="9" t="str">
        <f>CONCATENATE("          ","5003"," - ","PURCHASES @ COST-RENTAL TEXT")</f>
        <v xml:space="preserve">          5003 - PURCHASES @ COST-RENTAL TEXT</v>
      </c>
      <c r="C112" s="9"/>
      <c r="D112" s="3"/>
      <c r="E112" s="3"/>
      <c r="F112" s="26">
        <f t="shared" si="12"/>
        <v>0</v>
      </c>
      <c r="G112" s="3"/>
      <c r="H112" s="3">
        <v>6024.36</v>
      </c>
      <c r="I112" s="3"/>
      <c r="J112" s="26">
        <f t="shared" si="13"/>
        <v>1.3357748644321639E-2</v>
      </c>
      <c r="K112" s="3"/>
      <c r="L112" s="3">
        <f t="shared" si="14"/>
        <v>-6024.36</v>
      </c>
      <c r="M112" s="3"/>
      <c r="N112" s="26">
        <f t="shared" si="15"/>
        <v>-1</v>
      </c>
      <c r="O112" s="9"/>
      <c r="P112" s="3"/>
      <c r="Q112" s="3"/>
      <c r="R112" s="26">
        <f t="shared" si="16"/>
        <v>0</v>
      </c>
      <c r="S112" s="3"/>
      <c r="T112" s="3">
        <v>13236.44</v>
      </c>
      <c r="U112" s="3"/>
      <c r="V112" s="26">
        <f t="shared" si="17"/>
        <v>1.2896878109160787E-3</v>
      </c>
      <c r="W112" s="3"/>
      <c r="X112" s="3">
        <f t="shared" si="18"/>
        <v>-13236.44</v>
      </c>
      <c r="Y112" s="3"/>
      <c r="Z112" s="26">
        <f t="shared" si="19"/>
        <v>-1</v>
      </c>
    </row>
    <row r="113" spans="1:26" s="69" customFormat="1" ht="15" hidden="1" customHeight="1" outlineLevel="1" x14ac:dyDescent="0.3">
      <c r="A113" s="47"/>
      <c r="B113" s="9" t="str">
        <f>CONCATENATE("          ","5004"," - ","PURCHASES @ COST-DIGITAL TEXT")</f>
        <v xml:space="preserve">          5004 - PURCHASES @ COST-DIGITAL TEXT</v>
      </c>
      <c r="C113" s="9"/>
      <c r="D113" s="3"/>
      <c r="E113" s="3"/>
      <c r="F113" s="26">
        <f t="shared" si="12"/>
        <v>0</v>
      </c>
      <c r="G113" s="3"/>
      <c r="H113" s="3">
        <v>178285.37</v>
      </c>
      <c r="I113" s="3"/>
      <c r="J113" s="26">
        <f t="shared" si="13"/>
        <v>0.39531023368787421</v>
      </c>
      <c r="K113" s="3"/>
      <c r="L113" s="3">
        <f t="shared" si="14"/>
        <v>-178285.37</v>
      </c>
      <c r="M113" s="3"/>
      <c r="N113" s="26">
        <f t="shared" si="15"/>
        <v>-1</v>
      </c>
      <c r="O113" s="9"/>
      <c r="P113" s="3">
        <v>0</v>
      </c>
      <c r="Q113" s="3"/>
      <c r="R113" s="26">
        <f t="shared" si="16"/>
        <v>0</v>
      </c>
      <c r="S113" s="3"/>
      <c r="T113" s="3">
        <v>377891.8</v>
      </c>
      <c r="U113" s="3"/>
      <c r="V113" s="26">
        <f t="shared" si="17"/>
        <v>3.6819752766237487E-2</v>
      </c>
      <c r="W113" s="3"/>
      <c r="X113" s="3">
        <f t="shared" si="18"/>
        <v>-377891.8</v>
      </c>
      <c r="Y113" s="3"/>
      <c r="Z113" s="26">
        <f t="shared" si="19"/>
        <v>-1</v>
      </c>
    </row>
    <row r="114" spans="1:26" s="69" customFormat="1" ht="15" hidden="1" customHeight="1" outlineLevel="1" x14ac:dyDescent="0.3">
      <c r="A114" s="47"/>
      <c r="B114" s="9" t="str">
        <f>CONCATENATE("          ","5011"," - ","PURCHASES @ COST-NO VALUE TEXT")</f>
        <v xml:space="preserve">          5011 - PURCHASES @ COST-NO VALUE TEXT</v>
      </c>
      <c r="C114" s="9"/>
      <c r="D114" s="3"/>
      <c r="E114" s="3"/>
      <c r="F114" s="26">
        <f t="shared" si="12"/>
        <v>0</v>
      </c>
      <c r="G114" s="3"/>
      <c r="H114" s="3">
        <v>63.17</v>
      </c>
      <c r="I114" s="3"/>
      <c r="J114" s="26">
        <f t="shared" si="13"/>
        <v>1.4006616169382274E-4</v>
      </c>
      <c r="K114" s="3"/>
      <c r="L114" s="3">
        <f t="shared" si="14"/>
        <v>-63.17</v>
      </c>
      <c r="M114" s="3"/>
      <c r="N114" s="26">
        <f t="shared" si="15"/>
        <v>-1</v>
      </c>
      <c r="O114" s="9"/>
      <c r="P114" s="3"/>
      <c r="Q114" s="3"/>
      <c r="R114" s="26">
        <f t="shared" si="16"/>
        <v>0</v>
      </c>
      <c r="S114" s="3"/>
      <c r="T114" s="3">
        <v>130.34</v>
      </c>
      <c r="U114" s="3"/>
      <c r="V114" s="26">
        <f t="shared" si="17"/>
        <v>1.2699631417118325E-5</v>
      </c>
      <c r="W114" s="3"/>
      <c r="X114" s="3">
        <f t="shared" si="18"/>
        <v>-130.34</v>
      </c>
      <c r="Y114" s="3"/>
      <c r="Z114" s="26">
        <f t="shared" si="19"/>
        <v>-1</v>
      </c>
    </row>
    <row r="115" spans="1:26" s="69" customFormat="1" ht="15" hidden="1" customHeight="1" outlineLevel="1" x14ac:dyDescent="0.3">
      <c r="A115" s="47"/>
      <c r="B115" s="9" t="str">
        <f>CONCATENATE("          ","5013"," - ","PURCHASES @ COST-TRADE BOOKS")</f>
        <v xml:space="preserve">          5013 - PURCHASES @ COST-TRADE BOOKS</v>
      </c>
      <c r="C115" s="9"/>
      <c r="D115" s="3"/>
      <c r="E115" s="3"/>
      <c r="F115" s="26">
        <f t="shared" si="12"/>
        <v>0</v>
      </c>
      <c r="G115" s="3"/>
      <c r="H115" s="3">
        <v>1964.92</v>
      </c>
      <c r="I115" s="3"/>
      <c r="J115" s="26">
        <f t="shared" si="13"/>
        <v>4.3567959859969318E-3</v>
      </c>
      <c r="K115" s="3"/>
      <c r="L115" s="3">
        <f t="shared" si="14"/>
        <v>-1964.92</v>
      </c>
      <c r="M115" s="3"/>
      <c r="N115" s="26">
        <f t="shared" si="15"/>
        <v>-1</v>
      </c>
      <c r="O115" s="9"/>
      <c r="P115" s="3"/>
      <c r="Q115" s="3"/>
      <c r="R115" s="26">
        <f t="shared" si="16"/>
        <v>0</v>
      </c>
      <c r="S115" s="3"/>
      <c r="T115" s="3">
        <v>11634.94</v>
      </c>
      <c r="U115" s="3"/>
      <c r="V115" s="26">
        <f t="shared" si="17"/>
        <v>1.1336462295556751E-3</v>
      </c>
      <c r="W115" s="3"/>
      <c r="X115" s="3">
        <f t="shared" si="18"/>
        <v>-11634.94</v>
      </c>
      <c r="Y115" s="3"/>
      <c r="Z115" s="26">
        <f t="shared" si="19"/>
        <v>-1</v>
      </c>
    </row>
    <row r="116" spans="1:26" s="69" customFormat="1" ht="15" hidden="1" customHeight="1" outlineLevel="1" x14ac:dyDescent="0.3">
      <c r="A116" s="47"/>
      <c r="B116" s="9" t="str">
        <f>CONCATENATE("          ","5014"," - ","PURCHASES @ COST-REMAINDERS")</f>
        <v xml:space="preserve">          5014 - PURCHASES @ COST-REMAINDERS</v>
      </c>
      <c r="C116" s="9"/>
      <c r="D116" s="3"/>
      <c r="E116" s="3"/>
      <c r="F116" s="26">
        <f t="shared" si="12"/>
        <v>0</v>
      </c>
      <c r="G116" s="3"/>
      <c r="H116" s="3">
        <v>-161.43</v>
      </c>
      <c r="I116" s="3"/>
      <c r="J116" s="26">
        <f t="shared" si="13"/>
        <v>-3.5793700304311867E-4</v>
      </c>
      <c r="K116" s="3"/>
      <c r="L116" s="3">
        <f t="shared" si="14"/>
        <v>161.43</v>
      </c>
      <c r="M116" s="3"/>
      <c r="N116" s="26">
        <f t="shared" si="15"/>
        <v>-1</v>
      </c>
      <c r="O116" s="9"/>
      <c r="P116" s="3"/>
      <c r="Q116" s="3"/>
      <c r="R116" s="26">
        <f t="shared" si="16"/>
        <v>0</v>
      </c>
      <c r="S116" s="3"/>
      <c r="T116" s="3">
        <v>-49.86</v>
      </c>
      <c r="U116" s="3"/>
      <c r="V116" s="26">
        <f t="shared" si="17"/>
        <v>-4.858091318532451E-6</v>
      </c>
      <c r="W116" s="3"/>
      <c r="X116" s="3">
        <f t="shared" si="18"/>
        <v>49.86</v>
      </c>
      <c r="Y116" s="3"/>
      <c r="Z116" s="26">
        <f t="shared" si="19"/>
        <v>-1</v>
      </c>
    </row>
    <row r="117" spans="1:26" s="69" customFormat="1" ht="15" hidden="1" customHeight="1" outlineLevel="1" x14ac:dyDescent="0.3">
      <c r="A117" s="47"/>
      <c r="B117" s="9" t="str">
        <f>CONCATENATE("          ","5018"," - ","PURCHASES @ COST-STUDY GUIDES")</f>
        <v xml:space="preserve">          5018 - PURCHASES @ COST-STUDY GUIDES</v>
      </c>
      <c r="C117" s="9"/>
      <c r="D117" s="3"/>
      <c r="E117" s="3"/>
      <c r="F117" s="26">
        <f t="shared" si="12"/>
        <v>0</v>
      </c>
      <c r="G117" s="3"/>
      <c r="H117" s="3">
        <v>476.17</v>
      </c>
      <c r="I117" s="3"/>
      <c r="J117" s="26">
        <f t="shared" si="13"/>
        <v>1.0558066204487506E-3</v>
      </c>
      <c r="K117" s="3"/>
      <c r="L117" s="3">
        <f t="shared" si="14"/>
        <v>-476.17</v>
      </c>
      <c r="M117" s="3"/>
      <c r="N117" s="26">
        <f t="shared" si="15"/>
        <v>-1</v>
      </c>
      <c r="O117" s="9"/>
      <c r="P117" s="3"/>
      <c r="Q117" s="3"/>
      <c r="R117" s="26">
        <f t="shared" si="16"/>
        <v>0</v>
      </c>
      <c r="S117" s="3"/>
      <c r="T117" s="3">
        <v>1443.38</v>
      </c>
      <c r="U117" s="3"/>
      <c r="V117" s="26">
        <f t="shared" si="17"/>
        <v>1.4063521555040853E-4</v>
      </c>
      <c r="W117" s="3"/>
      <c r="X117" s="3">
        <f t="shared" si="18"/>
        <v>-1443.38</v>
      </c>
      <c r="Y117" s="3"/>
      <c r="Z117" s="26">
        <f t="shared" si="19"/>
        <v>-1</v>
      </c>
    </row>
    <row r="118" spans="1:26" s="69" customFormat="1" ht="15" hidden="1" customHeight="1" outlineLevel="1" x14ac:dyDescent="0.3">
      <c r="A118" s="47"/>
      <c r="B118" s="9" t="str">
        <f>CONCATENATE("          ","5025"," - ","PURCHASES @ COST-TEST FORMS")</f>
        <v xml:space="preserve">          5025 - PURCHASES @ COST-TEST FORMS</v>
      </c>
      <c r="C118" s="9"/>
      <c r="D118" s="3"/>
      <c r="E118" s="3"/>
      <c r="F118" s="26">
        <f t="shared" si="12"/>
        <v>0</v>
      </c>
      <c r="G118" s="3"/>
      <c r="H118" s="3">
        <v>161</v>
      </c>
      <c r="I118" s="3"/>
      <c r="J118" s="26">
        <f t="shared" si="13"/>
        <v>3.5698356866717526E-4</v>
      </c>
      <c r="K118" s="3"/>
      <c r="L118" s="3">
        <f t="shared" si="14"/>
        <v>-161</v>
      </c>
      <c r="M118" s="3"/>
      <c r="N118" s="26">
        <f t="shared" si="15"/>
        <v>-1</v>
      </c>
      <c r="O118" s="9"/>
      <c r="P118" s="3"/>
      <c r="Q118" s="3"/>
      <c r="R118" s="26">
        <f t="shared" si="16"/>
        <v>0</v>
      </c>
      <c r="S118" s="3"/>
      <c r="T118" s="3">
        <v>760.29</v>
      </c>
      <c r="U118" s="3"/>
      <c r="V118" s="26">
        <f t="shared" si="17"/>
        <v>7.4078585009366976E-5</v>
      </c>
      <c r="W118" s="3"/>
      <c r="X118" s="3">
        <f t="shared" si="18"/>
        <v>-760.29</v>
      </c>
      <c r="Y118" s="3"/>
      <c r="Z118" s="26">
        <f t="shared" si="19"/>
        <v>-1</v>
      </c>
    </row>
    <row r="119" spans="1:26" s="69" customFormat="1" ht="15" hidden="1" customHeight="1" outlineLevel="1" x14ac:dyDescent="0.3">
      <c r="A119" s="47"/>
      <c r="B119" s="9" t="str">
        <f>CONCATENATE("          ","5026"," - ","PURCHASES @ COST-WRITING INSTR")</f>
        <v xml:space="preserve">          5026 - PURCHASES @ COST-WRITING INSTR</v>
      </c>
      <c r="C119" s="9"/>
      <c r="D119" s="3"/>
      <c r="E119" s="3"/>
      <c r="F119" s="26">
        <f t="shared" si="12"/>
        <v>0</v>
      </c>
      <c r="G119" s="3"/>
      <c r="H119" s="3">
        <v>1361.75</v>
      </c>
      <c r="I119" s="3"/>
      <c r="J119" s="26">
        <f t="shared" si="13"/>
        <v>3.0193936312579248E-3</v>
      </c>
      <c r="K119" s="3"/>
      <c r="L119" s="3">
        <f t="shared" si="14"/>
        <v>-1361.75</v>
      </c>
      <c r="M119" s="3"/>
      <c r="N119" s="26">
        <f t="shared" si="15"/>
        <v>-1</v>
      </c>
      <c r="O119" s="9"/>
      <c r="P119" s="3">
        <v>0</v>
      </c>
      <c r="Q119" s="3"/>
      <c r="R119" s="26">
        <f t="shared" si="16"/>
        <v>0</v>
      </c>
      <c r="S119" s="3"/>
      <c r="T119" s="3">
        <v>1944.25</v>
      </c>
      <c r="U119" s="3"/>
      <c r="V119" s="26">
        <f t="shared" si="17"/>
        <v>1.894373053761877E-4</v>
      </c>
      <c r="W119" s="3"/>
      <c r="X119" s="3">
        <f t="shared" si="18"/>
        <v>-1944.25</v>
      </c>
      <c r="Y119" s="3"/>
      <c r="Z119" s="26">
        <f t="shared" si="19"/>
        <v>-1</v>
      </c>
    </row>
    <row r="120" spans="1:26" s="69" customFormat="1" ht="15" hidden="1" customHeight="1" outlineLevel="1" x14ac:dyDescent="0.3">
      <c r="A120" s="47"/>
      <c r="B120" s="9" t="str">
        <f>CONCATENATE("          ","5027"," - ","PURCHASES @ COST-SCHOOL SUPPLI")</f>
        <v xml:space="preserve">          5027 - PURCHASES @ COST-SCHOOL SUPPLI</v>
      </c>
      <c r="C120" s="9"/>
      <c r="D120" s="3"/>
      <c r="E120" s="3"/>
      <c r="F120" s="26">
        <f t="shared" si="12"/>
        <v>0</v>
      </c>
      <c r="G120" s="3"/>
      <c r="H120" s="3">
        <v>-23546.66</v>
      </c>
      <c r="I120" s="3"/>
      <c r="J120" s="26">
        <f t="shared" si="13"/>
        <v>-5.2209756006165398E-2</v>
      </c>
      <c r="K120" s="3"/>
      <c r="L120" s="3">
        <f t="shared" si="14"/>
        <v>23546.66</v>
      </c>
      <c r="M120" s="3"/>
      <c r="N120" s="26">
        <f t="shared" si="15"/>
        <v>-1</v>
      </c>
      <c r="O120" s="9"/>
      <c r="P120" s="3">
        <v>0</v>
      </c>
      <c r="Q120" s="3"/>
      <c r="R120" s="26">
        <f t="shared" si="16"/>
        <v>0</v>
      </c>
      <c r="S120" s="3"/>
      <c r="T120" s="3">
        <v>188.33</v>
      </c>
      <c r="U120" s="3"/>
      <c r="V120" s="26">
        <f t="shared" si="17"/>
        <v>1.8349866386265878E-5</v>
      </c>
      <c r="W120" s="3"/>
      <c r="X120" s="3">
        <f t="shared" si="18"/>
        <v>-188.33</v>
      </c>
      <c r="Y120" s="3"/>
      <c r="Z120" s="26">
        <f t="shared" si="19"/>
        <v>-1</v>
      </c>
    </row>
    <row r="121" spans="1:26" s="69" customFormat="1" ht="15" hidden="1" customHeight="1" outlineLevel="1" x14ac:dyDescent="0.3">
      <c r="A121" s="47"/>
      <c r="B121" s="9" t="str">
        <f>CONCATENATE("          ","5028"," - ","PURCHASES @ COST-ART/TECH")</f>
        <v xml:space="preserve">          5028 - PURCHASES @ COST-ART/TECH</v>
      </c>
      <c r="C121" s="9"/>
      <c r="D121" s="3"/>
      <c r="E121" s="3"/>
      <c r="F121" s="26">
        <f t="shared" si="12"/>
        <v>0</v>
      </c>
      <c r="G121" s="3"/>
      <c r="H121" s="3">
        <v>4965.34</v>
      </c>
      <c r="I121" s="3"/>
      <c r="J121" s="26">
        <f t="shared" si="13"/>
        <v>1.1009594986620323E-2</v>
      </c>
      <c r="K121" s="3"/>
      <c r="L121" s="3">
        <f t="shared" si="14"/>
        <v>-4965.34</v>
      </c>
      <c r="M121" s="3"/>
      <c r="N121" s="26">
        <f t="shared" si="15"/>
        <v>-1</v>
      </c>
      <c r="O121" s="9"/>
      <c r="P121" s="3">
        <v>0</v>
      </c>
      <c r="Q121" s="3"/>
      <c r="R121" s="26">
        <f t="shared" si="16"/>
        <v>0</v>
      </c>
      <c r="S121" s="3"/>
      <c r="T121" s="3">
        <v>52646.080000000002</v>
      </c>
      <c r="U121" s="3"/>
      <c r="V121" s="26">
        <f t="shared" si="17"/>
        <v>5.1295520297385665E-3</v>
      </c>
      <c r="W121" s="3"/>
      <c r="X121" s="3">
        <f t="shared" si="18"/>
        <v>-52646.080000000002</v>
      </c>
      <c r="Y121" s="3"/>
      <c r="Z121" s="26">
        <f t="shared" si="19"/>
        <v>-1</v>
      </c>
    </row>
    <row r="122" spans="1:26" s="69" customFormat="1" ht="15" hidden="1" customHeight="1" outlineLevel="1" x14ac:dyDescent="0.3">
      <c r="A122" s="47"/>
      <c r="B122" s="9" t="str">
        <f>CONCATENATE("          ","5031"," - ","PURCHASES @ COST-FOOD")</f>
        <v xml:space="preserve">          5031 - PURCHASES @ COST-FOOD</v>
      </c>
      <c r="C122" s="9"/>
      <c r="D122" s="3"/>
      <c r="E122" s="3"/>
      <c r="F122" s="26">
        <f t="shared" si="12"/>
        <v>0</v>
      </c>
      <c r="G122" s="3"/>
      <c r="H122" s="3">
        <v>75599.55</v>
      </c>
      <c r="I122" s="3"/>
      <c r="J122" s="26">
        <f t="shared" si="13"/>
        <v>0.16762606924616491</v>
      </c>
      <c r="K122" s="3"/>
      <c r="L122" s="3">
        <f t="shared" si="14"/>
        <v>-75599.55</v>
      </c>
      <c r="M122" s="3"/>
      <c r="N122" s="26">
        <f t="shared" si="15"/>
        <v>-1</v>
      </c>
      <c r="O122" s="9"/>
      <c r="P122" s="3">
        <v>0</v>
      </c>
      <c r="Q122" s="3"/>
      <c r="R122" s="26">
        <f t="shared" si="16"/>
        <v>0</v>
      </c>
      <c r="S122" s="3"/>
      <c r="T122" s="3">
        <v>83665.64</v>
      </c>
      <c r="U122" s="3"/>
      <c r="V122" s="26">
        <f t="shared" si="17"/>
        <v>8.1519317958977412E-3</v>
      </c>
      <c r="W122" s="3"/>
      <c r="X122" s="3">
        <f t="shared" si="18"/>
        <v>-83665.64</v>
      </c>
      <c r="Y122" s="3"/>
      <c r="Z122" s="26">
        <f t="shared" si="19"/>
        <v>-1</v>
      </c>
    </row>
    <row r="123" spans="1:26" s="69" customFormat="1" ht="15" hidden="1" customHeight="1" outlineLevel="1" x14ac:dyDescent="0.3">
      <c r="A123" s="47"/>
      <c r="B123" s="9" t="str">
        <f>CONCATENATE("          ","5032"," - ","PURCHASES @ COST-JUICE")</f>
        <v xml:space="preserve">          5032 - PURCHASES @ COST-JUICE</v>
      </c>
      <c r="C123" s="9"/>
      <c r="D123" s="3"/>
      <c r="E123" s="3"/>
      <c r="F123" s="26">
        <f t="shared" si="12"/>
        <v>0</v>
      </c>
      <c r="G123" s="3"/>
      <c r="H123" s="3">
        <v>291</v>
      </c>
      <c r="I123" s="3"/>
      <c r="J123" s="26">
        <f t="shared" si="13"/>
        <v>6.4523117069657148E-4</v>
      </c>
      <c r="K123" s="3"/>
      <c r="L123" s="3">
        <f t="shared" si="14"/>
        <v>-291</v>
      </c>
      <c r="M123" s="3"/>
      <c r="N123" s="26">
        <f t="shared" si="15"/>
        <v>-1</v>
      </c>
      <c r="O123" s="9"/>
      <c r="P123" s="3"/>
      <c r="Q123" s="3"/>
      <c r="R123" s="26">
        <f t="shared" si="16"/>
        <v>0</v>
      </c>
      <c r="S123" s="3"/>
      <c r="T123" s="3">
        <v>291</v>
      </c>
      <c r="U123" s="3"/>
      <c r="V123" s="26">
        <f t="shared" si="17"/>
        <v>2.8353481221278447E-5</v>
      </c>
      <c r="W123" s="3"/>
      <c r="X123" s="3">
        <f t="shared" si="18"/>
        <v>-291</v>
      </c>
      <c r="Y123" s="3"/>
      <c r="Z123" s="26">
        <f t="shared" si="19"/>
        <v>-1</v>
      </c>
    </row>
    <row r="124" spans="1:26" s="69" customFormat="1" ht="15" hidden="1" customHeight="1" outlineLevel="1" x14ac:dyDescent="0.3">
      <c r="A124" s="47"/>
      <c r="B124" s="9" t="str">
        <f>CONCATENATE("          ","5033"," - ","PURCHASES @ COST-CANDY")</f>
        <v xml:space="preserve">          5033 - PURCHASES @ COST-CANDY</v>
      </c>
      <c r="C124" s="9"/>
      <c r="D124" s="3"/>
      <c r="E124" s="3"/>
      <c r="F124" s="26">
        <f t="shared" si="12"/>
        <v>0</v>
      </c>
      <c r="G124" s="3"/>
      <c r="H124" s="3">
        <v>1266</v>
      </c>
      <c r="I124" s="3"/>
      <c r="J124" s="26">
        <f t="shared" si="13"/>
        <v>2.8070881859170427E-3</v>
      </c>
      <c r="K124" s="3"/>
      <c r="L124" s="3">
        <f t="shared" si="14"/>
        <v>-1266</v>
      </c>
      <c r="M124" s="3"/>
      <c r="N124" s="26">
        <f t="shared" si="15"/>
        <v>-1</v>
      </c>
      <c r="O124" s="9"/>
      <c r="P124" s="3"/>
      <c r="Q124" s="3"/>
      <c r="R124" s="26">
        <f t="shared" si="16"/>
        <v>0</v>
      </c>
      <c r="S124" s="3"/>
      <c r="T124" s="3">
        <v>1266</v>
      </c>
      <c r="U124" s="3"/>
      <c r="V124" s="26">
        <f t="shared" si="17"/>
        <v>1.2335225850906707E-4</v>
      </c>
      <c r="W124" s="3"/>
      <c r="X124" s="3">
        <f t="shared" si="18"/>
        <v>-1266</v>
      </c>
      <c r="Y124" s="3"/>
      <c r="Z124" s="26">
        <f t="shared" si="19"/>
        <v>-1</v>
      </c>
    </row>
    <row r="125" spans="1:26" s="69" customFormat="1" ht="15" hidden="1" customHeight="1" outlineLevel="1" x14ac:dyDescent="0.3">
      <c r="A125" s="47"/>
      <c r="B125" s="9" t="str">
        <f>CONCATENATE("          ","5034"," - ","PURCHASES @ COST-SODA")</f>
        <v xml:space="preserve">          5034 - PURCHASES @ COST-SODA</v>
      </c>
      <c r="C125" s="9"/>
      <c r="D125" s="3"/>
      <c r="E125" s="3"/>
      <c r="F125" s="26">
        <f t="shared" si="12"/>
        <v>0</v>
      </c>
      <c r="G125" s="3"/>
      <c r="H125" s="3">
        <v>567</v>
      </c>
      <c r="I125" s="3"/>
      <c r="J125" s="26">
        <f t="shared" si="13"/>
        <v>1.2572030026974433E-3</v>
      </c>
      <c r="K125" s="3"/>
      <c r="L125" s="3">
        <f t="shared" si="14"/>
        <v>-567</v>
      </c>
      <c r="M125" s="3"/>
      <c r="N125" s="26">
        <f t="shared" si="15"/>
        <v>-1</v>
      </c>
      <c r="O125" s="9"/>
      <c r="P125" s="3"/>
      <c r="Q125" s="3"/>
      <c r="R125" s="26">
        <f t="shared" si="16"/>
        <v>0</v>
      </c>
      <c r="S125" s="3"/>
      <c r="T125" s="3">
        <v>567</v>
      </c>
      <c r="U125" s="3"/>
      <c r="V125" s="26">
        <f t="shared" si="17"/>
        <v>5.5245442791975527E-5</v>
      </c>
      <c r="W125" s="3"/>
      <c r="X125" s="3">
        <f t="shared" si="18"/>
        <v>-567</v>
      </c>
      <c r="Y125" s="3"/>
      <c r="Z125" s="26">
        <f t="shared" si="19"/>
        <v>-1</v>
      </c>
    </row>
    <row r="126" spans="1:26" s="69" customFormat="1" ht="15" hidden="1" customHeight="1" outlineLevel="1" x14ac:dyDescent="0.3">
      <c r="A126" s="47"/>
      <c r="B126" s="9" t="str">
        <f>CONCATENATE("          ","5035"," - ","PURCHASES @ COST-HEALTH &amp; BEAU")</f>
        <v xml:space="preserve">          5035 - PURCHASES @ COST-HEALTH &amp; BEAU</v>
      </c>
      <c r="C126" s="9"/>
      <c r="D126" s="3"/>
      <c r="E126" s="3"/>
      <c r="F126" s="26">
        <f t="shared" si="12"/>
        <v>0</v>
      </c>
      <c r="G126" s="3"/>
      <c r="H126" s="3">
        <v>339</v>
      </c>
      <c r="I126" s="3"/>
      <c r="J126" s="26">
        <f t="shared" si="13"/>
        <v>7.5166105452281003E-4</v>
      </c>
      <c r="K126" s="3"/>
      <c r="L126" s="3">
        <f t="shared" si="14"/>
        <v>-339</v>
      </c>
      <c r="M126" s="3"/>
      <c r="N126" s="26">
        <f t="shared" si="15"/>
        <v>-1</v>
      </c>
      <c r="O126" s="9"/>
      <c r="P126" s="3"/>
      <c r="Q126" s="3"/>
      <c r="R126" s="26">
        <f t="shared" si="16"/>
        <v>0</v>
      </c>
      <c r="S126" s="3"/>
      <c r="T126" s="3">
        <v>339</v>
      </c>
      <c r="U126" s="3"/>
      <c r="V126" s="26">
        <f t="shared" si="17"/>
        <v>3.3030344103138806E-5</v>
      </c>
      <c r="W126" s="3"/>
      <c r="X126" s="3">
        <f t="shared" si="18"/>
        <v>-339</v>
      </c>
      <c r="Y126" s="3"/>
      <c r="Z126" s="26">
        <f t="shared" si="19"/>
        <v>-1</v>
      </c>
    </row>
    <row r="127" spans="1:26" s="69" customFormat="1" ht="15" hidden="1" customHeight="1" outlineLevel="1" x14ac:dyDescent="0.3">
      <c r="A127" s="47"/>
      <c r="B127" s="9" t="str">
        <f>CONCATENATE("          ","5037"," - ","PURCHASES @ COST-WATER")</f>
        <v xml:space="preserve">          5037 - PURCHASES @ COST-WATER</v>
      </c>
      <c r="C127" s="9"/>
      <c r="D127" s="3"/>
      <c r="E127" s="3"/>
      <c r="F127" s="26">
        <f t="shared" si="12"/>
        <v>0</v>
      </c>
      <c r="G127" s="3"/>
      <c r="H127" s="3">
        <v>190.95</v>
      </c>
      <c r="I127" s="3"/>
      <c r="J127" s="26">
        <f t="shared" si="13"/>
        <v>4.2339138159625537E-4</v>
      </c>
      <c r="K127" s="3"/>
      <c r="L127" s="3">
        <f t="shared" si="14"/>
        <v>-190.95</v>
      </c>
      <c r="M127" s="3"/>
      <c r="N127" s="26">
        <f t="shared" si="15"/>
        <v>-1</v>
      </c>
      <c r="O127" s="9"/>
      <c r="P127" s="3"/>
      <c r="Q127" s="3"/>
      <c r="R127" s="26">
        <f t="shared" si="16"/>
        <v>0</v>
      </c>
      <c r="S127" s="3"/>
      <c r="T127" s="3">
        <v>190.95</v>
      </c>
      <c r="U127" s="3"/>
      <c r="V127" s="26">
        <f t="shared" si="17"/>
        <v>1.8605145151900752E-5</v>
      </c>
      <c r="W127" s="3"/>
      <c r="X127" s="3">
        <f t="shared" si="18"/>
        <v>-190.95</v>
      </c>
      <c r="Y127" s="3"/>
      <c r="Z127" s="26">
        <f t="shared" si="19"/>
        <v>-1</v>
      </c>
    </row>
    <row r="128" spans="1:26" s="69" customFormat="1" ht="15" hidden="1" customHeight="1" outlineLevel="1" x14ac:dyDescent="0.3">
      <c r="A128" s="47"/>
      <c r="B128" s="9" t="str">
        <f>CONCATENATE("          ","5040"," - ","PURCHASES @ COST-LOGO CLOTHING")</f>
        <v xml:space="preserve">          5040 - PURCHASES @ COST-LOGO CLOTHING</v>
      </c>
      <c r="C128" s="9"/>
      <c r="D128" s="3"/>
      <c r="E128" s="3"/>
      <c r="F128" s="26">
        <f t="shared" si="12"/>
        <v>0</v>
      </c>
      <c r="G128" s="3"/>
      <c r="H128" s="3">
        <v>65486.18</v>
      </c>
      <c r="I128" s="3"/>
      <c r="J128" s="26">
        <f t="shared" si="13"/>
        <v>0.14520180270050309</v>
      </c>
      <c r="K128" s="3"/>
      <c r="L128" s="3">
        <f t="shared" si="14"/>
        <v>-65486.18</v>
      </c>
      <c r="M128" s="3"/>
      <c r="N128" s="26">
        <f t="shared" si="15"/>
        <v>-1</v>
      </c>
      <c r="O128" s="9"/>
      <c r="P128" s="3">
        <v>0</v>
      </c>
      <c r="Q128" s="3"/>
      <c r="R128" s="26">
        <f t="shared" si="16"/>
        <v>0</v>
      </c>
      <c r="S128" s="3"/>
      <c r="T128" s="3">
        <v>392865.16</v>
      </c>
      <c r="U128" s="3"/>
      <c r="V128" s="26">
        <f t="shared" si="17"/>
        <v>3.8278676757919419E-2</v>
      </c>
      <c r="W128" s="3"/>
      <c r="X128" s="3">
        <f t="shared" si="18"/>
        <v>-392865.16</v>
      </c>
      <c r="Y128" s="3"/>
      <c r="Z128" s="26">
        <f t="shared" si="19"/>
        <v>-1</v>
      </c>
    </row>
    <row r="129" spans="1:26" s="69" customFormat="1" ht="15" hidden="1" customHeight="1" outlineLevel="1" x14ac:dyDescent="0.3">
      <c r="A129" s="47"/>
      <c r="B129" s="9" t="str">
        <f>CONCATENATE("          ","5041"," - ","PURCHASES @ COST-LOGO GIFTS")</f>
        <v xml:space="preserve">          5041 - PURCHASES @ COST-LOGO GIFTS</v>
      </c>
      <c r="C129" s="9"/>
      <c r="D129" s="3"/>
      <c r="E129" s="3"/>
      <c r="F129" s="26">
        <f t="shared" si="12"/>
        <v>0</v>
      </c>
      <c r="G129" s="3"/>
      <c r="H129" s="3">
        <v>115476.79</v>
      </c>
      <c r="I129" s="3"/>
      <c r="J129" s="26">
        <f t="shared" si="13"/>
        <v>0.25604544467347812</v>
      </c>
      <c r="K129" s="3"/>
      <c r="L129" s="3">
        <f t="shared" si="14"/>
        <v>-115476.79</v>
      </c>
      <c r="M129" s="3"/>
      <c r="N129" s="26">
        <f t="shared" si="15"/>
        <v>-1</v>
      </c>
      <c r="O129" s="9"/>
      <c r="P129" s="3">
        <v>0</v>
      </c>
      <c r="Q129" s="3"/>
      <c r="R129" s="26">
        <f t="shared" si="16"/>
        <v>0</v>
      </c>
      <c r="S129" s="3"/>
      <c r="T129" s="3">
        <v>221875.64</v>
      </c>
      <c r="U129" s="3"/>
      <c r="V129" s="26">
        <f t="shared" si="17"/>
        <v>2.1618373856354425E-2</v>
      </c>
      <c r="W129" s="3"/>
      <c r="X129" s="3">
        <f t="shared" si="18"/>
        <v>-221875.64</v>
      </c>
      <c r="Y129" s="3"/>
      <c r="Z129" s="26">
        <f t="shared" si="19"/>
        <v>-1</v>
      </c>
    </row>
    <row r="130" spans="1:26" s="69" customFormat="1" ht="15" hidden="1" customHeight="1" outlineLevel="1" x14ac:dyDescent="0.3">
      <c r="A130" s="47"/>
      <c r="B130" s="9" t="str">
        <f>CONCATENATE("          ","5042"," - ","PURCHASES @ COST-EVERYDAY GIFT")</f>
        <v xml:space="preserve">          5042 - PURCHASES @ COST-EVERYDAY GIFT</v>
      </c>
      <c r="C130" s="9"/>
      <c r="D130" s="3"/>
      <c r="E130" s="3"/>
      <c r="F130" s="26">
        <f t="shared" si="12"/>
        <v>0</v>
      </c>
      <c r="G130" s="3"/>
      <c r="H130" s="3">
        <v>-39.200000000000003</v>
      </c>
      <c r="I130" s="3"/>
      <c r="J130" s="26">
        <f t="shared" si="13"/>
        <v>-8.6917738458094852E-5</v>
      </c>
      <c r="K130" s="3"/>
      <c r="L130" s="3">
        <f t="shared" si="14"/>
        <v>39.200000000000003</v>
      </c>
      <c r="M130" s="3"/>
      <c r="N130" s="26">
        <f t="shared" si="15"/>
        <v>-1</v>
      </c>
      <c r="O130" s="9"/>
      <c r="P130" s="3">
        <v>0</v>
      </c>
      <c r="Q130" s="3"/>
      <c r="R130" s="26">
        <f t="shared" si="16"/>
        <v>0</v>
      </c>
      <c r="S130" s="3"/>
      <c r="T130" s="3">
        <v>18708.87</v>
      </c>
      <c r="U130" s="3"/>
      <c r="V130" s="26">
        <f t="shared" si="17"/>
        <v>1.8228920763448098E-3</v>
      </c>
      <c r="W130" s="3"/>
      <c r="X130" s="3">
        <f t="shared" si="18"/>
        <v>-18708.87</v>
      </c>
      <c r="Y130" s="3"/>
      <c r="Z130" s="26">
        <f t="shared" si="19"/>
        <v>-1</v>
      </c>
    </row>
    <row r="131" spans="1:26" s="69" customFormat="1" ht="15" hidden="1" customHeight="1" outlineLevel="1" x14ac:dyDescent="0.3">
      <c r="A131" s="47"/>
      <c r="B131" s="9" t="str">
        <f>CONCATENATE("          ","5043"," - ","PURCHASES @ COST-CARDS")</f>
        <v xml:space="preserve">          5043 - PURCHASES @ COST-CARDS</v>
      </c>
      <c r="C131" s="9"/>
      <c r="D131" s="3"/>
      <c r="E131" s="3"/>
      <c r="F131" s="26">
        <f t="shared" si="12"/>
        <v>0</v>
      </c>
      <c r="G131" s="3"/>
      <c r="H131" s="3">
        <v>-4615.6499999999996</v>
      </c>
      <c r="I131" s="3"/>
      <c r="J131" s="26">
        <f t="shared" si="13"/>
        <v>-1.0234231110053711E-2</v>
      </c>
      <c r="K131" s="3"/>
      <c r="L131" s="3">
        <f t="shared" si="14"/>
        <v>4615.6499999999996</v>
      </c>
      <c r="M131" s="3"/>
      <c r="N131" s="26">
        <f t="shared" si="15"/>
        <v>-1</v>
      </c>
      <c r="O131" s="9"/>
      <c r="P131" s="3">
        <v>0</v>
      </c>
      <c r="Q131" s="3"/>
      <c r="R131" s="26">
        <f t="shared" si="16"/>
        <v>0</v>
      </c>
      <c r="S131" s="3"/>
      <c r="T131" s="3">
        <v>50967.68</v>
      </c>
      <c r="U131" s="3"/>
      <c r="V131" s="26">
        <f t="shared" si="17"/>
        <v>4.9660177243028491E-3</v>
      </c>
      <c r="W131" s="3"/>
      <c r="X131" s="3">
        <f t="shared" si="18"/>
        <v>-50967.68</v>
      </c>
      <c r="Y131" s="3"/>
      <c r="Z131" s="26">
        <f t="shared" si="19"/>
        <v>-1</v>
      </c>
    </row>
    <row r="132" spans="1:26" s="69" customFormat="1" ht="15" hidden="1" customHeight="1" outlineLevel="1" x14ac:dyDescent="0.3">
      <c r="A132" s="47"/>
      <c r="B132" s="9" t="str">
        <f>CONCATENATE("          ","5044"," - ","PURCHASES @ COST-ACCESSORIES")</f>
        <v xml:space="preserve">          5044 - PURCHASES @ COST-ACCESSORIES</v>
      </c>
      <c r="C132" s="9"/>
      <c r="D132" s="3"/>
      <c r="E132" s="3"/>
      <c r="F132" s="26">
        <f t="shared" si="12"/>
        <v>0</v>
      </c>
      <c r="G132" s="3"/>
      <c r="H132" s="3">
        <v>4371.2</v>
      </c>
      <c r="I132" s="3"/>
      <c r="J132" s="26">
        <f t="shared" si="13"/>
        <v>9.6922147537761277E-3</v>
      </c>
      <c r="K132" s="3"/>
      <c r="L132" s="3">
        <f t="shared" si="14"/>
        <v>-4371.2</v>
      </c>
      <c r="M132" s="3"/>
      <c r="N132" s="26">
        <f t="shared" si="15"/>
        <v>-1</v>
      </c>
      <c r="O132" s="9"/>
      <c r="P132" s="3">
        <v>0</v>
      </c>
      <c r="Q132" s="3"/>
      <c r="R132" s="26">
        <f t="shared" si="16"/>
        <v>0</v>
      </c>
      <c r="S132" s="3"/>
      <c r="T132" s="3">
        <v>6926.91</v>
      </c>
      <c r="U132" s="3"/>
      <c r="V132" s="26">
        <f t="shared" si="17"/>
        <v>6.7492100552056999E-4</v>
      </c>
      <c r="W132" s="3"/>
      <c r="X132" s="3">
        <f t="shared" si="18"/>
        <v>-6926.91</v>
      </c>
      <c r="Y132" s="3"/>
      <c r="Z132" s="26">
        <f t="shared" si="19"/>
        <v>-1</v>
      </c>
    </row>
    <row r="133" spans="1:26" s="69" customFormat="1" ht="15" hidden="1" customHeight="1" outlineLevel="1" x14ac:dyDescent="0.3">
      <c r="A133" s="47"/>
      <c r="B133" s="9" t="str">
        <f>CONCATENATE("          ","5045"," - ","PURCHASES @ COST-SPECIAL ORDER")</f>
        <v xml:space="preserve">          5045 - PURCHASES @ COST-SPECIAL ORDER</v>
      </c>
      <c r="C133" s="9"/>
      <c r="D133" s="3"/>
      <c r="E133" s="3"/>
      <c r="F133" s="26">
        <f t="shared" si="12"/>
        <v>0</v>
      </c>
      <c r="G133" s="3"/>
      <c r="H133" s="3">
        <v>33785.81</v>
      </c>
      <c r="I133" s="3"/>
      <c r="J133" s="26">
        <f t="shared" si="13"/>
        <v>7.4912913193236869E-2</v>
      </c>
      <c r="K133" s="3"/>
      <c r="L133" s="3">
        <f t="shared" si="14"/>
        <v>-33785.81</v>
      </c>
      <c r="M133" s="3"/>
      <c r="N133" s="26">
        <f t="shared" si="15"/>
        <v>-1</v>
      </c>
      <c r="O133" s="9"/>
      <c r="P133" s="3">
        <v>0</v>
      </c>
      <c r="Q133" s="3"/>
      <c r="R133" s="26">
        <f t="shared" si="16"/>
        <v>0</v>
      </c>
      <c r="S133" s="3"/>
      <c r="T133" s="3">
        <v>172925.05</v>
      </c>
      <c r="U133" s="3"/>
      <c r="V133" s="26">
        <f t="shared" si="17"/>
        <v>1.6848890576850982E-2</v>
      </c>
      <c r="W133" s="3"/>
      <c r="X133" s="3">
        <f t="shared" si="18"/>
        <v>-172925.05</v>
      </c>
      <c r="Y133" s="3"/>
      <c r="Z133" s="26">
        <f t="shared" si="19"/>
        <v>-1</v>
      </c>
    </row>
    <row r="134" spans="1:26" s="69" customFormat="1" ht="15" hidden="1" customHeight="1" outlineLevel="1" x14ac:dyDescent="0.3">
      <c r="A134" s="47"/>
      <c r="B134" s="9" t="str">
        <f>CONCATENATE("          ","5053"," - ","PURCHASES @ COST-FOOD")</f>
        <v xml:space="preserve">          5053 - PURCHASES @ COST-FOOD</v>
      </c>
      <c r="C134" s="9"/>
      <c r="D134" s="3">
        <v>87026.34</v>
      </c>
      <c r="E134" s="3"/>
      <c r="F134" s="26">
        <f t="shared" si="12"/>
        <v>9.2413778661528861E-2</v>
      </c>
      <c r="G134" s="3"/>
      <c r="H134" s="3">
        <v>21907.02</v>
      </c>
      <c r="I134" s="3"/>
      <c r="J134" s="26">
        <f t="shared" si="13"/>
        <v>4.8574199866230947E-2</v>
      </c>
      <c r="K134" s="3"/>
      <c r="L134" s="3">
        <f t="shared" si="14"/>
        <v>65119.319999999992</v>
      </c>
      <c r="M134" s="3"/>
      <c r="N134" s="26">
        <f t="shared" si="15"/>
        <v>2.972532092452556</v>
      </c>
      <c r="O134" s="9"/>
      <c r="P134" s="3">
        <v>3417019.48</v>
      </c>
      <c r="Q134" s="3"/>
      <c r="R134" s="26">
        <f t="shared" si="16"/>
        <v>0.13664658235425178</v>
      </c>
      <c r="S134" s="3"/>
      <c r="T134" s="3">
        <v>475283.97</v>
      </c>
      <c r="U134" s="3"/>
      <c r="V134" s="26">
        <f t="shared" si="17"/>
        <v>4.6309124117421538E-2</v>
      </c>
      <c r="W134" s="3"/>
      <c r="X134" s="3">
        <f t="shared" si="18"/>
        <v>2941735.51</v>
      </c>
      <c r="Y134" s="3"/>
      <c r="Z134" s="26">
        <f t="shared" si="19"/>
        <v>6.1894271544651502</v>
      </c>
    </row>
    <row r="135" spans="1:26" s="69" customFormat="1" ht="15" hidden="1" customHeight="1" outlineLevel="1" x14ac:dyDescent="0.3">
      <c r="A135" s="47"/>
      <c r="B135" s="9" t="str">
        <f>CONCATENATE("          ","5059"," - ","PURCHASES @ COST-FOOD")</f>
        <v xml:space="preserve">          5059 - PURCHASES @ COST-FOOD</v>
      </c>
      <c r="C135" s="9"/>
      <c r="D135" s="3">
        <v>23083.84</v>
      </c>
      <c r="E135" s="3"/>
      <c r="F135" s="26">
        <f t="shared" si="12"/>
        <v>2.4512864500772367E-2</v>
      </c>
      <c r="G135" s="3"/>
      <c r="H135" s="3">
        <v>7282</v>
      </c>
      <c r="I135" s="3"/>
      <c r="J135" s="26">
        <f t="shared" si="13"/>
        <v>1.6146300292138947E-2</v>
      </c>
      <c r="K135" s="3"/>
      <c r="L135" s="3">
        <f t="shared" si="14"/>
        <v>15801.84</v>
      </c>
      <c r="M135" s="3"/>
      <c r="N135" s="26">
        <f t="shared" si="15"/>
        <v>2.1699862675089263</v>
      </c>
      <c r="O135" s="9"/>
      <c r="P135" s="3">
        <v>277819.13</v>
      </c>
      <c r="Q135" s="3"/>
      <c r="R135" s="26">
        <f t="shared" si="16"/>
        <v>1.1109984841857438E-2</v>
      </c>
      <c r="S135" s="3"/>
      <c r="T135" s="3">
        <v>41131.300000000003</v>
      </c>
      <c r="U135" s="3"/>
      <c r="V135" s="26">
        <f t="shared" si="17"/>
        <v>4.007613546930482E-3</v>
      </c>
      <c r="W135" s="3"/>
      <c r="X135" s="3">
        <f t="shared" si="18"/>
        <v>236687.83000000002</v>
      </c>
      <c r="Y135" s="3"/>
      <c r="Z135" s="26">
        <f t="shared" si="19"/>
        <v>5.7544456411540601</v>
      </c>
    </row>
    <row r="136" spans="1:26" s="69" customFormat="1" ht="15" hidden="1" customHeight="1" outlineLevel="1" x14ac:dyDescent="0.3">
      <c r="A136" s="47"/>
      <c r="B136" s="9" t="str">
        <f>CONCATENATE("          ","5081"," - ","PURCHASES @ COST-ELECTRONICS")</f>
        <v xml:space="preserve">          5081 - PURCHASES @ COST-ELECTRONICS</v>
      </c>
      <c r="C136" s="9"/>
      <c r="D136" s="3"/>
      <c r="E136" s="3"/>
      <c r="F136" s="26">
        <f t="shared" si="12"/>
        <v>0</v>
      </c>
      <c r="G136" s="3"/>
      <c r="H136" s="3">
        <v>-4801.84</v>
      </c>
      <c r="I136" s="3"/>
      <c r="J136" s="26">
        <f t="shared" si="13"/>
        <v>-1.0647068194837198E-2</v>
      </c>
      <c r="K136" s="3"/>
      <c r="L136" s="3">
        <f t="shared" si="14"/>
        <v>4801.84</v>
      </c>
      <c r="M136" s="3"/>
      <c r="N136" s="26">
        <f t="shared" si="15"/>
        <v>-1</v>
      </c>
      <c r="O136" s="9"/>
      <c r="P136" s="3">
        <v>0</v>
      </c>
      <c r="Q136" s="3"/>
      <c r="R136" s="26">
        <f t="shared" si="16"/>
        <v>0</v>
      </c>
      <c r="S136" s="3"/>
      <c r="T136" s="3">
        <v>27617.62</v>
      </c>
      <c r="U136" s="3"/>
      <c r="V136" s="26">
        <f t="shared" si="17"/>
        <v>2.6909129554859245E-3</v>
      </c>
      <c r="W136" s="3"/>
      <c r="X136" s="3">
        <f t="shared" si="18"/>
        <v>-27617.62</v>
      </c>
      <c r="Y136" s="3"/>
      <c r="Z136" s="26">
        <f t="shared" si="19"/>
        <v>-1</v>
      </c>
    </row>
    <row r="137" spans="1:26" s="69" customFormat="1" ht="15" hidden="1" customHeight="1" outlineLevel="1" x14ac:dyDescent="0.3">
      <c r="A137" s="47"/>
      <c r="B137" s="9" t="str">
        <f>CONCATENATE("          ","5082"," - ","PURCHASES @ COST-COMPUTER HARD")</f>
        <v xml:space="preserve">          5082 - PURCHASES @ COST-COMPUTER HARD</v>
      </c>
      <c r="C137" s="9"/>
      <c r="D137" s="3">
        <v>-29693.58</v>
      </c>
      <c r="E137" s="3"/>
      <c r="F137" s="26">
        <f t="shared" si="12"/>
        <v>-3.1531786006264315E-2</v>
      </c>
      <c r="G137" s="3"/>
      <c r="H137" s="3">
        <v>153062.79</v>
      </c>
      <c r="I137" s="3"/>
      <c r="J137" s="26">
        <f t="shared" si="13"/>
        <v>0.33938447828791574</v>
      </c>
      <c r="K137" s="3"/>
      <c r="L137" s="3">
        <f t="shared" si="14"/>
        <v>-182756.37</v>
      </c>
      <c r="M137" s="3"/>
      <c r="N137" s="26">
        <f t="shared" si="15"/>
        <v>-1.1939960718081775</v>
      </c>
      <c r="O137" s="9"/>
      <c r="P137" s="3">
        <v>-150076.54999999999</v>
      </c>
      <c r="Q137" s="3"/>
      <c r="R137" s="26">
        <f t="shared" si="16"/>
        <v>-6.0015600639821299E-3</v>
      </c>
      <c r="S137" s="3"/>
      <c r="T137" s="3">
        <v>1955597.66</v>
      </c>
      <c r="U137" s="3"/>
      <c r="V137" s="26">
        <f t="shared" si="17"/>
        <v>0.19054296058139542</v>
      </c>
      <c r="W137" s="3"/>
      <c r="X137" s="3">
        <f t="shared" si="18"/>
        <v>-2105674.21</v>
      </c>
      <c r="Y137" s="3"/>
      <c r="Z137" s="26">
        <f t="shared" si="19"/>
        <v>-1.0767420380325061</v>
      </c>
    </row>
    <row r="138" spans="1:26" s="69" customFormat="1" ht="15" hidden="1" customHeight="1" outlineLevel="1" x14ac:dyDescent="0.3">
      <c r="A138" s="47"/>
      <c r="B138" s="9" t="str">
        <f>CONCATENATE("          ","5083"," - ","PURCHASES @ COST-COMPUTER EQUI")</f>
        <v xml:space="preserve">          5083 - PURCHASES @ COST-COMPUTER EQUI</v>
      </c>
      <c r="C138" s="9"/>
      <c r="D138" s="3"/>
      <c r="E138" s="3"/>
      <c r="F138" s="26">
        <f t="shared" si="12"/>
        <v>0</v>
      </c>
      <c r="G138" s="3"/>
      <c r="H138" s="3">
        <v>24791.69</v>
      </c>
      <c r="I138" s="3"/>
      <c r="J138" s="26">
        <f t="shared" si="13"/>
        <v>5.4970347636585849E-2</v>
      </c>
      <c r="K138" s="3"/>
      <c r="L138" s="3">
        <f t="shared" si="14"/>
        <v>-24791.69</v>
      </c>
      <c r="M138" s="3"/>
      <c r="N138" s="26">
        <f t="shared" si="15"/>
        <v>-1</v>
      </c>
      <c r="O138" s="9"/>
      <c r="P138" s="3">
        <v>0</v>
      </c>
      <c r="Q138" s="3"/>
      <c r="R138" s="26">
        <f t="shared" si="16"/>
        <v>0</v>
      </c>
      <c r="S138" s="3"/>
      <c r="T138" s="3">
        <v>151821.63</v>
      </c>
      <c r="U138" s="3"/>
      <c r="V138" s="26">
        <f t="shared" si="17"/>
        <v>1.4792686375219534E-2</v>
      </c>
      <c r="W138" s="3"/>
      <c r="X138" s="3">
        <f t="shared" si="18"/>
        <v>-151821.63</v>
      </c>
      <c r="Y138" s="3"/>
      <c r="Z138" s="26">
        <f t="shared" si="19"/>
        <v>-1</v>
      </c>
    </row>
    <row r="139" spans="1:26" s="69" customFormat="1" ht="15" hidden="1" customHeight="1" outlineLevel="1" x14ac:dyDescent="0.3">
      <c r="A139" s="47"/>
      <c r="B139" s="9" t="str">
        <f>CONCATENATE("          ","5084"," - ","PURCHASES @ COST-SOFTWARE LICE")</f>
        <v xml:space="preserve">          5084 - PURCHASES @ COST-SOFTWARE LICE</v>
      </c>
      <c r="C139" s="9"/>
      <c r="D139" s="3"/>
      <c r="E139" s="3"/>
      <c r="F139" s="26">
        <f t="shared" si="12"/>
        <v>0</v>
      </c>
      <c r="G139" s="3"/>
      <c r="H139" s="3">
        <v>2421</v>
      </c>
      <c r="I139" s="3"/>
      <c r="J139" s="26">
        <f t="shared" si="13"/>
        <v>5.3680572654859092E-3</v>
      </c>
      <c r="K139" s="3"/>
      <c r="L139" s="3">
        <f t="shared" si="14"/>
        <v>-2421</v>
      </c>
      <c r="M139" s="3"/>
      <c r="N139" s="26">
        <f t="shared" si="15"/>
        <v>-1</v>
      </c>
      <c r="O139" s="9"/>
      <c r="P139" s="3"/>
      <c r="Q139" s="3"/>
      <c r="R139" s="26">
        <f t="shared" si="16"/>
        <v>0</v>
      </c>
      <c r="S139" s="3"/>
      <c r="T139" s="3">
        <v>2421</v>
      </c>
      <c r="U139" s="3"/>
      <c r="V139" s="26">
        <f t="shared" si="17"/>
        <v>2.3588927160383201E-4</v>
      </c>
      <c r="W139" s="3"/>
      <c r="X139" s="3">
        <f t="shared" si="18"/>
        <v>-2421</v>
      </c>
      <c r="Y139" s="3"/>
      <c r="Z139" s="26">
        <f t="shared" si="19"/>
        <v>-1</v>
      </c>
    </row>
    <row r="140" spans="1:26" s="69" customFormat="1" ht="15" hidden="1" customHeight="1" outlineLevel="1" x14ac:dyDescent="0.3">
      <c r="A140" s="47"/>
      <c r="B140" s="9" t="str">
        <f>CONCATENATE("          ","5085"," - ","PURCHASES @ COST-SOFTWARE")</f>
        <v xml:space="preserve">          5085 - PURCHASES @ COST-SOFTWARE</v>
      </c>
      <c r="C140" s="9"/>
      <c r="D140" s="3"/>
      <c r="E140" s="3"/>
      <c r="F140" s="26">
        <f t="shared" ref="F140:F166" si="20">IF(D$12=0,0,D140/D$12)</f>
        <v>0</v>
      </c>
      <c r="G140" s="3"/>
      <c r="H140" s="3">
        <v>10694.79</v>
      </c>
      <c r="I140" s="3"/>
      <c r="J140" s="26">
        <f t="shared" ref="J140:J166" si="21">IF(H$12=0,0,H140/H$12)</f>
        <v>2.3713442859292048E-2</v>
      </c>
      <c r="K140" s="3"/>
      <c r="L140" s="3">
        <f t="shared" ref="L140:L166" si="22">+D140-H140</f>
        <v>-10694.79</v>
      </c>
      <c r="M140" s="3"/>
      <c r="N140" s="26">
        <f t="shared" ref="N140:N166" si="23">IF(H140=0,0,L140/H140)</f>
        <v>-1</v>
      </c>
      <c r="O140" s="9"/>
      <c r="P140" s="3">
        <v>0</v>
      </c>
      <c r="Q140" s="3"/>
      <c r="R140" s="26">
        <f t="shared" ref="R140:R166" si="24">IF(P$12=0,0,P140/P$12)</f>
        <v>0</v>
      </c>
      <c r="S140" s="3"/>
      <c r="T140" s="3">
        <v>56981.16</v>
      </c>
      <c r="U140" s="3"/>
      <c r="V140" s="26">
        <f t="shared" ref="V140:V166" si="25">IF(T$12=0,0,T140/T$12)</f>
        <v>5.5519390035280499E-3</v>
      </c>
      <c r="W140" s="3"/>
      <c r="X140" s="3">
        <f t="shared" ref="X140:X166" si="26">+P140-T140</f>
        <v>-56981.16</v>
      </c>
      <c r="Y140" s="3"/>
      <c r="Z140" s="26">
        <f t="shared" ref="Z140:Z166" si="27">IF(T140=0,0,X140/T140)</f>
        <v>-1</v>
      </c>
    </row>
    <row r="141" spans="1:26" s="69" customFormat="1" ht="15" hidden="1" customHeight="1" outlineLevel="1" x14ac:dyDescent="0.3">
      <c r="A141" s="47"/>
      <c r="B141" s="9" t="str">
        <f>CONCATENATE("          ","5086"," - ","PURCHASES @ COST-COMPUTER SUPP")</f>
        <v xml:space="preserve">          5086 - PURCHASES @ COST-COMPUTER SUPP</v>
      </c>
      <c r="C141" s="9"/>
      <c r="D141" s="3"/>
      <c r="E141" s="3"/>
      <c r="F141" s="26">
        <f t="shared" si="20"/>
        <v>0</v>
      </c>
      <c r="G141" s="3"/>
      <c r="H141" s="3">
        <v>853.49</v>
      </c>
      <c r="I141" s="3"/>
      <c r="J141" s="26">
        <f t="shared" si="21"/>
        <v>1.8924341988928411E-3</v>
      </c>
      <c r="K141" s="3"/>
      <c r="L141" s="3">
        <f t="shared" si="22"/>
        <v>-853.49</v>
      </c>
      <c r="M141" s="3"/>
      <c r="N141" s="26">
        <f t="shared" si="23"/>
        <v>-1</v>
      </c>
      <c r="O141" s="9"/>
      <c r="P141" s="3">
        <v>0</v>
      </c>
      <c r="Q141" s="3"/>
      <c r="R141" s="26">
        <f t="shared" si="24"/>
        <v>0</v>
      </c>
      <c r="S141" s="3"/>
      <c r="T141" s="3">
        <v>24629.71</v>
      </c>
      <c r="U141" s="3"/>
      <c r="V141" s="26">
        <f t="shared" si="25"/>
        <v>2.3997870102080202E-3</v>
      </c>
      <c r="W141" s="3"/>
      <c r="X141" s="3">
        <f t="shared" si="26"/>
        <v>-24629.71</v>
      </c>
      <c r="Y141" s="3"/>
      <c r="Z141" s="26">
        <f t="shared" si="27"/>
        <v>-1</v>
      </c>
    </row>
    <row r="142" spans="1:26" s="69" customFormat="1" ht="15" hidden="1" customHeight="1" outlineLevel="1" x14ac:dyDescent="0.3">
      <c r="A142" s="47"/>
      <c r="B142" s="9" t="str">
        <f>CONCATENATE("          ","5092"," - ","PURCHASES @ COST-GRAD MERCH")</f>
        <v xml:space="preserve">          5092 - PURCHASES @ COST-GRAD MERCH</v>
      </c>
      <c r="C142" s="9"/>
      <c r="D142" s="3"/>
      <c r="E142" s="3"/>
      <c r="F142" s="26">
        <f t="shared" si="20"/>
        <v>0</v>
      </c>
      <c r="G142" s="3"/>
      <c r="H142" s="3"/>
      <c r="I142" s="3"/>
      <c r="J142" s="26">
        <f t="shared" si="21"/>
        <v>0</v>
      </c>
      <c r="K142" s="3"/>
      <c r="L142" s="3">
        <f t="shared" si="22"/>
        <v>0</v>
      </c>
      <c r="M142" s="3"/>
      <c r="N142" s="26">
        <f t="shared" si="23"/>
        <v>0</v>
      </c>
      <c r="O142" s="9"/>
      <c r="P142" s="3"/>
      <c r="Q142" s="3"/>
      <c r="R142" s="26">
        <f t="shared" si="24"/>
        <v>0</v>
      </c>
      <c r="S142" s="3"/>
      <c r="T142" s="3">
        <v>0</v>
      </c>
      <c r="U142" s="3"/>
      <c r="V142" s="26">
        <f t="shared" si="25"/>
        <v>0</v>
      </c>
      <c r="W142" s="3"/>
      <c r="X142" s="3">
        <f t="shared" si="26"/>
        <v>0</v>
      </c>
      <c r="Y142" s="3"/>
      <c r="Z142" s="26">
        <f t="shared" si="27"/>
        <v>0</v>
      </c>
    </row>
    <row r="143" spans="1:26" s="69" customFormat="1" ht="15" hidden="1" customHeight="1" outlineLevel="1" x14ac:dyDescent="0.3">
      <c r="A143" s="47"/>
      <c r="B143" s="9" t="str">
        <f>CONCATENATE("          ","5200"," - ","PURCHASES OFFSET")</f>
        <v xml:space="preserve">          5200 - PURCHASES OFFSET</v>
      </c>
      <c r="C143" s="9"/>
      <c r="D143" s="3">
        <v>-576187.54</v>
      </c>
      <c r="E143" s="3"/>
      <c r="F143" s="26">
        <f t="shared" si="20"/>
        <v>-0.61185691354009386</v>
      </c>
      <c r="G143" s="3"/>
      <c r="H143" s="3">
        <v>-715181.51</v>
      </c>
      <c r="I143" s="3"/>
      <c r="J143" s="26">
        <f t="shared" si="21"/>
        <v>-1.5857642713327895</v>
      </c>
      <c r="K143" s="3"/>
      <c r="L143" s="3">
        <f t="shared" si="22"/>
        <v>138993.96999999997</v>
      </c>
      <c r="M143" s="3"/>
      <c r="N143" s="26">
        <f t="shared" si="23"/>
        <v>-0.19434782367346154</v>
      </c>
      <c r="O143" s="9"/>
      <c r="P143" s="3">
        <v>-6731645.8200000003</v>
      </c>
      <c r="Q143" s="3"/>
      <c r="R143" s="26">
        <f t="shared" si="24"/>
        <v>-0.26919846383851603</v>
      </c>
      <c r="S143" s="3"/>
      <c r="T143" s="3">
        <v>-4591688.47</v>
      </c>
      <c r="U143" s="3"/>
      <c r="V143" s="26">
        <f t="shared" si="25"/>
        <v>-0.4473895285501916</v>
      </c>
      <c r="W143" s="3"/>
      <c r="X143" s="3">
        <f t="shared" si="26"/>
        <v>-2139957.3500000006</v>
      </c>
      <c r="Y143" s="3"/>
      <c r="Z143" s="26">
        <f t="shared" si="27"/>
        <v>0.46605020440334899</v>
      </c>
    </row>
    <row r="144" spans="1:26" s="69" customFormat="1" ht="15" hidden="1" customHeight="1" outlineLevel="1" x14ac:dyDescent="0.3">
      <c r="A144" s="47"/>
      <c r="B144" s="9" t="str">
        <f>CONCATENATE("          ","5300"," - ","COG$ OFFSET")</f>
        <v xml:space="preserve">          5300 - COG$ OFFSET</v>
      </c>
      <c r="C144" s="9"/>
      <c r="D144" s="3">
        <v>530332.74</v>
      </c>
      <c r="E144" s="3"/>
      <c r="F144" s="26">
        <f t="shared" si="20"/>
        <v>0.56316343363770249</v>
      </c>
      <c r="G144" s="3"/>
      <c r="H144" s="3">
        <v>223946</v>
      </c>
      <c r="I144" s="3"/>
      <c r="J144" s="26">
        <f t="shared" si="21"/>
        <v>0.49655305756980889</v>
      </c>
      <c r="K144" s="3"/>
      <c r="L144" s="3">
        <f t="shared" si="22"/>
        <v>306386.74</v>
      </c>
      <c r="M144" s="3"/>
      <c r="N144" s="26">
        <f t="shared" si="23"/>
        <v>1.3681277629428523</v>
      </c>
      <c r="O144" s="9"/>
      <c r="P144" s="3">
        <v>6531852.4299999997</v>
      </c>
      <c r="Q144" s="3"/>
      <c r="R144" s="26">
        <f t="shared" si="24"/>
        <v>0.26120872773069898</v>
      </c>
      <c r="S144" s="3"/>
      <c r="T144" s="3">
        <v>5152122</v>
      </c>
      <c r="U144" s="3"/>
      <c r="V144" s="26">
        <f t="shared" si="25"/>
        <v>0.50199516967950364</v>
      </c>
      <c r="W144" s="3"/>
      <c r="X144" s="3">
        <f t="shared" si="26"/>
        <v>1379730.4299999997</v>
      </c>
      <c r="Y144" s="3"/>
      <c r="Z144" s="26">
        <f t="shared" si="27"/>
        <v>0.26779847798635198</v>
      </c>
    </row>
    <row r="145" spans="1:26" s="69" customFormat="1" ht="15" hidden="1" customHeight="1" outlineLevel="1" x14ac:dyDescent="0.3">
      <c r="A145" s="47"/>
      <c r="B145" s="9" t="str">
        <f>CONCATENATE("          ","5500"," - ","FREIGHT-IN")</f>
        <v xml:space="preserve">          5500 - FREIGHT-IN</v>
      </c>
      <c r="C145" s="9"/>
      <c r="D145" s="3">
        <v>9234.56</v>
      </c>
      <c r="E145" s="3"/>
      <c r="F145" s="26">
        <f t="shared" si="20"/>
        <v>9.8062331918888912E-3</v>
      </c>
      <c r="G145" s="3"/>
      <c r="H145" s="3">
        <v>65</v>
      </c>
      <c r="I145" s="3"/>
      <c r="J145" s="26">
        <f t="shared" si="21"/>
        <v>1.4412380101469808E-4</v>
      </c>
      <c r="K145" s="3"/>
      <c r="L145" s="3">
        <f t="shared" si="22"/>
        <v>9169.56</v>
      </c>
      <c r="M145" s="3"/>
      <c r="N145" s="26">
        <f t="shared" si="23"/>
        <v>141.07015384615383</v>
      </c>
      <c r="O145" s="9"/>
      <c r="P145" s="3">
        <v>204612.84</v>
      </c>
      <c r="Q145" s="3"/>
      <c r="R145" s="26">
        <f t="shared" si="24"/>
        <v>8.1824658757278564E-3</v>
      </c>
      <c r="S145" s="3"/>
      <c r="T145" s="3">
        <v>65</v>
      </c>
      <c r="U145" s="3"/>
      <c r="V145" s="26">
        <f t="shared" si="25"/>
        <v>6.3332518191859074E-6</v>
      </c>
      <c r="W145" s="3"/>
      <c r="X145" s="3">
        <f t="shared" si="26"/>
        <v>204547.84</v>
      </c>
      <c r="Y145" s="3"/>
      <c r="Z145" s="26">
        <f t="shared" si="27"/>
        <v>3146.8898461538461</v>
      </c>
    </row>
    <row r="146" spans="1:26" s="69" customFormat="1" ht="15" hidden="1" customHeight="1" outlineLevel="1" x14ac:dyDescent="0.3">
      <c r="A146" s="47"/>
      <c r="B146" s="9" t="str">
        <f>CONCATENATE("          ","5501"," - ","FREIGHT-IN-NEW TEXT")</f>
        <v xml:space="preserve">          5501 - FREIGHT-IN-NEW TEXT</v>
      </c>
      <c r="C146" s="9"/>
      <c r="D146" s="3"/>
      <c r="E146" s="3"/>
      <c r="F146" s="26">
        <f t="shared" si="20"/>
        <v>0</v>
      </c>
      <c r="G146" s="3"/>
      <c r="H146" s="3">
        <v>1565.85</v>
      </c>
      <c r="I146" s="3"/>
      <c r="J146" s="26">
        <f t="shared" si="21"/>
        <v>3.4719423664440769E-3</v>
      </c>
      <c r="K146" s="3"/>
      <c r="L146" s="3">
        <f t="shared" si="22"/>
        <v>-1565.85</v>
      </c>
      <c r="M146" s="3"/>
      <c r="N146" s="26">
        <f t="shared" si="23"/>
        <v>-1</v>
      </c>
      <c r="O146" s="9"/>
      <c r="P146" s="3">
        <v>0</v>
      </c>
      <c r="Q146" s="3"/>
      <c r="R146" s="26">
        <f t="shared" si="24"/>
        <v>0</v>
      </c>
      <c r="S146" s="3"/>
      <c r="T146" s="3">
        <v>53401.99</v>
      </c>
      <c r="U146" s="3"/>
      <c r="V146" s="26">
        <f t="shared" si="25"/>
        <v>5.203203851009963E-3</v>
      </c>
      <c r="W146" s="3"/>
      <c r="X146" s="3">
        <f t="shared" si="26"/>
        <v>-53401.99</v>
      </c>
      <c r="Y146" s="3"/>
      <c r="Z146" s="26">
        <f t="shared" si="27"/>
        <v>-1</v>
      </c>
    </row>
    <row r="147" spans="1:26" s="69" customFormat="1" ht="15" hidden="1" customHeight="1" outlineLevel="1" x14ac:dyDescent="0.3">
      <c r="A147" s="47"/>
      <c r="B147" s="9" t="str">
        <f>CONCATENATE("          ","5502"," - ","FREIGHT-IN-USED TEXT")</f>
        <v xml:space="preserve">          5502 - FREIGHT-IN-USED TEXT</v>
      </c>
      <c r="C147" s="9"/>
      <c r="D147" s="3"/>
      <c r="E147" s="3"/>
      <c r="F147" s="26">
        <f t="shared" si="20"/>
        <v>0</v>
      </c>
      <c r="G147" s="3"/>
      <c r="H147" s="3">
        <v>149.80000000000001</v>
      </c>
      <c r="I147" s="3"/>
      <c r="J147" s="26">
        <f t="shared" si="21"/>
        <v>3.3214992910771964E-4</v>
      </c>
      <c r="K147" s="3"/>
      <c r="L147" s="3">
        <f t="shared" si="22"/>
        <v>-149.80000000000001</v>
      </c>
      <c r="M147" s="3"/>
      <c r="N147" s="26">
        <f t="shared" si="23"/>
        <v>-1</v>
      </c>
      <c r="O147" s="9"/>
      <c r="P147" s="3">
        <v>0</v>
      </c>
      <c r="Q147" s="3"/>
      <c r="R147" s="26">
        <f t="shared" si="24"/>
        <v>0</v>
      </c>
      <c r="S147" s="3"/>
      <c r="T147" s="3">
        <v>18142.669999999998</v>
      </c>
      <c r="U147" s="3"/>
      <c r="V147" s="26">
        <f t="shared" si="25"/>
        <v>1.7677245812675318E-3</v>
      </c>
      <c r="W147" s="3"/>
      <c r="X147" s="3">
        <f t="shared" si="26"/>
        <v>-18142.669999999998</v>
      </c>
      <c r="Y147" s="3"/>
      <c r="Z147" s="26">
        <f t="shared" si="27"/>
        <v>-1</v>
      </c>
    </row>
    <row r="148" spans="1:26" s="69" customFormat="1" ht="15" hidden="1" customHeight="1" outlineLevel="1" x14ac:dyDescent="0.3">
      <c r="A148" s="47"/>
      <c r="B148" s="9" t="str">
        <f>CONCATENATE("          ","5504"," - ","FREIGHT-IN-DIGITAL TEXT")</f>
        <v xml:space="preserve">          5504 - FREIGHT-IN-DIGITAL TEXT</v>
      </c>
      <c r="C148" s="9"/>
      <c r="D148" s="3"/>
      <c r="E148" s="3"/>
      <c r="F148" s="26">
        <f t="shared" si="20"/>
        <v>0</v>
      </c>
      <c r="G148" s="3"/>
      <c r="H148" s="3">
        <v>4.28</v>
      </c>
      <c r="I148" s="3"/>
      <c r="J148" s="26">
        <f t="shared" si="21"/>
        <v>9.4899979745062752E-6</v>
      </c>
      <c r="K148" s="3"/>
      <c r="L148" s="3">
        <f t="shared" si="22"/>
        <v>-4.28</v>
      </c>
      <c r="M148" s="3"/>
      <c r="N148" s="26">
        <f t="shared" si="23"/>
        <v>-1</v>
      </c>
      <c r="O148" s="9"/>
      <c r="P148" s="3"/>
      <c r="Q148" s="3"/>
      <c r="R148" s="26">
        <f t="shared" si="24"/>
        <v>0</v>
      </c>
      <c r="S148" s="3"/>
      <c r="T148" s="3">
        <v>33.200000000000003</v>
      </c>
      <c r="U148" s="3"/>
      <c r="V148" s="26">
        <f t="shared" si="25"/>
        <v>3.2348301599534175E-6</v>
      </c>
      <c r="W148" s="3"/>
      <c r="X148" s="3">
        <f t="shared" si="26"/>
        <v>-33.200000000000003</v>
      </c>
      <c r="Y148" s="3"/>
      <c r="Z148" s="26">
        <f t="shared" si="27"/>
        <v>-1</v>
      </c>
    </row>
    <row r="149" spans="1:26" s="69" customFormat="1" ht="15" hidden="1" customHeight="1" outlineLevel="1" x14ac:dyDescent="0.3">
      <c r="A149" s="47"/>
      <c r="B149" s="9" t="str">
        <f>CONCATENATE("          ","5513"," - ","FREIGHT-IN-TRADE BOOKS")</f>
        <v xml:space="preserve">          5513 - FREIGHT-IN-TRADE BOOKS</v>
      </c>
      <c r="C149" s="9"/>
      <c r="D149" s="3"/>
      <c r="E149" s="3"/>
      <c r="F149" s="26">
        <f t="shared" si="20"/>
        <v>0</v>
      </c>
      <c r="G149" s="3"/>
      <c r="H149" s="3"/>
      <c r="I149" s="3"/>
      <c r="J149" s="26">
        <f t="shared" si="21"/>
        <v>0</v>
      </c>
      <c r="K149" s="3"/>
      <c r="L149" s="3">
        <f t="shared" si="22"/>
        <v>0</v>
      </c>
      <c r="M149" s="3"/>
      <c r="N149" s="26">
        <f t="shared" si="23"/>
        <v>0</v>
      </c>
      <c r="O149" s="9"/>
      <c r="P149" s="3"/>
      <c r="Q149" s="3"/>
      <c r="R149" s="26">
        <f t="shared" si="24"/>
        <v>0</v>
      </c>
      <c r="S149" s="3"/>
      <c r="T149" s="3">
        <v>85.28</v>
      </c>
      <c r="U149" s="3"/>
      <c r="V149" s="26">
        <f t="shared" si="25"/>
        <v>8.3092263867719111E-6</v>
      </c>
      <c r="W149" s="3"/>
      <c r="X149" s="3">
        <f t="shared" si="26"/>
        <v>-85.28</v>
      </c>
      <c r="Y149" s="3"/>
      <c r="Z149" s="26">
        <f t="shared" si="27"/>
        <v>-1</v>
      </c>
    </row>
    <row r="150" spans="1:26" s="69" customFormat="1" ht="15" hidden="1" customHeight="1" outlineLevel="1" x14ac:dyDescent="0.3">
      <c r="A150" s="47"/>
      <c r="B150" s="9" t="str">
        <f>CONCATENATE("          ","5518"," - ","FREIGHT-IN-STUDY GUIDES")</f>
        <v xml:space="preserve">          5518 - FREIGHT-IN-STUDY GUIDES</v>
      </c>
      <c r="C150" s="9"/>
      <c r="D150" s="3"/>
      <c r="E150" s="3"/>
      <c r="F150" s="26">
        <f t="shared" si="20"/>
        <v>0</v>
      </c>
      <c r="G150" s="3"/>
      <c r="H150" s="3"/>
      <c r="I150" s="3"/>
      <c r="J150" s="26">
        <f t="shared" si="21"/>
        <v>0</v>
      </c>
      <c r="K150" s="3"/>
      <c r="L150" s="3">
        <f t="shared" si="22"/>
        <v>0</v>
      </c>
      <c r="M150" s="3"/>
      <c r="N150" s="26">
        <f t="shared" si="23"/>
        <v>0</v>
      </c>
      <c r="O150" s="9"/>
      <c r="P150" s="3">
        <v>0</v>
      </c>
      <c r="Q150" s="3"/>
      <c r="R150" s="26">
        <f t="shared" si="24"/>
        <v>0</v>
      </c>
      <c r="S150" s="3"/>
      <c r="T150" s="3"/>
      <c r="U150" s="3"/>
      <c r="V150" s="26">
        <f t="shared" si="25"/>
        <v>0</v>
      </c>
      <c r="W150" s="3"/>
      <c r="X150" s="3">
        <f t="shared" si="26"/>
        <v>0</v>
      </c>
      <c r="Y150" s="3"/>
      <c r="Z150" s="26">
        <f t="shared" si="27"/>
        <v>0</v>
      </c>
    </row>
    <row r="151" spans="1:26" s="69" customFormat="1" ht="15" hidden="1" customHeight="1" outlineLevel="1" x14ac:dyDescent="0.3">
      <c r="A151" s="47"/>
      <c r="B151" s="9" t="str">
        <f>CONCATENATE("          ","5525"," - ","FREIGHT-IN-TEST FORMS")</f>
        <v xml:space="preserve">          5525 - FREIGHT-IN-TEST FORMS</v>
      </c>
      <c r="C151" s="9"/>
      <c r="D151" s="3"/>
      <c r="E151" s="3"/>
      <c r="F151" s="26">
        <f t="shared" si="20"/>
        <v>0</v>
      </c>
      <c r="G151" s="3"/>
      <c r="H151" s="3"/>
      <c r="I151" s="3"/>
      <c r="J151" s="26">
        <f t="shared" si="21"/>
        <v>0</v>
      </c>
      <c r="K151" s="3"/>
      <c r="L151" s="3">
        <f t="shared" si="22"/>
        <v>0</v>
      </c>
      <c r="M151" s="3"/>
      <c r="N151" s="26">
        <f t="shared" si="23"/>
        <v>0</v>
      </c>
      <c r="O151" s="9"/>
      <c r="P151" s="3"/>
      <c r="Q151" s="3"/>
      <c r="R151" s="26">
        <f t="shared" si="24"/>
        <v>0</v>
      </c>
      <c r="S151" s="3"/>
      <c r="T151" s="3">
        <v>48.14</v>
      </c>
      <c r="U151" s="3"/>
      <c r="V151" s="26">
        <f t="shared" si="25"/>
        <v>4.6905037319324549E-6</v>
      </c>
      <c r="W151" s="3"/>
      <c r="X151" s="3">
        <f t="shared" si="26"/>
        <v>-48.14</v>
      </c>
      <c r="Y151" s="3"/>
      <c r="Z151" s="26">
        <f t="shared" si="27"/>
        <v>-1</v>
      </c>
    </row>
    <row r="152" spans="1:26" s="69" customFormat="1" ht="15" hidden="1" customHeight="1" outlineLevel="1" x14ac:dyDescent="0.3">
      <c r="A152" s="47"/>
      <c r="B152" s="9" t="str">
        <f>CONCATENATE("          ","5526"," - ","FREIGHT-IN-WRITING INSTRUMENTS")</f>
        <v xml:space="preserve">          5526 - FREIGHT-IN-WRITING INSTRUMENTS</v>
      </c>
      <c r="C152" s="9"/>
      <c r="D152" s="3"/>
      <c r="E152" s="3"/>
      <c r="F152" s="26">
        <f t="shared" si="20"/>
        <v>0</v>
      </c>
      <c r="G152" s="3"/>
      <c r="H152" s="3"/>
      <c r="I152" s="3"/>
      <c r="J152" s="26">
        <f t="shared" si="21"/>
        <v>0</v>
      </c>
      <c r="K152" s="3"/>
      <c r="L152" s="3">
        <f t="shared" si="22"/>
        <v>0</v>
      </c>
      <c r="M152" s="3"/>
      <c r="N152" s="26">
        <f t="shared" si="23"/>
        <v>0</v>
      </c>
      <c r="O152" s="9"/>
      <c r="P152" s="3"/>
      <c r="Q152" s="3"/>
      <c r="R152" s="26">
        <f t="shared" si="24"/>
        <v>0</v>
      </c>
      <c r="S152" s="3"/>
      <c r="T152" s="3">
        <v>0</v>
      </c>
      <c r="U152" s="3"/>
      <c r="V152" s="26">
        <f t="shared" si="25"/>
        <v>0</v>
      </c>
      <c r="W152" s="3"/>
      <c r="X152" s="3">
        <f t="shared" si="26"/>
        <v>0</v>
      </c>
      <c r="Y152" s="3"/>
      <c r="Z152" s="26">
        <f t="shared" si="27"/>
        <v>0</v>
      </c>
    </row>
    <row r="153" spans="1:26" s="69" customFormat="1" ht="15" hidden="1" customHeight="1" outlineLevel="1" x14ac:dyDescent="0.3">
      <c r="A153" s="47"/>
      <c r="B153" s="9" t="str">
        <f>CONCATENATE("          ","5527"," - ","FREIGHT-IN-SCHOOL SUPPLIES")</f>
        <v xml:space="preserve">          5527 - FREIGHT-IN-SCHOOL SUPPLIES</v>
      </c>
      <c r="C153" s="9"/>
      <c r="D153" s="3"/>
      <c r="E153" s="3"/>
      <c r="F153" s="26">
        <f t="shared" si="20"/>
        <v>0</v>
      </c>
      <c r="G153" s="3"/>
      <c r="H153" s="3">
        <v>58.29</v>
      </c>
      <c r="I153" s="3"/>
      <c r="J153" s="26">
        <f t="shared" si="21"/>
        <v>1.2924579017148849E-4</v>
      </c>
      <c r="K153" s="3"/>
      <c r="L153" s="3">
        <f t="shared" si="22"/>
        <v>-58.29</v>
      </c>
      <c r="M153" s="3"/>
      <c r="N153" s="26">
        <f t="shared" si="23"/>
        <v>-1</v>
      </c>
      <c r="O153" s="9"/>
      <c r="P153" s="3">
        <v>0</v>
      </c>
      <c r="Q153" s="3"/>
      <c r="R153" s="26">
        <f t="shared" si="24"/>
        <v>0</v>
      </c>
      <c r="S153" s="3"/>
      <c r="T153" s="3">
        <v>276.91000000000003</v>
      </c>
      <c r="U153" s="3"/>
      <c r="V153" s="26">
        <f t="shared" si="25"/>
        <v>2.6980627096165688E-5</v>
      </c>
      <c r="W153" s="3"/>
      <c r="X153" s="3">
        <f t="shared" si="26"/>
        <v>-276.91000000000003</v>
      </c>
      <c r="Y153" s="3"/>
      <c r="Z153" s="26">
        <f t="shared" si="27"/>
        <v>-1</v>
      </c>
    </row>
    <row r="154" spans="1:26" s="69" customFormat="1" ht="15" hidden="1" customHeight="1" outlineLevel="1" x14ac:dyDescent="0.3">
      <c r="A154" s="47"/>
      <c r="B154" s="9" t="str">
        <f>CONCATENATE("          ","5528"," - ","FREIGHT-IN-ART/TECH")</f>
        <v xml:space="preserve">          5528 - FREIGHT-IN-ART/TECH</v>
      </c>
      <c r="C154" s="9"/>
      <c r="D154" s="3"/>
      <c r="E154" s="3"/>
      <c r="F154" s="26">
        <f t="shared" si="20"/>
        <v>0</v>
      </c>
      <c r="G154" s="3"/>
      <c r="H154" s="3">
        <v>102.68</v>
      </c>
      <c r="I154" s="3"/>
      <c r="J154" s="26">
        <f t="shared" si="21"/>
        <v>2.2767125981829539E-4</v>
      </c>
      <c r="K154" s="3"/>
      <c r="L154" s="3">
        <f t="shared" si="22"/>
        <v>-102.68</v>
      </c>
      <c r="M154" s="3"/>
      <c r="N154" s="26">
        <f t="shared" si="23"/>
        <v>-1</v>
      </c>
      <c r="O154" s="9"/>
      <c r="P154" s="3">
        <v>0</v>
      </c>
      <c r="Q154" s="3"/>
      <c r="R154" s="26">
        <f t="shared" si="24"/>
        <v>0</v>
      </c>
      <c r="S154" s="3"/>
      <c r="T154" s="3">
        <v>675.64</v>
      </c>
      <c r="U154" s="3"/>
      <c r="V154" s="26">
        <f t="shared" si="25"/>
        <v>6.5830742447919481E-5</v>
      </c>
      <c r="W154" s="3"/>
      <c r="X154" s="3">
        <f t="shared" si="26"/>
        <v>-675.64</v>
      </c>
      <c r="Y154" s="3"/>
      <c r="Z154" s="26">
        <f t="shared" si="27"/>
        <v>-1</v>
      </c>
    </row>
    <row r="155" spans="1:26" s="69" customFormat="1" ht="15" hidden="1" customHeight="1" outlineLevel="1" x14ac:dyDescent="0.3">
      <c r="A155" s="47"/>
      <c r="B155" s="9" t="str">
        <f>CONCATENATE("          ","5540"," - ","FREIGHT-IN-LOGO CLOTHING")</f>
        <v xml:space="preserve">          5540 - FREIGHT-IN-LOGO CLOTHING</v>
      </c>
      <c r="C155" s="9"/>
      <c r="D155" s="3"/>
      <c r="E155" s="3"/>
      <c r="F155" s="26">
        <f t="shared" si="20"/>
        <v>0</v>
      </c>
      <c r="G155" s="3"/>
      <c r="H155" s="3">
        <v>1384.09</v>
      </c>
      <c r="I155" s="3"/>
      <c r="J155" s="26">
        <f t="shared" si="21"/>
        <v>3.0689278730220535E-3</v>
      </c>
      <c r="K155" s="3"/>
      <c r="L155" s="3">
        <f t="shared" si="22"/>
        <v>-1384.09</v>
      </c>
      <c r="M155" s="3"/>
      <c r="N155" s="26">
        <f t="shared" si="23"/>
        <v>-1</v>
      </c>
      <c r="O155" s="9"/>
      <c r="P155" s="3">
        <v>0</v>
      </c>
      <c r="Q155" s="3"/>
      <c r="R155" s="26">
        <f t="shared" si="24"/>
        <v>0</v>
      </c>
      <c r="S155" s="3"/>
      <c r="T155" s="3">
        <v>11883.79</v>
      </c>
      <c r="U155" s="3"/>
      <c r="V155" s="26">
        <f t="shared" si="25"/>
        <v>1.15789284055882E-3</v>
      </c>
      <c r="W155" s="3"/>
      <c r="X155" s="3">
        <f t="shared" si="26"/>
        <v>-11883.79</v>
      </c>
      <c r="Y155" s="3"/>
      <c r="Z155" s="26">
        <f t="shared" si="27"/>
        <v>-1</v>
      </c>
    </row>
    <row r="156" spans="1:26" s="69" customFormat="1" ht="15" hidden="1" customHeight="1" outlineLevel="1" x14ac:dyDescent="0.3">
      <c r="A156" s="47"/>
      <c r="B156" s="9" t="str">
        <f>CONCATENATE("          ","5541"," - ","FREIGHT-IN-LOGO GIFTS")</f>
        <v xml:space="preserve">          5541 - FREIGHT-IN-LOGO GIFTS</v>
      </c>
      <c r="C156" s="9"/>
      <c r="D156" s="3"/>
      <c r="E156" s="3"/>
      <c r="F156" s="26">
        <f t="shared" si="20"/>
        <v>0</v>
      </c>
      <c r="G156" s="3"/>
      <c r="H156" s="3">
        <v>1606.81</v>
      </c>
      <c r="I156" s="3"/>
      <c r="J156" s="26">
        <f t="shared" si="21"/>
        <v>3.5627625339758003E-3</v>
      </c>
      <c r="K156" s="3"/>
      <c r="L156" s="3">
        <f t="shared" si="22"/>
        <v>-1606.81</v>
      </c>
      <c r="M156" s="3"/>
      <c r="N156" s="26">
        <f t="shared" si="23"/>
        <v>-1</v>
      </c>
      <c r="O156" s="9"/>
      <c r="P156" s="3">
        <v>0</v>
      </c>
      <c r="Q156" s="3"/>
      <c r="R156" s="26">
        <f t="shared" si="24"/>
        <v>0</v>
      </c>
      <c r="S156" s="3"/>
      <c r="T156" s="3">
        <v>7584.01</v>
      </c>
      <c r="U156" s="3"/>
      <c r="V156" s="26">
        <f t="shared" si="25"/>
        <v>7.3894530968037094E-4</v>
      </c>
      <c r="W156" s="3"/>
      <c r="X156" s="3">
        <f t="shared" si="26"/>
        <v>-7584.01</v>
      </c>
      <c r="Y156" s="3"/>
      <c r="Z156" s="26">
        <f t="shared" si="27"/>
        <v>-1</v>
      </c>
    </row>
    <row r="157" spans="1:26" s="69" customFormat="1" ht="15" hidden="1" customHeight="1" outlineLevel="1" x14ac:dyDescent="0.3">
      <c r="A157" s="47"/>
      <c r="B157" s="9" t="str">
        <f>CONCATENATE("          ","5542"," - ","FREIGHT-IN-EVERYDAY GIFTS")</f>
        <v xml:space="preserve">          5542 - FREIGHT-IN-EVERYDAY GIFTS</v>
      </c>
      <c r="C157" s="9"/>
      <c r="D157" s="3"/>
      <c r="E157" s="3"/>
      <c r="F157" s="26">
        <f t="shared" si="20"/>
        <v>0</v>
      </c>
      <c r="G157" s="3"/>
      <c r="H157" s="3"/>
      <c r="I157" s="3"/>
      <c r="J157" s="26">
        <f t="shared" si="21"/>
        <v>0</v>
      </c>
      <c r="K157" s="3"/>
      <c r="L157" s="3">
        <f t="shared" si="22"/>
        <v>0</v>
      </c>
      <c r="M157" s="3"/>
      <c r="N157" s="26">
        <f t="shared" si="23"/>
        <v>0</v>
      </c>
      <c r="O157" s="9"/>
      <c r="P157" s="3">
        <v>0</v>
      </c>
      <c r="Q157" s="3"/>
      <c r="R157" s="26">
        <f t="shared" si="24"/>
        <v>0</v>
      </c>
      <c r="S157" s="3"/>
      <c r="T157" s="3">
        <v>681.72</v>
      </c>
      <c r="U157" s="3"/>
      <c r="V157" s="26">
        <f t="shared" si="25"/>
        <v>6.6423145079621803E-5</v>
      </c>
      <c r="W157" s="3"/>
      <c r="X157" s="3">
        <f t="shared" si="26"/>
        <v>-681.72</v>
      </c>
      <c r="Y157" s="3"/>
      <c r="Z157" s="26">
        <f t="shared" si="27"/>
        <v>-1</v>
      </c>
    </row>
    <row r="158" spans="1:26" s="69" customFormat="1" ht="15" hidden="1" customHeight="1" outlineLevel="1" x14ac:dyDescent="0.3">
      <c r="A158" s="47"/>
      <c r="B158" s="9" t="str">
        <f>CONCATENATE("          ","5543"," - ","FREIGHT-IN-CARDS")</f>
        <v xml:space="preserve">          5543 - FREIGHT-IN-CARDS</v>
      </c>
      <c r="C158" s="9"/>
      <c r="D158" s="3"/>
      <c r="E158" s="3"/>
      <c r="F158" s="26">
        <f t="shared" si="20"/>
        <v>0</v>
      </c>
      <c r="G158" s="3"/>
      <c r="H158" s="3"/>
      <c r="I158" s="3"/>
      <c r="J158" s="26">
        <f t="shared" si="21"/>
        <v>0</v>
      </c>
      <c r="K158" s="3"/>
      <c r="L158" s="3">
        <f t="shared" si="22"/>
        <v>0</v>
      </c>
      <c r="M158" s="3"/>
      <c r="N158" s="26">
        <f t="shared" si="23"/>
        <v>0</v>
      </c>
      <c r="O158" s="9"/>
      <c r="P158" s="3"/>
      <c r="Q158" s="3"/>
      <c r="R158" s="26">
        <f t="shared" si="24"/>
        <v>0</v>
      </c>
      <c r="S158" s="3"/>
      <c r="T158" s="3">
        <v>9110.5300000000007</v>
      </c>
      <c r="U158" s="3"/>
      <c r="V158" s="26">
        <f t="shared" si="25"/>
        <v>8.8768124148073523E-4</v>
      </c>
      <c r="W158" s="3"/>
      <c r="X158" s="3">
        <f t="shared" si="26"/>
        <v>-9110.5300000000007</v>
      </c>
      <c r="Y158" s="3"/>
      <c r="Z158" s="26">
        <f t="shared" si="27"/>
        <v>-1</v>
      </c>
    </row>
    <row r="159" spans="1:26" s="69" customFormat="1" ht="15" hidden="1" customHeight="1" outlineLevel="1" x14ac:dyDescent="0.3">
      <c r="A159" s="47"/>
      <c r="B159" s="9" t="str">
        <f>CONCATENATE("          ","5544"," - ","FREIGHT-IN-ACCESSORIES")</f>
        <v xml:space="preserve">          5544 - FREIGHT-IN-ACCESSORIES</v>
      </c>
      <c r="C159" s="9"/>
      <c r="D159" s="3"/>
      <c r="E159" s="3"/>
      <c r="F159" s="26">
        <f t="shared" si="20"/>
        <v>0</v>
      </c>
      <c r="G159" s="3"/>
      <c r="H159" s="3">
        <v>48.59</v>
      </c>
      <c r="I159" s="3"/>
      <c r="J159" s="26">
        <f t="shared" si="21"/>
        <v>1.0773808448160278E-4</v>
      </c>
      <c r="K159" s="3"/>
      <c r="L159" s="3">
        <f t="shared" si="22"/>
        <v>-48.59</v>
      </c>
      <c r="M159" s="3"/>
      <c r="N159" s="26">
        <f t="shared" si="23"/>
        <v>-1</v>
      </c>
      <c r="O159" s="9"/>
      <c r="P159" s="3">
        <v>0</v>
      </c>
      <c r="Q159" s="3"/>
      <c r="R159" s="26">
        <f t="shared" si="24"/>
        <v>0</v>
      </c>
      <c r="S159" s="3"/>
      <c r="T159" s="3">
        <v>48.59</v>
      </c>
      <c r="U159" s="3"/>
      <c r="V159" s="26">
        <f t="shared" si="25"/>
        <v>4.7343493214498958E-6</v>
      </c>
      <c r="W159" s="3"/>
      <c r="X159" s="3">
        <f t="shared" si="26"/>
        <v>-48.59</v>
      </c>
      <c r="Y159" s="3"/>
      <c r="Z159" s="26">
        <f t="shared" si="27"/>
        <v>-1</v>
      </c>
    </row>
    <row r="160" spans="1:26" s="69" customFormat="1" ht="15" hidden="1" customHeight="1" outlineLevel="1" x14ac:dyDescent="0.3">
      <c r="A160" s="47"/>
      <c r="B160" s="9" t="str">
        <f>CONCATENATE("          ","5545"," - ","FREIGHT-IN-SPECIAL ORDERS")</f>
        <v xml:space="preserve">          5545 - FREIGHT-IN-SPECIAL ORDERS</v>
      </c>
      <c r="C160" s="9"/>
      <c r="D160" s="3"/>
      <c r="E160" s="3"/>
      <c r="F160" s="26">
        <f t="shared" si="20"/>
        <v>0</v>
      </c>
      <c r="G160" s="3"/>
      <c r="H160" s="3">
        <v>90.41</v>
      </c>
      <c r="I160" s="3"/>
      <c r="J160" s="26">
        <f t="shared" si="21"/>
        <v>2.0046512076521314E-4</v>
      </c>
      <c r="K160" s="3"/>
      <c r="L160" s="3">
        <f t="shared" si="22"/>
        <v>-90.41</v>
      </c>
      <c r="M160" s="3"/>
      <c r="N160" s="26">
        <f t="shared" si="23"/>
        <v>-1</v>
      </c>
      <c r="O160" s="9"/>
      <c r="P160" s="3">
        <v>0</v>
      </c>
      <c r="Q160" s="3"/>
      <c r="R160" s="26">
        <f t="shared" si="24"/>
        <v>0</v>
      </c>
      <c r="S160" s="3"/>
      <c r="T160" s="3">
        <v>2559.0700000000002</v>
      </c>
      <c r="U160" s="3"/>
      <c r="V160" s="26">
        <f t="shared" si="25"/>
        <v>2.4934207281421662E-4</v>
      </c>
      <c r="W160" s="3"/>
      <c r="X160" s="3">
        <f t="shared" si="26"/>
        <v>-2559.0700000000002</v>
      </c>
      <c r="Y160" s="3"/>
      <c r="Z160" s="26">
        <f t="shared" si="27"/>
        <v>-1</v>
      </c>
    </row>
    <row r="161" spans="1:26" s="69" customFormat="1" ht="15" hidden="1" customHeight="1" outlineLevel="1" x14ac:dyDescent="0.3">
      <c r="A161" s="47"/>
      <c r="B161" s="9" t="str">
        <f>CONCATENATE("          ","5581"," - ","FREIGHT-IN-ELECTRONICS")</f>
        <v xml:space="preserve">          5581 - FREIGHT-IN-ELECTRONICS</v>
      </c>
      <c r="C161" s="9"/>
      <c r="D161" s="3"/>
      <c r="E161" s="3"/>
      <c r="F161" s="26">
        <f t="shared" si="20"/>
        <v>0</v>
      </c>
      <c r="G161" s="3"/>
      <c r="H161" s="3">
        <v>0</v>
      </c>
      <c r="I161" s="3"/>
      <c r="J161" s="26">
        <f t="shared" si="21"/>
        <v>0</v>
      </c>
      <c r="K161" s="3"/>
      <c r="L161" s="3">
        <f t="shared" si="22"/>
        <v>0</v>
      </c>
      <c r="M161" s="3"/>
      <c r="N161" s="26">
        <f t="shared" si="23"/>
        <v>0</v>
      </c>
      <c r="O161" s="9"/>
      <c r="P161" s="3"/>
      <c r="Q161" s="3"/>
      <c r="R161" s="26">
        <f t="shared" si="24"/>
        <v>0</v>
      </c>
      <c r="S161" s="3"/>
      <c r="T161" s="3">
        <v>31</v>
      </c>
      <c r="U161" s="3"/>
      <c r="V161" s="26">
        <f t="shared" si="25"/>
        <v>3.0204739445348171E-6</v>
      </c>
      <c r="W161" s="3"/>
      <c r="X161" s="3">
        <f t="shared" si="26"/>
        <v>-31</v>
      </c>
      <c r="Y161" s="3"/>
      <c r="Z161" s="26">
        <f t="shared" si="27"/>
        <v>-1</v>
      </c>
    </row>
    <row r="162" spans="1:26" s="69" customFormat="1" ht="15" hidden="1" customHeight="1" outlineLevel="1" x14ac:dyDescent="0.3">
      <c r="A162" s="47"/>
      <c r="B162" s="9" t="str">
        <f>CONCATENATE("          ","5582"," - ","FREIGHT-IN-COMPUTER HARDWARE")</f>
        <v xml:space="preserve">          5582 - FREIGHT-IN-COMPUTER HARDWARE</v>
      </c>
      <c r="C162" s="9"/>
      <c r="D162" s="3"/>
      <c r="E162" s="3"/>
      <c r="F162" s="26">
        <f t="shared" si="20"/>
        <v>0</v>
      </c>
      <c r="G162" s="3"/>
      <c r="H162" s="3"/>
      <c r="I162" s="3"/>
      <c r="J162" s="26">
        <f t="shared" si="21"/>
        <v>0</v>
      </c>
      <c r="K162" s="3"/>
      <c r="L162" s="3">
        <f t="shared" si="22"/>
        <v>0</v>
      </c>
      <c r="M162" s="3"/>
      <c r="N162" s="26">
        <f t="shared" si="23"/>
        <v>0</v>
      </c>
      <c r="O162" s="9"/>
      <c r="P162" s="3"/>
      <c r="Q162" s="3"/>
      <c r="R162" s="26">
        <f t="shared" si="24"/>
        <v>0</v>
      </c>
      <c r="S162" s="3"/>
      <c r="T162" s="3">
        <v>145</v>
      </c>
      <c r="U162" s="3"/>
      <c r="V162" s="26">
        <f t="shared" si="25"/>
        <v>1.4128023288953178E-5</v>
      </c>
      <c r="W162" s="3"/>
      <c r="X162" s="3">
        <f t="shared" si="26"/>
        <v>-145</v>
      </c>
      <c r="Y162" s="3"/>
      <c r="Z162" s="26">
        <f t="shared" si="27"/>
        <v>-1</v>
      </c>
    </row>
    <row r="163" spans="1:26" s="69" customFormat="1" ht="15" hidden="1" customHeight="1" outlineLevel="1" x14ac:dyDescent="0.3">
      <c r="A163" s="47"/>
      <c r="B163" s="9" t="str">
        <f>CONCATENATE("          ","5583"," - ","FREIGHT-IN-COMPUTER EQUIPMENT")</f>
        <v xml:space="preserve">          5583 - FREIGHT-IN-COMPUTER EQUIPMENT</v>
      </c>
      <c r="C163" s="9"/>
      <c r="D163" s="3"/>
      <c r="E163" s="3"/>
      <c r="F163" s="26">
        <f t="shared" si="20"/>
        <v>0</v>
      </c>
      <c r="G163" s="3"/>
      <c r="H163" s="3"/>
      <c r="I163" s="3"/>
      <c r="J163" s="26">
        <f t="shared" si="21"/>
        <v>0</v>
      </c>
      <c r="K163" s="3"/>
      <c r="L163" s="3">
        <f t="shared" si="22"/>
        <v>0</v>
      </c>
      <c r="M163" s="3"/>
      <c r="N163" s="26">
        <f t="shared" si="23"/>
        <v>0</v>
      </c>
      <c r="O163" s="9"/>
      <c r="P163" s="3">
        <v>0</v>
      </c>
      <c r="Q163" s="3"/>
      <c r="R163" s="26">
        <f t="shared" si="24"/>
        <v>0</v>
      </c>
      <c r="S163" s="3"/>
      <c r="T163" s="3">
        <v>242.46</v>
      </c>
      <c r="U163" s="3"/>
      <c r="V163" s="26">
        <f t="shared" si="25"/>
        <v>2.3624003631997155E-5</v>
      </c>
      <c r="W163" s="3"/>
      <c r="X163" s="3">
        <f t="shared" si="26"/>
        <v>-242.46</v>
      </c>
      <c r="Y163" s="3"/>
      <c r="Z163" s="26">
        <f t="shared" si="27"/>
        <v>-1</v>
      </c>
    </row>
    <row r="164" spans="1:26" s="69" customFormat="1" ht="15" hidden="1" customHeight="1" outlineLevel="1" x14ac:dyDescent="0.3">
      <c r="A164" s="47"/>
      <c r="B164" s="9" t="str">
        <f>CONCATENATE("          ","5585"," - ","FREIGHT-IN-SOFTWARE")</f>
        <v xml:space="preserve">          5585 - FREIGHT-IN-SOFTWARE</v>
      </c>
      <c r="C164" s="9"/>
      <c r="D164" s="3"/>
      <c r="E164" s="3"/>
      <c r="F164" s="26">
        <f t="shared" si="20"/>
        <v>0</v>
      </c>
      <c r="G164" s="3"/>
      <c r="H164" s="3"/>
      <c r="I164" s="3"/>
      <c r="J164" s="26">
        <f t="shared" si="21"/>
        <v>0</v>
      </c>
      <c r="K164" s="3"/>
      <c r="L164" s="3">
        <f t="shared" si="22"/>
        <v>0</v>
      </c>
      <c r="M164" s="3"/>
      <c r="N164" s="26">
        <f t="shared" si="23"/>
        <v>0</v>
      </c>
      <c r="O164" s="9"/>
      <c r="P164" s="3"/>
      <c r="Q164" s="3"/>
      <c r="R164" s="26">
        <f t="shared" si="24"/>
        <v>0</v>
      </c>
      <c r="S164" s="3"/>
      <c r="T164" s="3">
        <v>9.41</v>
      </c>
      <c r="U164" s="3"/>
      <c r="V164" s="26">
        <f t="shared" si="25"/>
        <v>9.1685999413137523E-7</v>
      </c>
      <c r="W164" s="3"/>
      <c r="X164" s="3">
        <f t="shared" si="26"/>
        <v>-9.41</v>
      </c>
      <c r="Y164" s="3"/>
      <c r="Z164" s="26">
        <f t="shared" si="27"/>
        <v>-1</v>
      </c>
    </row>
    <row r="165" spans="1:26" s="69" customFormat="1" ht="15" hidden="1" customHeight="1" outlineLevel="1" x14ac:dyDescent="0.3">
      <c r="A165" s="47"/>
      <c r="B165" s="9" t="str">
        <f>CONCATENATE("          ","5586"," - ","FREIGHT-IN-COMPUTER SUPPLIES")</f>
        <v xml:space="preserve">          5586 - FREIGHT-IN-COMPUTER SUPPLIES</v>
      </c>
      <c r="C165" s="9"/>
      <c r="D165" s="3"/>
      <c r="E165" s="3"/>
      <c r="F165" s="26">
        <f t="shared" si="20"/>
        <v>0</v>
      </c>
      <c r="G165" s="3"/>
      <c r="H165" s="3"/>
      <c r="I165" s="3"/>
      <c r="J165" s="26">
        <f t="shared" si="21"/>
        <v>0</v>
      </c>
      <c r="K165" s="3"/>
      <c r="L165" s="3">
        <f t="shared" si="22"/>
        <v>0</v>
      </c>
      <c r="M165" s="3"/>
      <c r="N165" s="26">
        <f t="shared" si="23"/>
        <v>0</v>
      </c>
      <c r="O165" s="9"/>
      <c r="P165" s="3"/>
      <c r="Q165" s="3"/>
      <c r="R165" s="26">
        <f t="shared" si="24"/>
        <v>0</v>
      </c>
      <c r="S165" s="3"/>
      <c r="T165" s="3">
        <v>24.12</v>
      </c>
      <c r="U165" s="3"/>
      <c r="V165" s="26">
        <f t="shared" si="25"/>
        <v>2.350123598134832E-6</v>
      </c>
      <c r="W165" s="3"/>
      <c r="X165" s="3">
        <f t="shared" si="26"/>
        <v>-24.12</v>
      </c>
      <c r="Y165" s="3"/>
      <c r="Z165" s="26">
        <f t="shared" si="27"/>
        <v>-1</v>
      </c>
    </row>
    <row r="166" spans="1:26" s="69" customFormat="1" ht="15" hidden="1" customHeight="1" outlineLevel="1" x14ac:dyDescent="0.3">
      <c r="A166" s="47"/>
      <c r="B166" s="9" t="str">
        <f>CONCATENATE("          ","5592"," - ","FREIGHT-IN-GRAD MERCH")</f>
        <v xml:space="preserve">          5592 - FREIGHT-IN-GRAD MERCH</v>
      </c>
      <c r="C166" s="9"/>
      <c r="D166" s="3"/>
      <c r="E166" s="3"/>
      <c r="F166" s="26">
        <f t="shared" si="20"/>
        <v>0</v>
      </c>
      <c r="G166" s="3"/>
      <c r="H166" s="3"/>
      <c r="I166" s="3"/>
      <c r="J166" s="26">
        <f t="shared" si="21"/>
        <v>0</v>
      </c>
      <c r="K166" s="3"/>
      <c r="L166" s="3">
        <f t="shared" si="22"/>
        <v>0</v>
      </c>
      <c r="M166" s="3"/>
      <c r="N166" s="26">
        <f t="shared" si="23"/>
        <v>0</v>
      </c>
      <c r="O166" s="9"/>
      <c r="P166" s="3"/>
      <c r="Q166" s="3"/>
      <c r="R166" s="26">
        <f t="shared" si="24"/>
        <v>0</v>
      </c>
      <c r="S166" s="3"/>
      <c r="T166" s="3">
        <v>0</v>
      </c>
      <c r="U166" s="3"/>
      <c r="V166" s="26">
        <f t="shared" si="25"/>
        <v>0</v>
      </c>
      <c r="W166" s="3"/>
      <c r="X166" s="3">
        <f t="shared" si="26"/>
        <v>0</v>
      </c>
      <c r="Y166" s="3"/>
      <c r="Z166" s="26">
        <f t="shared" si="27"/>
        <v>0</v>
      </c>
    </row>
    <row r="167" spans="1:26" ht="15" customHeight="1" x14ac:dyDescent="0.3">
      <c r="A167" s="12"/>
      <c r="B167" s="13"/>
      <c r="C167" s="13"/>
      <c r="D167" s="4"/>
      <c r="E167" s="4"/>
      <c r="F167" s="10"/>
      <c r="G167" s="4"/>
      <c r="H167" s="4"/>
      <c r="I167" s="4"/>
      <c r="J167" s="10"/>
      <c r="K167" s="4"/>
      <c r="L167" s="4"/>
      <c r="M167" s="4"/>
      <c r="N167" s="10"/>
      <c r="O167" s="13"/>
      <c r="P167" s="4"/>
      <c r="Q167" s="4"/>
      <c r="R167" s="10"/>
      <c r="S167" s="4"/>
      <c r="T167" s="4"/>
      <c r="U167" s="4"/>
      <c r="V167" s="10"/>
      <c r="W167" s="4"/>
      <c r="X167" s="4"/>
      <c r="Y167" s="4"/>
      <c r="Z167" s="10"/>
    </row>
    <row r="168" spans="1:26" s="62" customFormat="1" ht="15" customHeight="1" x14ac:dyDescent="0.3">
      <c r="A168" s="13"/>
      <c r="B168" s="28" t="s">
        <v>288</v>
      </c>
      <c r="C168" s="28"/>
      <c r="D168" s="22">
        <f>D12-D108</f>
        <v>112630.64000000001</v>
      </c>
      <c r="E168" s="15"/>
      <c r="F168" s="24">
        <f>IF(D$12=0,0,D168/D$12)</f>
        <v>0.11960313435525773</v>
      </c>
      <c r="G168" s="15"/>
      <c r="H168" s="22">
        <f>H12-H108</f>
        <v>133226.80000000005</v>
      </c>
      <c r="I168" s="15"/>
      <c r="J168" s="24">
        <f>IF(H$12=0,0,H168/H$12)</f>
        <v>0.29540235096961515</v>
      </c>
      <c r="K168" s="17"/>
      <c r="L168" s="22">
        <f>+D168-H168</f>
        <v>-20596.160000000033</v>
      </c>
      <c r="M168" s="17"/>
      <c r="N168" s="24">
        <f>IF(H168=0,0,L168/H168)</f>
        <v>-0.15459472118222478</v>
      </c>
      <c r="O168" s="27"/>
      <c r="P168" s="22">
        <f>P12-P108</f>
        <v>14417488.770000005</v>
      </c>
      <c r="Q168" s="15"/>
      <c r="R168" s="24">
        <f>IF(P$12=0,0,P168/P$12)</f>
        <v>0.57655526346349839</v>
      </c>
      <c r="S168" s="15"/>
      <c r="T168" s="22">
        <f>T12-T108</f>
        <v>3975018.7299999977</v>
      </c>
      <c r="U168" s="15"/>
      <c r="V168" s="24">
        <f>IF(T$12=0,0,T168/T$12)</f>
        <v>0.3873045323549314</v>
      </c>
      <c r="W168" s="17"/>
      <c r="X168" s="22">
        <f>+P168-T168</f>
        <v>10442470.040000007</v>
      </c>
      <c r="Y168" s="17"/>
      <c r="Z168" s="24">
        <f>IF(T168=0,0,X168/T168)</f>
        <v>2.6270241096448905</v>
      </c>
    </row>
    <row r="169" spans="1:26" ht="15" customHeight="1" x14ac:dyDescent="0.3">
      <c r="A169" s="12"/>
      <c r="B169" s="13"/>
      <c r="C169" s="12"/>
      <c r="D169" s="2"/>
      <c r="E169" s="2"/>
      <c r="F169" s="5"/>
      <c r="G169" s="2"/>
      <c r="H169" s="2"/>
      <c r="I169" s="2"/>
      <c r="J169" s="5"/>
      <c r="K169" s="2"/>
      <c r="L169" s="2"/>
      <c r="M169" s="2"/>
      <c r="N169" s="5"/>
      <c r="O169" s="37"/>
      <c r="P169" s="2"/>
      <c r="Q169" s="2"/>
      <c r="R169" s="5"/>
      <c r="S169" s="2"/>
      <c r="T169" s="2"/>
      <c r="U169" s="2"/>
      <c r="V169" s="5"/>
      <c r="W169" s="2"/>
      <c r="X169" s="2"/>
      <c r="Y169" s="2"/>
      <c r="Z169" s="5"/>
    </row>
    <row r="170" spans="1:26" s="62" customFormat="1" ht="15" customHeight="1" x14ac:dyDescent="0.3">
      <c r="A170" s="13"/>
      <c r="B170" s="27" t="s">
        <v>289</v>
      </c>
      <c r="C170" s="13"/>
      <c r="D170" s="23" cm="1">
        <f t="array" ref="D170">SUM(OSRRefD22x_0)</f>
        <v>686728.85000000021</v>
      </c>
      <c r="E170" s="23"/>
      <c r="F170" s="34">
        <f t="shared" ref="F170:F201" si="28">IF(D$12=0,0,D170/D$12)</f>
        <v>0.72924137616710383</v>
      </c>
      <c r="G170" s="23"/>
      <c r="H170" s="23" cm="1">
        <f t="array" ref="H170">SUM(OSRRefH22x_0)</f>
        <v>631927.34000000008</v>
      </c>
      <c r="I170" s="23"/>
      <c r="J170" s="34">
        <f t="shared" ref="J170:J201" si="29">IF(H$12=0,0,H170/H$12)</f>
        <v>1.4011656954754996</v>
      </c>
      <c r="K170" s="8"/>
      <c r="L170" s="23">
        <f t="shared" ref="L170:L201" si="30">+D170-H170</f>
        <v>54801.510000000126</v>
      </c>
      <c r="M170" s="8"/>
      <c r="N170" s="34">
        <f t="shared" ref="N170:N201" si="31">IF(H170=0,0,L170/H170)</f>
        <v>8.6721220195980317E-2</v>
      </c>
      <c r="O170" s="13"/>
      <c r="P170" s="23" cm="1">
        <f t="array" ref="P170">SUM(OSRRefP22x_0)</f>
        <v>12429703.139999997</v>
      </c>
      <c r="Q170" s="23"/>
      <c r="R170" s="34">
        <f t="shared" ref="R170:R201" si="32">IF(P$12=0,0,P170/P$12)</f>
        <v>0.49706373162347661</v>
      </c>
      <c r="S170" s="23"/>
      <c r="T170" s="23" cm="1">
        <f t="array" ref="T170">SUM(OSRRefT22x_0)</f>
        <v>8021775.0299999965</v>
      </c>
      <c r="U170" s="23"/>
      <c r="V170" s="34">
        <f t="shared" ref="V170:V201" si="33">IF(T$12=0,0,T170/T$12)</f>
        <v>0.78159878925919324</v>
      </c>
      <c r="W170" s="8"/>
      <c r="X170" s="23">
        <f t="shared" ref="X170:X201" si="34">+P170-T170</f>
        <v>4407928.1100000003</v>
      </c>
      <c r="Y170" s="8"/>
      <c r="Z170" s="34">
        <f t="shared" ref="Z170:Z201" si="35">IF(T170=0,0,X170/T170)</f>
        <v>0.54949535402266225</v>
      </c>
    </row>
    <row r="171" spans="1:26" s="68" customFormat="1" ht="15" customHeight="1" outlineLevel="1" collapsed="1" x14ac:dyDescent="0.3">
      <c r="A171" s="20"/>
      <c r="B171" s="11" t="str">
        <f>CONCATENATE("     ","*Benefits                                         ")</f>
        <v xml:space="preserve">     *Benefits                                         </v>
      </c>
      <c r="C171" s="11"/>
      <c r="D171" s="2">
        <f>SUM(OSRRefD22_0x_0)</f>
        <v>92041.57</v>
      </c>
      <c r="E171" s="2"/>
      <c r="F171" s="5">
        <f t="shared" si="28"/>
        <v>9.7739480686417649E-2</v>
      </c>
      <c r="G171" s="2"/>
      <c r="H171" s="2">
        <f>SUM(OSRRefH22_0x_0)</f>
        <v>157493.65</v>
      </c>
      <c r="I171" s="2"/>
      <c r="J171" s="5">
        <f t="shared" si="29"/>
        <v>0.34920897651813082</v>
      </c>
      <c r="K171" s="2"/>
      <c r="L171" s="2">
        <f t="shared" si="30"/>
        <v>-65452.079999999987</v>
      </c>
      <c r="M171" s="2"/>
      <c r="N171" s="5">
        <f t="shared" si="31"/>
        <v>-0.41558551725736237</v>
      </c>
      <c r="O171" s="11"/>
      <c r="P171" s="2">
        <f>SUM(OSRRefP22_0x_0)</f>
        <v>2019516.4</v>
      </c>
      <c r="Q171" s="2"/>
      <c r="R171" s="5">
        <f t="shared" si="32"/>
        <v>8.0760445084838123E-2</v>
      </c>
      <c r="S171" s="2"/>
      <c r="T171" s="2">
        <f>SUM(OSRRefT22_0x_0)</f>
        <v>1860284.62</v>
      </c>
      <c r="U171" s="2"/>
      <c r="V171" s="5">
        <f t="shared" si="33"/>
        <v>0.18125616852028562</v>
      </c>
      <c r="W171" s="2"/>
      <c r="X171" s="2">
        <f t="shared" si="34"/>
        <v>159231.7799999998</v>
      </c>
      <c r="Y171" s="2"/>
      <c r="Z171" s="5">
        <f t="shared" si="35"/>
        <v>8.5595385936158411E-2</v>
      </c>
    </row>
    <row r="172" spans="1:26" s="69" customFormat="1" ht="15" hidden="1" customHeight="1" outlineLevel="2" x14ac:dyDescent="0.3">
      <c r="A172" s="21"/>
      <c r="B172" s="9" t="str">
        <f>CONCATENATE("          ","6111"," - ","F.I.C.A.")</f>
        <v xml:space="preserve">          6111 - F.I.C.A.</v>
      </c>
      <c r="C172" s="9"/>
      <c r="D172" s="6">
        <v>28059.99</v>
      </c>
      <c r="E172" s="3"/>
      <c r="F172" s="7">
        <f t="shared" si="28"/>
        <v>2.9797067245442167E-2</v>
      </c>
      <c r="G172" s="3"/>
      <c r="H172" s="6">
        <v>20326.87</v>
      </c>
      <c r="I172" s="3"/>
      <c r="J172" s="7">
        <f t="shared" si="29"/>
        <v>4.507055026356363E-2</v>
      </c>
      <c r="K172" s="3"/>
      <c r="L172" s="6">
        <f t="shared" si="30"/>
        <v>7733.1200000000026</v>
      </c>
      <c r="M172" s="3"/>
      <c r="N172" s="7">
        <f t="shared" si="31"/>
        <v>0.38043830653711086</v>
      </c>
      <c r="O172" s="9"/>
      <c r="P172" s="6">
        <v>335959.03</v>
      </c>
      <c r="Q172" s="3"/>
      <c r="R172" s="7">
        <f t="shared" si="32"/>
        <v>1.343499898939691E-2</v>
      </c>
      <c r="S172" s="3"/>
      <c r="T172" s="6">
        <v>256168.48</v>
      </c>
      <c r="U172" s="3"/>
      <c r="V172" s="7">
        <f t="shared" si="33"/>
        <v>2.4959684491970596E-2</v>
      </c>
      <c r="W172" s="3"/>
      <c r="X172" s="6">
        <f t="shared" si="34"/>
        <v>79790.550000000017</v>
      </c>
      <c r="Y172" s="3"/>
      <c r="Z172" s="7">
        <f t="shared" si="35"/>
        <v>0.31147684523872732</v>
      </c>
    </row>
    <row r="173" spans="1:26" s="69" customFormat="1" ht="15" hidden="1" customHeight="1" outlineLevel="2" x14ac:dyDescent="0.3">
      <c r="A173" s="21"/>
      <c r="B173" s="9" t="str">
        <f>CONCATENATE("          ","6112"," - ","COMPENSATION INSURANCE")</f>
        <v xml:space="preserve">          6112 - COMPENSATION INSURANCE</v>
      </c>
      <c r="C173" s="9"/>
      <c r="D173" s="6">
        <v>-60880.7</v>
      </c>
      <c r="E173" s="3"/>
      <c r="F173" s="7">
        <f t="shared" si="28"/>
        <v>-6.4649570860488212E-2</v>
      </c>
      <c r="G173" s="3"/>
      <c r="H173" s="6">
        <v>6709.32</v>
      </c>
      <c r="I173" s="3"/>
      <c r="J173" s="7">
        <f t="shared" si="29"/>
        <v>1.4876503086522063E-2</v>
      </c>
      <c r="K173" s="3"/>
      <c r="L173" s="6">
        <f t="shared" si="30"/>
        <v>-67590.01999999999</v>
      </c>
      <c r="M173" s="3"/>
      <c r="N173" s="7">
        <f t="shared" si="31"/>
        <v>-10.074049233007219</v>
      </c>
      <c r="O173" s="9"/>
      <c r="P173" s="6">
        <v>88584.2</v>
      </c>
      <c r="Q173" s="3"/>
      <c r="R173" s="7">
        <f t="shared" si="32"/>
        <v>3.5424814670900009E-3</v>
      </c>
      <c r="S173" s="3"/>
      <c r="T173" s="6">
        <v>97703.95</v>
      </c>
      <c r="U173" s="3"/>
      <c r="V173" s="7">
        <f t="shared" si="33"/>
        <v>9.5197495242945983E-3</v>
      </c>
      <c r="W173" s="3"/>
      <c r="X173" s="6">
        <f t="shared" si="34"/>
        <v>-9119.75</v>
      </c>
      <c r="Y173" s="3"/>
      <c r="Z173" s="7">
        <f t="shared" si="35"/>
        <v>-9.3340647947191491E-2</v>
      </c>
    </row>
    <row r="174" spans="1:26" s="69" customFormat="1" ht="15" hidden="1" customHeight="1" outlineLevel="2" x14ac:dyDescent="0.3">
      <c r="A174" s="21"/>
      <c r="B174" s="9" t="str">
        <f>CONCATENATE("          ","6113"," - ","GROUP INSURANCE")</f>
        <v xml:space="preserve">          6113 - GROUP INSURANCE</v>
      </c>
      <c r="C174" s="9"/>
      <c r="D174" s="6">
        <v>72593.279999999999</v>
      </c>
      <c r="E174" s="3"/>
      <c r="F174" s="7">
        <f t="shared" si="28"/>
        <v>7.7087227961492921E-2</v>
      </c>
      <c r="G174" s="3"/>
      <c r="H174" s="6">
        <v>73927.929999999993</v>
      </c>
      <c r="I174" s="3"/>
      <c r="J174" s="7">
        <f t="shared" si="29"/>
        <v>0.16391960419613119</v>
      </c>
      <c r="K174" s="3"/>
      <c r="L174" s="6">
        <f t="shared" si="30"/>
        <v>-1334.6499999999942</v>
      </c>
      <c r="M174" s="3"/>
      <c r="N174" s="7">
        <f t="shared" si="31"/>
        <v>-1.8053393352147076E-2</v>
      </c>
      <c r="O174" s="9"/>
      <c r="P174" s="6">
        <v>888605.7</v>
      </c>
      <c r="Q174" s="3"/>
      <c r="R174" s="7">
        <f t="shared" si="32"/>
        <v>3.5535335012344606E-2</v>
      </c>
      <c r="S174" s="3"/>
      <c r="T174" s="6">
        <v>897300.86</v>
      </c>
      <c r="U174" s="3"/>
      <c r="V174" s="7">
        <f t="shared" si="33"/>
        <v>8.7428189291570438E-2</v>
      </c>
      <c r="W174" s="3"/>
      <c r="X174" s="6">
        <f t="shared" si="34"/>
        <v>-8695.1600000000326</v>
      </c>
      <c r="Y174" s="3"/>
      <c r="Z174" s="7">
        <f t="shared" si="35"/>
        <v>-9.6903506812642901E-3</v>
      </c>
    </row>
    <row r="175" spans="1:26" s="69" customFormat="1" ht="15" hidden="1" customHeight="1" outlineLevel="2" x14ac:dyDescent="0.3">
      <c r="A175" s="21"/>
      <c r="B175" s="9" t="str">
        <f>CONCATENATE("          ","6114"," - ","STATE UNEMPLOYMENT INSURANCE")</f>
        <v xml:space="preserve">          6114 - STATE UNEMPLOYMENT INSURANCE</v>
      </c>
      <c r="C175" s="9"/>
      <c r="D175" s="6"/>
      <c r="E175" s="3"/>
      <c r="F175" s="7">
        <f t="shared" si="28"/>
        <v>0</v>
      </c>
      <c r="G175" s="3"/>
      <c r="H175" s="6">
        <v>713.79</v>
      </c>
      <c r="I175" s="3"/>
      <c r="J175" s="7">
        <f t="shared" si="29"/>
        <v>1.5826788911735591E-3</v>
      </c>
      <c r="K175" s="3"/>
      <c r="L175" s="6">
        <f t="shared" si="30"/>
        <v>-713.79</v>
      </c>
      <c r="M175" s="3"/>
      <c r="N175" s="7">
        <f t="shared" si="31"/>
        <v>-1</v>
      </c>
      <c r="O175" s="9"/>
      <c r="P175" s="6">
        <v>14853.24</v>
      </c>
      <c r="Q175" s="3"/>
      <c r="R175" s="7">
        <f t="shared" si="32"/>
        <v>5.939809517525686E-4</v>
      </c>
      <c r="S175" s="3"/>
      <c r="T175" s="6">
        <v>9994.67</v>
      </c>
      <c r="U175" s="3"/>
      <c r="V175" s="7">
        <f t="shared" si="33"/>
        <v>9.7382710707173551E-4</v>
      </c>
      <c r="W175" s="3"/>
      <c r="X175" s="6">
        <f t="shared" si="34"/>
        <v>4858.57</v>
      </c>
      <c r="Y175" s="3"/>
      <c r="Z175" s="7">
        <f t="shared" si="35"/>
        <v>0.48611609988123666</v>
      </c>
    </row>
    <row r="176" spans="1:26" s="69" customFormat="1" ht="15" hidden="1" customHeight="1" outlineLevel="2" x14ac:dyDescent="0.3">
      <c r="A176" s="21"/>
      <c r="B176" s="9" t="str">
        <f>CONCATENATE("          ","6115"," - ","P.E.R.S.")</f>
        <v xml:space="preserve">          6115 - P.E.R.S.</v>
      </c>
      <c r="C176" s="9"/>
      <c r="D176" s="6">
        <v>12241.68</v>
      </c>
      <c r="E176" s="3"/>
      <c r="F176" s="7">
        <f t="shared" si="28"/>
        <v>1.2999511480837464E-2</v>
      </c>
      <c r="G176" s="3"/>
      <c r="H176" s="6">
        <v>22522.01</v>
      </c>
      <c r="I176" s="3"/>
      <c r="J176" s="7">
        <f t="shared" si="29"/>
        <v>4.9937810579862157E-2</v>
      </c>
      <c r="K176" s="3"/>
      <c r="L176" s="6">
        <f t="shared" si="30"/>
        <v>-10280.329999999998</v>
      </c>
      <c r="M176" s="3"/>
      <c r="N176" s="7">
        <f t="shared" si="31"/>
        <v>-0.45645703913638253</v>
      </c>
      <c r="O176" s="9"/>
      <c r="P176" s="6">
        <v>179530.71</v>
      </c>
      <c r="Q176" s="3"/>
      <c r="R176" s="7">
        <f t="shared" si="32"/>
        <v>7.1794316926552301E-3</v>
      </c>
      <c r="S176" s="3"/>
      <c r="T176" s="6">
        <v>191754.26</v>
      </c>
      <c r="U176" s="3"/>
      <c r="V176" s="7">
        <f t="shared" si="33"/>
        <v>1.8683507938179193E-2</v>
      </c>
      <c r="W176" s="3"/>
      <c r="X176" s="6">
        <f t="shared" si="34"/>
        <v>-12223.550000000017</v>
      </c>
      <c r="Y176" s="3"/>
      <c r="Z176" s="7">
        <f t="shared" si="35"/>
        <v>-6.3745911042602216E-2</v>
      </c>
    </row>
    <row r="177" spans="1:26" s="69" customFormat="1" ht="15" hidden="1" customHeight="1" outlineLevel="2" x14ac:dyDescent="0.3">
      <c r="A177" s="21"/>
      <c r="B177" s="9" t="str">
        <f>CONCATENATE("          ","6116"," - ","EDUCATIONAL BENEFITS")</f>
        <v xml:space="preserve">          6116 - EDUCATIONAL BENEFITS</v>
      </c>
      <c r="C177" s="9"/>
      <c r="D177" s="6"/>
      <c r="E177" s="3"/>
      <c r="F177" s="7">
        <f t="shared" si="28"/>
        <v>0</v>
      </c>
      <c r="G177" s="3"/>
      <c r="H177" s="6"/>
      <c r="I177" s="3"/>
      <c r="J177" s="7">
        <f t="shared" si="29"/>
        <v>0</v>
      </c>
      <c r="K177" s="3"/>
      <c r="L177" s="6">
        <f t="shared" si="30"/>
        <v>0</v>
      </c>
      <c r="M177" s="3"/>
      <c r="N177" s="7">
        <f t="shared" si="31"/>
        <v>0</v>
      </c>
      <c r="O177" s="9"/>
      <c r="P177" s="6"/>
      <c r="Q177" s="3"/>
      <c r="R177" s="7">
        <f t="shared" si="32"/>
        <v>0</v>
      </c>
      <c r="S177" s="3"/>
      <c r="T177" s="6">
        <v>0</v>
      </c>
      <c r="U177" s="3"/>
      <c r="V177" s="7">
        <f t="shared" si="33"/>
        <v>0</v>
      </c>
      <c r="W177" s="3"/>
      <c r="X177" s="6">
        <f t="shared" si="34"/>
        <v>0</v>
      </c>
      <c r="Y177" s="3"/>
      <c r="Z177" s="7">
        <f t="shared" si="35"/>
        <v>0</v>
      </c>
    </row>
    <row r="178" spans="1:26" s="69" customFormat="1" ht="15" hidden="1" customHeight="1" outlineLevel="2" x14ac:dyDescent="0.3">
      <c r="A178" s="21"/>
      <c r="B178" s="9" t="str">
        <f>CONCATENATE("          ","6117"," - ","RETIREMENT STAFF HOURLY")</f>
        <v xml:space="preserve">          6117 - RETIREMENT STAFF HOURLY</v>
      </c>
      <c r="C178" s="9"/>
      <c r="D178" s="6">
        <v>2652.79</v>
      </c>
      <c r="E178" s="3"/>
      <c r="F178" s="7">
        <f t="shared" si="28"/>
        <v>2.8170131927358674E-3</v>
      </c>
      <c r="G178" s="3"/>
      <c r="H178" s="6">
        <v>2091.3200000000002</v>
      </c>
      <c r="I178" s="3"/>
      <c r="J178" s="7">
        <f t="shared" si="29"/>
        <v>4.6370613467393608E-3</v>
      </c>
      <c r="K178" s="3"/>
      <c r="L178" s="6">
        <f t="shared" si="30"/>
        <v>561.4699999999998</v>
      </c>
      <c r="M178" s="3"/>
      <c r="N178" s="7">
        <f t="shared" si="31"/>
        <v>0.2684763689918328</v>
      </c>
      <c r="O178" s="9"/>
      <c r="P178" s="6">
        <v>30811.53</v>
      </c>
      <c r="Q178" s="3"/>
      <c r="R178" s="7">
        <f t="shared" si="32"/>
        <v>1.2321528443863304E-3</v>
      </c>
      <c r="S178" s="3"/>
      <c r="T178" s="6">
        <v>26222.04</v>
      </c>
      <c r="U178" s="3"/>
      <c r="V178" s="7">
        <f t="shared" si="33"/>
        <v>2.5549351158887018E-3</v>
      </c>
      <c r="W178" s="3"/>
      <c r="X178" s="6">
        <f t="shared" si="34"/>
        <v>4589.489999999998</v>
      </c>
      <c r="Y178" s="3"/>
      <c r="Z178" s="7">
        <f t="shared" si="35"/>
        <v>0.17502413999826091</v>
      </c>
    </row>
    <row r="179" spans="1:26" s="69" customFormat="1" ht="15" hidden="1" customHeight="1" outlineLevel="2" x14ac:dyDescent="0.3">
      <c r="A179" s="21"/>
      <c r="B179" s="9" t="str">
        <f>CONCATENATE("          ","6118"," - ","VACATION")</f>
        <v xml:space="preserve">          6118 - VACATION</v>
      </c>
      <c r="C179" s="9"/>
      <c r="D179" s="6">
        <v>16540.11</v>
      </c>
      <c r="E179" s="3"/>
      <c r="F179" s="7">
        <f t="shared" si="28"/>
        <v>1.7564039399764947E-2</v>
      </c>
      <c r="G179" s="3"/>
      <c r="H179" s="6">
        <v>15599.62</v>
      </c>
      <c r="I179" s="3"/>
      <c r="J179" s="7">
        <f t="shared" si="29"/>
        <v>3.4588869673613916E-2</v>
      </c>
      <c r="K179" s="3"/>
      <c r="L179" s="6">
        <f t="shared" si="30"/>
        <v>940.48999999999978</v>
      </c>
      <c r="M179" s="3"/>
      <c r="N179" s="7">
        <f t="shared" si="31"/>
        <v>6.0289289098067758E-2</v>
      </c>
      <c r="O179" s="9"/>
      <c r="P179" s="6">
        <v>226359.21</v>
      </c>
      <c r="Q179" s="3"/>
      <c r="R179" s="7">
        <f t="shared" si="32"/>
        <v>9.0521030424176498E-3</v>
      </c>
      <c r="S179" s="3"/>
      <c r="T179" s="6">
        <v>194135.8</v>
      </c>
      <c r="U179" s="3"/>
      <c r="V179" s="7">
        <f t="shared" si="33"/>
        <v>1.8915552438755558E-2</v>
      </c>
      <c r="W179" s="3"/>
      <c r="X179" s="6">
        <f t="shared" si="34"/>
        <v>32223.410000000003</v>
      </c>
      <c r="Y179" s="3"/>
      <c r="Z179" s="7">
        <f t="shared" si="35"/>
        <v>0.1659838628424021</v>
      </c>
    </row>
    <row r="180" spans="1:26" s="69" customFormat="1" ht="15" hidden="1" customHeight="1" outlineLevel="2" x14ac:dyDescent="0.3">
      <c r="A180" s="21"/>
      <c r="B180" s="9" t="str">
        <f>CONCATENATE("          ","6119"," - ","SICK LEAVE")</f>
        <v xml:space="preserve">          6119 - SICK LEAVE</v>
      </c>
      <c r="C180" s="9"/>
      <c r="D180" s="6">
        <v>11899.94</v>
      </c>
      <c r="E180" s="3"/>
      <c r="F180" s="7">
        <f t="shared" si="28"/>
        <v>1.2636615779147714E-2</v>
      </c>
      <c r="G180" s="3"/>
      <c r="H180" s="6">
        <v>10560.54</v>
      </c>
      <c r="I180" s="3"/>
      <c r="J180" s="7">
        <f t="shared" si="29"/>
        <v>2.3415771777965538E-2</v>
      </c>
      <c r="K180" s="3"/>
      <c r="L180" s="6">
        <f t="shared" si="30"/>
        <v>1339.3999999999996</v>
      </c>
      <c r="M180" s="3"/>
      <c r="N180" s="7">
        <f t="shared" si="31"/>
        <v>0.12683063555462121</v>
      </c>
      <c r="O180" s="9"/>
      <c r="P180" s="6">
        <v>153568.16</v>
      </c>
      <c r="Q180" s="3"/>
      <c r="R180" s="7">
        <f t="shared" si="32"/>
        <v>6.141189520649416E-3</v>
      </c>
      <c r="S180" s="3"/>
      <c r="T180" s="6">
        <v>130540.74</v>
      </c>
      <c r="U180" s="3"/>
      <c r="V180" s="7">
        <f t="shared" si="33"/>
        <v>1.2719190447428839E-2</v>
      </c>
      <c r="W180" s="3"/>
      <c r="X180" s="6">
        <f t="shared" si="34"/>
        <v>23027.42</v>
      </c>
      <c r="Y180" s="3"/>
      <c r="Z180" s="7">
        <f t="shared" si="35"/>
        <v>0.17640025634909071</v>
      </c>
    </row>
    <row r="181" spans="1:26" s="69" customFormat="1" ht="15" hidden="1" customHeight="1" outlineLevel="2" x14ac:dyDescent="0.3">
      <c r="A181" s="21"/>
      <c r="B181" s="9" t="str">
        <f>CONCATENATE("          ","6156"," - ","EMPLOYEE MEALS")</f>
        <v xml:space="preserve">          6156 - EMPLOYEE MEALS</v>
      </c>
      <c r="C181" s="9"/>
      <c r="D181" s="6">
        <v>8934.48</v>
      </c>
      <c r="E181" s="3"/>
      <c r="F181" s="7">
        <f t="shared" si="28"/>
        <v>9.487576487484781E-3</v>
      </c>
      <c r="G181" s="3"/>
      <c r="H181" s="6">
        <v>5042.25</v>
      </c>
      <c r="I181" s="3"/>
      <c r="J181" s="7">
        <f t="shared" si="29"/>
        <v>1.1180126702559407E-2</v>
      </c>
      <c r="K181" s="3"/>
      <c r="L181" s="6">
        <f t="shared" si="30"/>
        <v>3892.2299999999996</v>
      </c>
      <c r="M181" s="3"/>
      <c r="N181" s="7">
        <f t="shared" si="31"/>
        <v>0.77192324854975447</v>
      </c>
      <c r="O181" s="9"/>
      <c r="P181" s="6">
        <v>101244.62</v>
      </c>
      <c r="Q181" s="3"/>
      <c r="R181" s="7">
        <f t="shared" si="32"/>
        <v>4.048771564145408E-3</v>
      </c>
      <c r="S181" s="3"/>
      <c r="T181" s="6">
        <v>56463.82</v>
      </c>
      <c r="U181" s="3"/>
      <c r="V181" s="7">
        <f t="shared" si="33"/>
        <v>5.501532165125932E-3</v>
      </c>
      <c r="W181" s="3"/>
      <c r="X181" s="6">
        <f t="shared" si="34"/>
        <v>44780.799999999996</v>
      </c>
      <c r="Y181" s="3"/>
      <c r="Z181" s="7">
        <f t="shared" si="35"/>
        <v>0.79308838828120376</v>
      </c>
    </row>
    <row r="182" spans="1:26" s="68" customFormat="1" ht="15" customHeight="1" outlineLevel="1" collapsed="1" x14ac:dyDescent="0.3">
      <c r="A182" s="20"/>
      <c r="B182" s="11" t="str">
        <f>CONCATENATE("     ","*Payroll                                          ")</f>
        <v xml:space="preserve">     *Payroll                                          </v>
      </c>
      <c r="C182" s="11"/>
      <c r="D182" s="2">
        <f>SUM(OSRRefD22_1x_0)</f>
        <v>315821.83999999997</v>
      </c>
      <c r="E182" s="2"/>
      <c r="F182" s="5">
        <f t="shared" si="28"/>
        <v>0.33537305622914598</v>
      </c>
      <c r="G182" s="2"/>
      <c r="H182" s="2">
        <f>SUM(OSRRefH22_1x_0)</f>
        <v>251172.51000000004</v>
      </c>
      <c r="I182" s="2"/>
      <c r="J182" s="5">
        <f t="shared" si="29"/>
        <v>0.55692210540926568</v>
      </c>
      <c r="K182" s="2"/>
      <c r="L182" s="2">
        <f t="shared" si="30"/>
        <v>64649.329999999929</v>
      </c>
      <c r="M182" s="2"/>
      <c r="N182" s="5">
        <f t="shared" si="31"/>
        <v>0.25739014990135634</v>
      </c>
      <c r="O182" s="11"/>
      <c r="P182" s="2">
        <f>SUM(OSRRefP22_1x_0)</f>
        <v>5958781.6000000006</v>
      </c>
      <c r="Q182" s="2"/>
      <c r="R182" s="5">
        <f t="shared" si="32"/>
        <v>0.23829162970864901</v>
      </c>
      <c r="S182" s="2"/>
      <c r="T182" s="2">
        <f>SUM(OSRRefT22_1x_0)</f>
        <v>3383682.4299999997</v>
      </c>
      <c r="U182" s="2"/>
      <c r="V182" s="5">
        <f t="shared" si="33"/>
        <v>0.32968789085145983</v>
      </c>
      <c r="W182" s="2"/>
      <c r="X182" s="2">
        <f t="shared" si="34"/>
        <v>2575099.1700000009</v>
      </c>
      <c r="Y182" s="2"/>
      <c r="Z182" s="5">
        <f t="shared" si="35"/>
        <v>0.76103453065481708</v>
      </c>
    </row>
    <row r="183" spans="1:26" s="69" customFormat="1" ht="15" hidden="1" customHeight="1" outlineLevel="2" x14ac:dyDescent="0.3">
      <c r="A183" s="21"/>
      <c r="B183" s="9" t="str">
        <f>CONCATENATE("          ","6001"," - ","ADMINISTRATIVE SALARIES")</f>
        <v xml:space="preserve">          6001 - ADMINISTRATIVE SALARIES</v>
      </c>
      <c r="C183" s="9"/>
      <c r="D183" s="6">
        <v>21595.57</v>
      </c>
      <c r="E183" s="3"/>
      <c r="F183" s="7">
        <f t="shared" si="28"/>
        <v>2.2932461896588468E-2</v>
      </c>
      <c r="G183" s="3"/>
      <c r="H183" s="6">
        <v>24507.51</v>
      </c>
      <c r="I183" s="3"/>
      <c r="J183" s="7">
        <f t="shared" si="29"/>
        <v>5.4340238378549587E-2</v>
      </c>
      <c r="K183" s="3"/>
      <c r="L183" s="6">
        <f t="shared" si="30"/>
        <v>-2911.9399999999987</v>
      </c>
      <c r="M183" s="3"/>
      <c r="N183" s="7">
        <f t="shared" si="31"/>
        <v>-0.11881827243975414</v>
      </c>
      <c r="O183" s="9"/>
      <c r="P183" s="6">
        <v>351272.25</v>
      </c>
      <c r="Q183" s="3"/>
      <c r="R183" s="7">
        <f t="shared" si="32"/>
        <v>1.4047374537761876E-2</v>
      </c>
      <c r="S183" s="3"/>
      <c r="T183" s="6">
        <v>339333.19</v>
      </c>
      <c r="U183" s="3"/>
      <c r="V183" s="7">
        <f t="shared" si="33"/>
        <v>3.3062808351963957E-2</v>
      </c>
      <c r="W183" s="3"/>
      <c r="X183" s="6">
        <f t="shared" si="34"/>
        <v>11939.059999999998</v>
      </c>
      <c r="Y183" s="3"/>
      <c r="Z183" s="7">
        <f t="shared" si="35"/>
        <v>3.5183885195550713E-2</v>
      </c>
    </row>
    <row r="184" spans="1:26" s="69" customFormat="1" ht="15" hidden="1" customHeight="1" outlineLevel="2" x14ac:dyDescent="0.3">
      <c r="A184" s="21"/>
      <c r="B184" s="9" t="str">
        <f>CONCATENATE("          ","6002"," - ","STAFF SALARIES")</f>
        <v xml:space="preserve">          6002 - STAFF SALARIES</v>
      </c>
      <c r="C184" s="9"/>
      <c r="D184" s="6">
        <v>81279.45</v>
      </c>
      <c r="E184" s="3"/>
      <c r="F184" s="7">
        <f t="shared" si="28"/>
        <v>8.631112260989951E-2</v>
      </c>
      <c r="G184" s="3"/>
      <c r="H184" s="6">
        <v>100455.94</v>
      </c>
      <c r="I184" s="3"/>
      <c r="J184" s="7">
        <f t="shared" si="29"/>
        <v>0.22273987549699154</v>
      </c>
      <c r="K184" s="3"/>
      <c r="L184" s="6">
        <f t="shared" si="30"/>
        <v>-19176.490000000005</v>
      </c>
      <c r="M184" s="3"/>
      <c r="N184" s="7">
        <f t="shared" si="31"/>
        <v>-0.19089453545504631</v>
      </c>
      <c r="O184" s="9"/>
      <c r="P184" s="6">
        <v>1415060.75</v>
      </c>
      <c r="Q184" s="3"/>
      <c r="R184" s="7">
        <f t="shared" si="32"/>
        <v>5.6588268355773116E-2</v>
      </c>
      <c r="S184" s="3"/>
      <c r="T184" s="6">
        <v>1339707.04</v>
      </c>
      <c r="U184" s="3"/>
      <c r="V184" s="7">
        <f t="shared" si="33"/>
        <v>0.1305338776654795</v>
      </c>
      <c r="W184" s="3"/>
      <c r="X184" s="6">
        <f t="shared" si="34"/>
        <v>75353.709999999963</v>
      </c>
      <c r="Y184" s="3"/>
      <c r="Z184" s="7">
        <f t="shared" si="35"/>
        <v>5.6246408916385153E-2</v>
      </c>
    </row>
    <row r="185" spans="1:26" s="69" customFormat="1" ht="15" hidden="1" customHeight="1" outlineLevel="2" x14ac:dyDescent="0.3">
      <c r="A185" s="21"/>
      <c r="B185" s="9" t="str">
        <f>CONCATENATE("          ","6004"," - ","STAFF HOURLY")</f>
        <v xml:space="preserve">          6004 - STAFF HOURLY</v>
      </c>
      <c r="C185" s="9"/>
      <c r="D185" s="6">
        <v>100864.64</v>
      </c>
      <c r="E185" s="3"/>
      <c r="F185" s="7">
        <f t="shared" si="28"/>
        <v>0.10710875024429144</v>
      </c>
      <c r="G185" s="3"/>
      <c r="H185" s="6">
        <v>63463.12</v>
      </c>
      <c r="I185" s="3"/>
      <c r="J185" s="7">
        <f t="shared" si="29"/>
        <v>0.14071609351772166</v>
      </c>
      <c r="K185" s="3"/>
      <c r="L185" s="6">
        <f t="shared" si="30"/>
        <v>37401.519999999997</v>
      </c>
      <c r="M185" s="3"/>
      <c r="N185" s="7">
        <f t="shared" si="31"/>
        <v>0.58934259771659503</v>
      </c>
      <c r="O185" s="9"/>
      <c r="P185" s="6">
        <v>1427131.03</v>
      </c>
      <c r="Q185" s="3"/>
      <c r="R185" s="7">
        <f t="shared" si="32"/>
        <v>5.7070958758831308E-2</v>
      </c>
      <c r="S185" s="3"/>
      <c r="T185" s="6">
        <v>807698.52</v>
      </c>
      <c r="U185" s="3"/>
      <c r="V185" s="7">
        <f t="shared" si="33"/>
        <v>7.8697817248365609E-2</v>
      </c>
      <c r="W185" s="3"/>
      <c r="X185" s="6">
        <f t="shared" si="34"/>
        <v>619432.51</v>
      </c>
      <c r="Y185" s="3"/>
      <c r="Z185" s="7">
        <f t="shared" si="35"/>
        <v>0.76691054231472411</v>
      </c>
    </row>
    <row r="186" spans="1:26" s="69" customFormat="1" ht="15" hidden="1" customHeight="1" outlineLevel="2" x14ac:dyDescent="0.3">
      <c r="A186" s="21"/>
      <c r="B186" s="9" t="str">
        <f>CONCATENATE("          ","6005"," - ","TEMPORARY WAGES-HOURLY")</f>
        <v xml:space="preserve">          6005 - TEMPORARY WAGES-HOURLY</v>
      </c>
      <c r="C186" s="9"/>
      <c r="D186" s="6">
        <v>28770.5</v>
      </c>
      <c r="E186" s="3"/>
      <c r="F186" s="7">
        <f t="shared" si="28"/>
        <v>3.0551561963671182E-2</v>
      </c>
      <c r="G186" s="3"/>
      <c r="H186" s="6">
        <v>20621.330000000002</v>
      </c>
      <c r="I186" s="3"/>
      <c r="J186" s="7">
        <f t="shared" si="29"/>
        <v>4.5723453255052685E-2</v>
      </c>
      <c r="K186" s="3"/>
      <c r="L186" s="6">
        <f t="shared" si="30"/>
        <v>8149.1699999999983</v>
      </c>
      <c r="M186" s="3"/>
      <c r="N186" s="7">
        <f t="shared" si="31"/>
        <v>0.39518159110008899</v>
      </c>
      <c r="O186" s="9"/>
      <c r="P186" s="6">
        <v>727156</v>
      </c>
      <c r="Q186" s="3"/>
      <c r="R186" s="7">
        <f t="shared" si="32"/>
        <v>2.9078962768567043E-2</v>
      </c>
      <c r="S186" s="3"/>
      <c r="T186" s="6">
        <v>363235.12</v>
      </c>
      <c r="U186" s="3"/>
      <c r="V186" s="7">
        <f t="shared" si="33"/>
        <v>3.5391684377418638E-2</v>
      </c>
      <c r="W186" s="3"/>
      <c r="X186" s="6">
        <f t="shared" si="34"/>
        <v>363920.88</v>
      </c>
      <c r="Y186" s="3"/>
      <c r="Z186" s="7">
        <f t="shared" si="35"/>
        <v>1.0018879231721867</v>
      </c>
    </row>
    <row r="187" spans="1:26" s="69" customFormat="1" ht="15" hidden="1" customHeight="1" outlineLevel="2" x14ac:dyDescent="0.3">
      <c r="A187" s="21"/>
      <c r="B187" s="9" t="str">
        <f>CONCATENATE("          ","6006"," - ","TEMPORARY PART TIME")</f>
        <v xml:space="preserve">          6006 - TEMPORARY PART TIME</v>
      </c>
      <c r="C187" s="9"/>
      <c r="D187" s="6">
        <v>4612.34</v>
      </c>
      <c r="E187" s="3"/>
      <c r="F187" s="7">
        <f t="shared" si="28"/>
        <v>4.8978707810958845E-3</v>
      </c>
      <c r="G187" s="3"/>
      <c r="H187" s="6">
        <v>4232.72</v>
      </c>
      <c r="I187" s="3"/>
      <c r="J187" s="7">
        <f t="shared" si="29"/>
        <v>9.3851645389374291E-3</v>
      </c>
      <c r="K187" s="3"/>
      <c r="L187" s="6">
        <f t="shared" si="30"/>
        <v>379.61999999999989</v>
      </c>
      <c r="M187" s="3"/>
      <c r="N187" s="7">
        <f t="shared" si="31"/>
        <v>8.9687009771494422E-2</v>
      </c>
      <c r="O187" s="9"/>
      <c r="P187" s="6">
        <v>39956.54</v>
      </c>
      <c r="Q187" s="3"/>
      <c r="R187" s="7">
        <f t="shared" si="32"/>
        <v>1.5978617229600799E-3</v>
      </c>
      <c r="S187" s="3"/>
      <c r="T187" s="6">
        <v>26376.67</v>
      </c>
      <c r="U187" s="3"/>
      <c r="V187" s="7">
        <f t="shared" si="33"/>
        <v>2.5700014347933282E-3</v>
      </c>
      <c r="W187" s="3"/>
      <c r="X187" s="6">
        <f t="shared" si="34"/>
        <v>13579.870000000003</v>
      </c>
      <c r="Y187" s="3"/>
      <c r="Z187" s="7">
        <f t="shared" si="35"/>
        <v>0.51484398902515005</v>
      </c>
    </row>
    <row r="188" spans="1:26" s="69" customFormat="1" ht="15" hidden="1" customHeight="1" outlineLevel="2" x14ac:dyDescent="0.3">
      <c r="A188" s="21"/>
      <c r="B188" s="9" t="str">
        <f>CONCATENATE("          ","6007"," - ","STUDENT HOURLY")</f>
        <v xml:space="preserve">          6007 - STUDENT HOURLY</v>
      </c>
      <c r="C188" s="9"/>
      <c r="D188" s="6">
        <v>69386.44</v>
      </c>
      <c r="E188" s="3"/>
      <c r="F188" s="7">
        <f t="shared" si="28"/>
        <v>7.3681865838221533E-2</v>
      </c>
      <c r="G188" s="3"/>
      <c r="H188" s="6">
        <v>31073.97</v>
      </c>
      <c r="I188" s="3"/>
      <c r="J188" s="7">
        <f t="shared" si="29"/>
        <v>6.8899979523333821E-2</v>
      </c>
      <c r="K188" s="3"/>
      <c r="L188" s="6">
        <f t="shared" si="30"/>
        <v>38312.47</v>
      </c>
      <c r="M188" s="3"/>
      <c r="N188" s="7">
        <f t="shared" si="31"/>
        <v>1.2329441651646056</v>
      </c>
      <c r="O188" s="9"/>
      <c r="P188" s="6">
        <v>1606477.24</v>
      </c>
      <c r="Q188" s="3"/>
      <c r="R188" s="7">
        <f t="shared" si="32"/>
        <v>6.4243012297925534E-2</v>
      </c>
      <c r="S188" s="3"/>
      <c r="T188" s="6">
        <v>473429.8</v>
      </c>
      <c r="U188" s="3"/>
      <c r="V188" s="7">
        <f t="shared" si="33"/>
        <v>4.6128463724720306E-2</v>
      </c>
      <c r="W188" s="3"/>
      <c r="X188" s="6">
        <f t="shared" si="34"/>
        <v>1133047.44</v>
      </c>
      <c r="Y188" s="3"/>
      <c r="Z188" s="7">
        <f t="shared" si="35"/>
        <v>2.3932744411103819</v>
      </c>
    </row>
    <row r="189" spans="1:26" s="69" customFormat="1" ht="15" hidden="1" customHeight="1" outlineLevel="2" x14ac:dyDescent="0.3">
      <c r="A189" s="21"/>
      <c r="B189" s="9" t="str">
        <f>CONCATENATE("          ","6008"," - ","STUDENT HOURLY-FICA EXEMPT")</f>
        <v xml:space="preserve">          6008 - STUDENT HOURLY-FICA EXEMPT</v>
      </c>
      <c r="C189" s="9"/>
      <c r="D189" s="6">
        <v>9312.9</v>
      </c>
      <c r="E189" s="3"/>
      <c r="F189" s="7">
        <f t="shared" si="28"/>
        <v>9.8894228953780201E-3</v>
      </c>
      <c r="G189" s="3"/>
      <c r="H189" s="6">
        <v>6817.92</v>
      </c>
      <c r="I189" s="3"/>
      <c r="J189" s="7">
        <f t="shared" si="29"/>
        <v>1.5117300698678929E-2</v>
      </c>
      <c r="K189" s="3"/>
      <c r="L189" s="6">
        <f t="shared" si="30"/>
        <v>2494.9799999999996</v>
      </c>
      <c r="M189" s="3"/>
      <c r="N189" s="7">
        <f t="shared" si="31"/>
        <v>0.36594445226696698</v>
      </c>
      <c r="O189" s="9"/>
      <c r="P189" s="6">
        <v>391727.79</v>
      </c>
      <c r="Q189" s="3"/>
      <c r="R189" s="7">
        <f t="shared" si="32"/>
        <v>1.5665191266830018E-2</v>
      </c>
      <c r="S189" s="3"/>
      <c r="T189" s="6">
        <v>33902.089999999997</v>
      </c>
      <c r="U189" s="3"/>
      <c r="V189" s="7">
        <f t="shared" si="33"/>
        <v>3.3032380487185279E-3</v>
      </c>
      <c r="W189" s="3"/>
      <c r="X189" s="6">
        <f t="shared" si="34"/>
        <v>357825.69999999995</v>
      </c>
      <c r="Y189" s="3"/>
      <c r="Z189" s="7">
        <f t="shared" si="35"/>
        <v>10.554679667241754</v>
      </c>
    </row>
    <row r="190" spans="1:26" s="68" customFormat="1" ht="15" customHeight="1" outlineLevel="1" collapsed="1" x14ac:dyDescent="0.3">
      <c r="A190" s="20"/>
      <c r="B190" s="11" t="str">
        <f>CONCATENATE("     ","Advertising/Promo                                 ")</f>
        <v xml:space="preserve">     Advertising/Promo                                 </v>
      </c>
      <c r="C190" s="11"/>
      <c r="D190" s="2">
        <f>SUM(OSRRefD22_2x_0)</f>
        <v>8258.06</v>
      </c>
      <c r="E190" s="2"/>
      <c r="F190" s="5">
        <f t="shared" si="28"/>
        <v>8.769282139334195E-3</v>
      </c>
      <c r="G190" s="2"/>
      <c r="H190" s="2">
        <f>SUM(OSRRefH22_2x_0)</f>
        <v>1399.98</v>
      </c>
      <c r="I190" s="2"/>
      <c r="J190" s="5">
        <f t="shared" si="29"/>
        <v>3.1041605991470314E-3</v>
      </c>
      <c r="K190" s="2"/>
      <c r="L190" s="2">
        <f t="shared" si="30"/>
        <v>6858.08</v>
      </c>
      <c r="M190" s="2"/>
      <c r="N190" s="5">
        <f t="shared" si="31"/>
        <v>4.8986985528364686</v>
      </c>
      <c r="O190" s="11"/>
      <c r="P190" s="2">
        <f>SUM(OSRRefP22_2x_0)</f>
        <v>30218.35</v>
      </c>
      <c r="Q190" s="2"/>
      <c r="R190" s="5">
        <f t="shared" si="32"/>
        <v>1.2084315808128213E-3</v>
      </c>
      <c r="S190" s="2"/>
      <c r="T190" s="2">
        <f>SUM(OSRRefT22_2x_0)</f>
        <v>21651.51</v>
      </c>
      <c r="U190" s="2"/>
      <c r="V190" s="5">
        <f t="shared" si="33"/>
        <v>2.1096071553172594E-3</v>
      </c>
      <c r="W190" s="2"/>
      <c r="X190" s="2">
        <f t="shared" si="34"/>
        <v>8566.84</v>
      </c>
      <c r="Y190" s="2"/>
      <c r="Z190" s="5">
        <f t="shared" si="35"/>
        <v>0.39566940134891287</v>
      </c>
    </row>
    <row r="191" spans="1:26" s="69" customFormat="1" ht="15" hidden="1" customHeight="1" outlineLevel="2" x14ac:dyDescent="0.3">
      <c r="A191" s="21"/>
      <c r="B191" s="9" t="str">
        <f>CONCATENATE("          ","6362"," - ","ADVERTISING EXPENSE")</f>
        <v xml:space="preserve">          6362 - ADVERTISING EXPENSE</v>
      </c>
      <c r="C191" s="9"/>
      <c r="D191" s="6">
        <v>8258.06</v>
      </c>
      <c r="E191" s="3"/>
      <c r="F191" s="7">
        <f t="shared" si="28"/>
        <v>8.769282139334195E-3</v>
      </c>
      <c r="G191" s="3"/>
      <c r="H191" s="6">
        <v>1399.98</v>
      </c>
      <c r="I191" s="3"/>
      <c r="J191" s="7">
        <f t="shared" si="29"/>
        <v>3.1041605991470314E-3</v>
      </c>
      <c r="K191" s="3"/>
      <c r="L191" s="6">
        <f t="shared" si="30"/>
        <v>6858.08</v>
      </c>
      <c r="M191" s="3"/>
      <c r="N191" s="7">
        <f t="shared" si="31"/>
        <v>4.8986985528364686</v>
      </c>
      <c r="O191" s="9"/>
      <c r="P191" s="6">
        <v>30218.35</v>
      </c>
      <c r="Q191" s="3"/>
      <c r="R191" s="7">
        <f t="shared" si="32"/>
        <v>1.2084315808128213E-3</v>
      </c>
      <c r="S191" s="3"/>
      <c r="T191" s="6">
        <v>21651.51</v>
      </c>
      <c r="U191" s="3"/>
      <c r="V191" s="7">
        <f t="shared" si="33"/>
        <v>2.1096071553172594E-3</v>
      </c>
      <c r="W191" s="3"/>
      <c r="X191" s="6">
        <f t="shared" si="34"/>
        <v>8566.84</v>
      </c>
      <c r="Y191" s="3"/>
      <c r="Z191" s="7">
        <f t="shared" si="35"/>
        <v>0.39566940134891287</v>
      </c>
    </row>
    <row r="192" spans="1:26" s="68" customFormat="1" ht="15" customHeight="1" outlineLevel="1" collapsed="1" x14ac:dyDescent="0.3">
      <c r="A192" s="20"/>
      <c r="B192" s="11" t="str">
        <f>CONCATENATE("     ","Bad Debts/Over/Short                              ")</f>
        <v xml:space="preserve">     Bad Debts/Over/Short                              </v>
      </c>
      <c r="C192" s="11"/>
      <c r="D192" s="2">
        <f>SUM(OSRRefD22_3x_0)</f>
        <v>-48.52</v>
      </c>
      <c r="E192" s="2"/>
      <c r="F192" s="5">
        <f t="shared" si="28"/>
        <v>-5.152367134659898E-5</v>
      </c>
      <c r="G192" s="2"/>
      <c r="H192" s="2">
        <f>SUM(OSRRefH22_3x_0)</f>
        <v>7.7</v>
      </c>
      <c r="I192" s="2"/>
      <c r="J192" s="5">
        <f t="shared" si="29"/>
        <v>1.7073127197125775E-5</v>
      </c>
      <c r="K192" s="2"/>
      <c r="L192" s="2">
        <f t="shared" si="30"/>
        <v>-56.220000000000006</v>
      </c>
      <c r="M192" s="2"/>
      <c r="N192" s="5">
        <f t="shared" si="31"/>
        <v>-7.3012987012987018</v>
      </c>
      <c r="O192" s="11"/>
      <c r="P192" s="2">
        <f>SUM(OSRRefP22_3x_0)</f>
        <v>-69.849999999999994</v>
      </c>
      <c r="Q192" s="2"/>
      <c r="R192" s="5">
        <f t="shared" si="32"/>
        <v>-2.7933009552068715E-6</v>
      </c>
      <c r="S192" s="2"/>
      <c r="T192" s="2">
        <f>SUM(OSRRefT22_3x_0)</f>
        <v>5285.01</v>
      </c>
      <c r="U192" s="2"/>
      <c r="V192" s="5">
        <f t="shared" si="33"/>
        <v>5.1494306456793403E-4</v>
      </c>
      <c r="W192" s="2"/>
      <c r="X192" s="2">
        <f t="shared" si="34"/>
        <v>-5354.8600000000006</v>
      </c>
      <c r="Y192" s="2"/>
      <c r="Z192" s="5">
        <f t="shared" si="35"/>
        <v>-1.0132166258909634</v>
      </c>
    </row>
    <row r="193" spans="1:26" s="69" customFormat="1" ht="15" hidden="1" customHeight="1" outlineLevel="2" x14ac:dyDescent="0.3">
      <c r="A193" s="21"/>
      <c r="B193" s="9" t="str">
        <f>CONCATENATE("          ","6272"," - ","CASH (OVER/SHORT)")</f>
        <v xml:space="preserve">          6272 - CASH (OVER/SHORT)</v>
      </c>
      <c r="C193" s="9"/>
      <c r="D193" s="6">
        <v>-48.52</v>
      </c>
      <c r="E193" s="3"/>
      <c r="F193" s="7">
        <f t="shared" si="28"/>
        <v>-5.152367134659898E-5</v>
      </c>
      <c r="G193" s="3"/>
      <c r="H193" s="6">
        <v>7.7</v>
      </c>
      <c r="I193" s="3"/>
      <c r="J193" s="7">
        <f t="shared" si="29"/>
        <v>1.7073127197125775E-5</v>
      </c>
      <c r="K193" s="3"/>
      <c r="L193" s="6">
        <f t="shared" si="30"/>
        <v>-56.220000000000006</v>
      </c>
      <c r="M193" s="3"/>
      <c r="N193" s="7">
        <f t="shared" si="31"/>
        <v>-7.3012987012987018</v>
      </c>
      <c r="O193" s="9"/>
      <c r="P193" s="6">
        <v>-69.849999999999994</v>
      </c>
      <c r="Q193" s="3"/>
      <c r="R193" s="7">
        <f t="shared" si="32"/>
        <v>-2.7933009552068715E-6</v>
      </c>
      <c r="S193" s="3"/>
      <c r="T193" s="6">
        <v>-64.41</v>
      </c>
      <c r="U193" s="3"/>
      <c r="V193" s="7">
        <f t="shared" si="33"/>
        <v>-6.275765379596373E-6</v>
      </c>
      <c r="W193" s="3"/>
      <c r="X193" s="6">
        <f t="shared" si="34"/>
        <v>-5.4399999999999977</v>
      </c>
      <c r="Y193" s="3"/>
      <c r="Z193" s="7">
        <f t="shared" si="35"/>
        <v>8.4458934947989409E-2</v>
      </c>
    </row>
    <row r="194" spans="1:26" s="69" customFormat="1" ht="15" hidden="1" customHeight="1" outlineLevel="2" x14ac:dyDescent="0.3">
      <c r="A194" s="21"/>
      <c r="B194" s="9" t="str">
        <f>CONCATENATE("          ","6342"," - ","BAD DEBT")</f>
        <v xml:space="preserve">          6342 - BAD DEBT</v>
      </c>
      <c r="C194" s="9"/>
      <c r="D194" s="6"/>
      <c r="E194" s="3"/>
      <c r="F194" s="7">
        <f t="shared" si="28"/>
        <v>0</v>
      </c>
      <c r="G194" s="3"/>
      <c r="H194" s="6"/>
      <c r="I194" s="3"/>
      <c r="J194" s="7">
        <f t="shared" si="29"/>
        <v>0</v>
      </c>
      <c r="K194" s="3"/>
      <c r="L194" s="6">
        <f t="shared" si="30"/>
        <v>0</v>
      </c>
      <c r="M194" s="3"/>
      <c r="N194" s="7">
        <f t="shared" si="31"/>
        <v>0</v>
      </c>
      <c r="O194" s="9"/>
      <c r="P194" s="6"/>
      <c r="Q194" s="3"/>
      <c r="R194" s="7">
        <f t="shared" si="32"/>
        <v>0</v>
      </c>
      <c r="S194" s="3"/>
      <c r="T194" s="6">
        <v>5349.42</v>
      </c>
      <c r="U194" s="3"/>
      <c r="V194" s="7">
        <f t="shared" si="33"/>
        <v>5.2121882994753035E-4</v>
      </c>
      <c r="W194" s="3"/>
      <c r="X194" s="6">
        <f t="shared" si="34"/>
        <v>-5349.42</v>
      </c>
      <c r="Y194" s="3"/>
      <c r="Z194" s="7">
        <f t="shared" si="35"/>
        <v>-1</v>
      </c>
    </row>
    <row r="195" spans="1:26" s="68" customFormat="1" ht="15" customHeight="1" outlineLevel="1" collapsed="1" x14ac:dyDescent="0.3">
      <c r="A195" s="20"/>
      <c r="B195" s="11" t="str">
        <f>CONCATENATE("     ","Bank/card Fees                                    ")</f>
        <v xml:space="preserve">     Bank/card Fees                                    </v>
      </c>
      <c r="C195" s="11"/>
      <c r="D195" s="2">
        <f>SUM(OSRRefD22_4x_0)</f>
        <v>8727.18</v>
      </c>
      <c r="E195" s="2"/>
      <c r="F195" s="5">
        <f t="shared" si="28"/>
        <v>9.2674434068963658E-3</v>
      </c>
      <c r="G195" s="2"/>
      <c r="H195" s="2">
        <f>SUM(OSRRefH22_4x_0)</f>
        <v>6012.86</v>
      </c>
      <c r="I195" s="2"/>
      <c r="J195" s="5">
        <f t="shared" si="29"/>
        <v>1.333224981798827E-2</v>
      </c>
      <c r="K195" s="2"/>
      <c r="L195" s="2">
        <f t="shared" si="30"/>
        <v>2714.3200000000006</v>
      </c>
      <c r="M195" s="2"/>
      <c r="N195" s="5">
        <f t="shared" si="31"/>
        <v>0.45141912500873144</v>
      </c>
      <c r="O195" s="11"/>
      <c r="P195" s="2">
        <f>SUM(OSRRefP22_4x_0)</f>
        <v>232554.98</v>
      </c>
      <c r="Q195" s="2"/>
      <c r="R195" s="5">
        <f t="shared" si="32"/>
        <v>9.2998718363939154E-3</v>
      </c>
      <c r="S195" s="2"/>
      <c r="T195" s="2">
        <f>SUM(OSRRefT22_4x_0)</f>
        <v>100587.02</v>
      </c>
      <c r="U195" s="2"/>
      <c r="V195" s="5">
        <f t="shared" si="33"/>
        <v>9.8006604215613736E-3</v>
      </c>
      <c r="W195" s="2"/>
      <c r="X195" s="2">
        <f t="shared" si="34"/>
        <v>131967.96000000002</v>
      </c>
      <c r="Y195" s="2"/>
      <c r="Z195" s="5">
        <f t="shared" si="35"/>
        <v>1.3119780265883214</v>
      </c>
    </row>
    <row r="196" spans="1:26" s="69" customFormat="1" ht="15" hidden="1" customHeight="1" outlineLevel="2" x14ac:dyDescent="0.3">
      <c r="A196" s="21"/>
      <c r="B196" s="9" t="str">
        <f>CONCATENATE("          ","6381"," - ","BANK/CREDIT CARD FEES")</f>
        <v xml:space="preserve">          6381 - BANK/CREDIT CARD FEES</v>
      </c>
      <c r="C196" s="9"/>
      <c r="D196" s="6">
        <v>8727.18</v>
      </c>
      <c r="E196" s="3"/>
      <c r="F196" s="7">
        <f t="shared" si="28"/>
        <v>9.2674434068963658E-3</v>
      </c>
      <c r="G196" s="3"/>
      <c r="H196" s="6">
        <v>6012.86</v>
      </c>
      <c r="I196" s="3"/>
      <c r="J196" s="7">
        <f t="shared" si="29"/>
        <v>1.333224981798827E-2</v>
      </c>
      <c r="K196" s="3"/>
      <c r="L196" s="6">
        <f t="shared" si="30"/>
        <v>2714.3200000000006</v>
      </c>
      <c r="M196" s="3"/>
      <c r="N196" s="7">
        <f t="shared" si="31"/>
        <v>0.45141912500873144</v>
      </c>
      <c r="O196" s="9"/>
      <c r="P196" s="6">
        <v>232554.98</v>
      </c>
      <c r="Q196" s="3"/>
      <c r="R196" s="7">
        <f t="shared" si="32"/>
        <v>9.2998718363939154E-3</v>
      </c>
      <c r="S196" s="3"/>
      <c r="T196" s="6">
        <v>100587.02</v>
      </c>
      <c r="U196" s="3"/>
      <c r="V196" s="7">
        <f t="shared" si="33"/>
        <v>9.8006604215613736E-3</v>
      </c>
      <c r="W196" s="3"/>
      <c r="X196" s="6">
        <f t="shared" si="34"/>
        <v>131967.96000000002</v>
      </c>
      <c r="Y196" s="3"/>
      <c r="Z196" s="7">
        <f t="shared" si="35"/>
        <v>1.3119780265883214</v>
      </c>
    </row>
    <row r="197" spans="1:26" s="68" customFormat="1" ht="15" customHeight="1" outlineLevel="1" collapsed="1" x14ac:dyDescent="0.3">
      <c r="A197" s="20"/>
      <c r="B197" s="11" t="str">
        <f>CONCATENATE("     ","Depreciation                                      ")</f>
        <v xml:space="preserve">     Depreciation                                      </v>
      </c>
      <c r="C197" s="11"/>
      <c r="D197" s="2">
        <f>SUM(OSRRefD22_5x_0)</f>
        <v>60309.72</v>
      </c>
      <c r="E197" s="2"/>
      <c r="F197" s="5">
        <f t="shared" si="28"/>
        <v>6.4043243864085067E-2</v>
      </c>
      <c r="G197" s="2"/>
      <c r="H197" s="2">
        <f>SUM(OSRRefH22_5x_0)</f>
        <v>70062.03</v>
      </c>
      <c r="I197" s="2"/>
      <c r="J197" s="5">
        <f t="shared" si="29"/>
        <v>0.1553477856985509</v>
      </c>
      <c r="K197" s="2"/>
      <c r="L197" s="2">
        <f t="shared" si="30"/>
        <v>-9752.3099999999977</v>
      </c>
      <c r="M197" s="2"/>
      <c r="N197" s="5">
        <f t="shared" si="31"/>
        <v>-0.13919536730522936</v>
      </c>
      <c r="O197" s="11"/>
      <c r="P197" s="2">
        <f>SUM(OSRRefP22_5x_0)</f>
        <v>811308.48</v>
      </c>
      <c r="Q197" s="2"/>
      <c r="R197" s="5">
        <f t="shared" si="32"/>
        <v>3.2444219787422117E-2</v>
      </c>
      <c r="S197" s="2"/>
      <c r="T197" s="2">
        <f>SUM(OSRRefT22_5x_0)</f>
        <v>926957.89</v>
      </c>
      <c r="U197" s="2"/>
      <c r="V197" s="5">
        <f t="shared" si="33"/>
        <v>9.0317811433095849E-2</v>
      </c>
      <c r="W197" s="2"/>
      <c r="X197" s="2">
        <f t="shared" si="34"/>
        <v>-115649.41000000003</v>
      </c>
      <c r="Y197" s="2"/>
      <c r="Z197" s="5">
        <f t="shared" si="35"/>
        <v>-0.12476231255769346</v>
      </c>
    </row>
    <row r="198" spans="1:26" s="69" customFormat="1" ht="15" hidden="1" customHeight="1" outlineLevel="2" x14ac:dyDescent="0.3">
      <c r="A198" s="21"/>
      <c r="B198" s="9" t="str">
        <f>CONCATENATE("          ","6321"," - ","BUILDING DEPRECIATION")</f>
        <v xml:space="preserve">          6321 - BUILDING DEPRECIATION</v>
      </c>
      <c r="C198" s="9"/>
      <c r="D198" s="6">
        <v>41941.379999999997</v>
      </c>
      <c r="E198" s="3"/>
      <c r="F198" s="7">
        <f t="shared" si="28"/>
        <v>4.4537796350841284E-2</v>
      </c>
      <c r="G198" s="3"/>
      <c r="H198" s="6">
        <v>45060.26</v>
      </c>
      <c r="I198" s="3"/>
      <c r="J198" s="7">
        <f t="shared" si="29"/>
        <v>9.9911629937085536E-2</v>
      </c>
      <c r="K198" s="3"/>
      <c r="L198" s="6">
        <f t="shared" si="30"/>
        <v>-3118.8800000000047</v>
      </c>
      <c r="M198" s="3"/>
      <c r="N198" s="7">
        <f t="shared" si="31"/>
        <v>-6.9215756855375551E-2</v>
      </c>
      <c r="O198" s="9"/>
      <c r="P198" s="6">
        <v>522646.08</v>
      </c>
      <c r="Q198" s="3"/>
      <c r="R198" s="7">
        <f t="shared" si="32"/>
        <v>2.0900612662836465E-2</v>
      </c>
      <c r="S198" s="3"/>
      <c r="T198" s="6">
        <v>541510.17000000004</v>
      </c>
      <c r="U198" s="3"/>
      <c r="V198" s="7">
        <f t="shared" si="33"/>
        <v>5.2761850296310309E-2</v>
      </c>
      <c r="W198" s="3"/>
      <c r="X198" s="6">
        <f t="shared" si="34"/>
        <v>-18864.090000000026</v>
      </c>
      <c r="Y198" s="3"/>
      <c r="Z198" s="7">
        <f t="shared" si="35"/>
        <v>-3.4836077039882785E-2</v>
      </c>
    </row>
    <row r="199" spans="1:26" s="69" customFormat="1" ht="15" hidden="1" customHeight="1" outlineLevel="2" x14ac:dyDescent="0.3">
      <c r="A199" s="21"/>
      <c r="B199" s="9" t="str">
        <f>CONCATENATE("          ","6322"," - ","EQUIPMENT DEPRECIATION EXPENSE")</f>
        <v xml:space="preserve">          6322 - EQUIPMENT DEPRECIATION EXPENSE</v>
      </c>
      <c r="C199" s="9"/>
      <c r="D199" s="6">
        <v>18368.34</v>
      </c>
      <c r="E199" s="3"/>
      <c r="F199" s="7">
        <f t="shared" si="28"/>
        <v>1.9505447513243773E-2</v>
      </c>
      <c r="G199" s="3"/>
      <c r="H199" s="6">
        <v>25001.77</v>
      </c>
      <c r="I199" s="3"/>
      <c r="J199" s="7">
        <f t="shared" si="29"/>
        <v>5.5436155761465357E-2</v>
      </c>
      <c r="K199" s="3"/>
      <c r="L199" s="6">
        <f t="shared" si="30"/>
        <v>-6633.43</v>
      </c>
      <c r="M199" s="3"/>
      <c r="N199" s="7">
        <f t="shared" si="31"/>
        <v>-0.26531841545618573</v>
      </c>
      <c r="O199" s="9"/>
      <c r="P199" s="6">
        <v>288662.40000000002</v>
      </c>
      <c r="Q199" s="3"/>
      <c r="R199" s="7">
        <f t="shared" si="32"/>
        <v>1.1543607124585657E-2</v>
      </c>
      <c r="S199" s="3"/>
      <c r="T199" s="6">
        <v>385447.72</v>
      </c>
      <c r="U199" s="3"/>
      <c r="V199" s="7">
        <f t="shared" si="33"/>
        <v>3.755596113678554E-2</v>
      </c>
      <c r="W199" s="3"/>
      <c r="X199" s="6">
        <f t="shared" si="34"/>
        <v>-96785.319999999949</v>
      </c>
      <c r="Y199" s="3"/>
      <c r="Z199" s="7">
        <f t="shared" si="35"/>
        <v>-0.25109843690345335</v>
      </c>
    </row>
    <row r="200" spans="1:26" s="68" customFormat="1" ht="15" customHeight="1" outlineLevel="1" collapsed="1" x14ac:dyDescent="0.3">
      <c r="A200" s="20"/>
      <c r="B200" s="11" t="str">
        <f>CONCATENATE("     ","Discounts and Markdowns                           ")</f>
        <v xml:space="preserve">     Discounts and Markdowns                           </v>
      </c>
      <c r="C200" s="11"/>
      <c r="D200" s="2">
        <f>SUM(OSRRefD22_6x_0)</f>
        <v>30.17</v>
      </c>
      <c r="E200" s="2"/>
      <c r="F200" s="5">
        <f t="shared" si="28"/>
        <v>3.2037699186456946E-5</v>
      </c>
      <c r="G200" s="2"/>
      <c r="H200" s="2">
        <f>SUM(OSRRefH22_6x_0)</f>
        <v>0</v>
      </c>
      <c r="I200" s="2"/>
      <c r="J200" s="5">
        <f t="shared" si="29"/>
        <v>0</v>
      </c>
      <c r="K200" s="2"/>
      <c r="L200" s="2">
        <f t="shared" si="30"/>
        <v>30.17</v>
      </c>
      <c r="M200" s="2"/>
      <c r="N200" s="5">
        <f t="shared" si="31"/>
        <v>0</v>
      </c>
      <c r="O200" s="11"/>
      <c r="P200" s="2">
        <f>SUM(OSRRefP22_6x_0)</f>
        <v>2019.25</v>
      </c>
      <c r="Q200" s="2"/>
      <c r="R200" s="5">
        <f t="shared" si="32"/>
        <v>8.0749791750915896E-5</v>
      </c>
      <c r="S200" s="2"/>
      <c r="T200" s="2">
        <f>SUM(OSRRefT22_6x_0)</f>
        <v>-15.43</v>
      </c>
      <c r="U200" s="2"/>
      <c r="V200" s="5">
        <f t="shared" si="33"/>
        <v>-1.5034165472313623E-6</v>
      </c>
      <c r="W200" s="2"/>
      <c r="X200" s="2">
        <f t="shared" si="34"/>
        <v>2034.68</v>
      </c>
      <c r="Y200" s="2"/>
      <c r="Z200" s="5">
        <f t="shared" si="35"/>
        <v>-131.86519766688269</v>
      </c>
    </row>
    <row r="201" spans="1:26" s="69" customFormat="1" ht="15" hidden="1" customHeight="1" outlineLevel="2" x14ac:dyDescent="0.3">
      <c r="A201" s="21"/>
      <c r="B201" s="9" t="str">
        <f>CONCATENATE("          ","6382"," - ","DISCOUNTS/MARK DOWNS")</f>
        <v xml:space="preserve">          6382 - DISCOUNTS/MARK DOWNS</v>
      </c>
      <c r="C201" s="9"/>
      <c r="D201" s="6"/>
      <c r="E201" s="3"/>
      <c r="F201" s="7">
        <f t="shared" si="28"/>
        <v>0</v>
      </c>
      <c r="G201" s="3"/>
      <c r="H201" s="6">
        <v>0</v>
      </c>
      <c r="I201" s="3"/>
      <c r="J201" s="7">
        <f t="shared" si="29"/>
        <v>0</v>
      </c>
      <c r="K201" s="3"/>
      <c r="L201" s="6">
        <f t="shared" si="30"/>
        <v>0</v>
      </c>
      <c r="M201" s="3"/>
      <c r="N201" s="7">
        <f t="shared" si="31"/>
        <v>0</v>
      </c>
      <c r="O201" s="9"/>
      <c r="P201" s="6">
        <v>2171.35</v>
      </c>
      <c r="Q201" s="3"/>
      <c r="R201" s="7">
        <f t="shared" si="32"/>
        <v>8.6832269564616192E-5</v>
      </c>
      <c r="S201" s="3"/>
      <c r="T201" s="6">
        <v>0</v>
      </c>
      <c r="U201" s="3"/>
      <c r="V201" s="7">
        <f t="shared" si="33"/>
        <v>0</v>
      </c>
      <c r="W201" s="3"/>
      <c r="X201" s="6">
        <f t="shared" si="34"/>
        <v>2171.35</v>
      </c>
      <c r="Y201" s="3"/>
      <c r="Z201" s="7">
        <f t="shared" si="35"/>
        <v>0</v>
      </c>
    </row>
    <row r="202" spans="1:26" s="69" customFormat="1" ht="15" hidden="1" customHeight="1" outlineLevel="2" x14ac:dyDescent="0.3">
      <c r="A202" s="21"/>
      <c r="B202" s="9" t="str">
        <f>CONCATENATE("          ","9175"," - ","EARNED DISCOUNTS")</f>
        <v xml:space="preserve">          9175 - EARNED DISCOUNTS</v>
      </c>
      <c r="C202" s="9"/>
      <c r="D202" s="6">
        <v>30.17</v>
      </c>
      <c r="E202" s="3"/>
      <c r="F202" s="7">
        <f t="shared" ref="F202:F233" si="36">IF(D$12=0,0,D202/D$12)</f>
        <v>3.2037699186456946E-5</v>
      </c>
      <c r="G202" s="3"/>
      <c r="H202" s="6">
        <v>0</v>
      </c>
      <c r="I202" s="3"/>
      <c r="J202" s="7">
        <f t="shared" ref="J202:J233" si="37">IF(H$12=0,0,H202/H$12)</f>
        <v>0</v>
      </c>
      <c r="K202" s="3"/>
      <c r="L202" s="6">
        <f t="shared" ref="L202:L233" si="38">+D202-H202</f>
        <v>30.17</v>
      </c>
      <c r="M202" s="3"/>
      <c r="N202" s="7">
        <f t="shared" ref="N202:N233" si="39">IF(H202=0,0,L202/H202)</f>
        <v>0</v>
      </c>
      <c r="O202" s="9"/>
      <c r="P202" s="6">
        <v>-152.1</v>
      </c>
      <c r="Q202" s="3"/>
      <c r="R202" s="7">
        <f t="shared" ref="R202:R233" si="40">IF(P$12=0,0,P202/P$12)</f>
        <v>-6.0824778137002884E-6</v>
      </c>
      <c r="S202" s="3"/>
      <c r="T202" s="6">
        <v>-15.43</v>
      </c>
      <c r="U202" s="3"/>
      <c r="V202" s="7">
        <f t="shared" ref="V202:V233" si="41">IF(T$12=0,0,T202/T$12)</f>
        <v>-1.5034165472313623E-6</v>
      </c>
      <c r="W202" s="3"/>
      <c r="X202" s="6">
        <f t="shared" ref="X202:X233" si="42">+P202-T202</f>
        <v>-136.66999999999999</v>
      </c>
      <c r="Y202" s="3"/>
      <c r="Z202" s="7">
        <f t="shared" ref="Z202:Z233" si="43">IF(T202=0,0,X202/T202)</f>
        <v>8.8574206092028511</v>
      </c>
    </row>
    <row r="203" spans="1:26" s="68" customFormat="1" ht="15" customHeight="1" outlineLevel="1" collapsed="1" x14ac:dyDescent="0.3">
      <c r="A203" s="20"/>
      <c r="B203" s="11" t="str">
        <f>CONCATENATE("     ","Donations                                         ")</f>
        <v xml:space="preserve">     Donations                                         </v>
      </c>
      <c r="C203" s="11"/>
      <c r="D203" s="2">
        <f>SUM(OSRRefD22_7x_0)</f>
        <v>2716.76</v>
      </c>
      <c r="E203" s="2"/>
      <c r="F203" s="5">
        <f t="shared" si="36"/>
        <v>2.8849433093072183E-3</v>
      </c>
      <c r="G203" s="2"/>
      <c r="H203" s="2">
        <f>SUM(OSRRefH22_7x_0)</f>
        <v>0</v>
      </c>
      <c r="I203" s="2"/>
      <c r="J203" s="5">
        <f t="shared" si="37"/>
        <v>0</v>
      </c>
      <c r="K203" s="2"/>
      <c r="L203" s="2">
        <f t="shared" si="38"/>
        <v>2716.76</v>
      </c>
      <c r="M203" s="2"/>
      <c r="N203" s="5">
        <f t="shared" si="39"/>
        <v>0</v>
      </c>
      <c r="O203" s="11"/>
      <c r="P203" s="2">
        <f>SUM(OSRRefP22_7x_0)</f>
        <v>80709.36</v>
      </c>
      <c r="Q203" s="2"/>
      <c r="R203" s="5">
        <f t="shared" si="40"/>
        <v>3.2275666769095959E-3</v>
      </c>
      <c r="S203" s="2"/>
      <c r="T203" s="2">
        <f>SUM(OSRRefT22_7x_0)</f>
        <v>62269.95</v>
      </c>
      <c r="U203" s="2"/>
      <c r="V203" s="5">
        <f t="shared" si="41"/>
        <v>6.06725037104793E-3</v>
      </c>
      <c r="W203" s="2"/>
      <c r="X203" s="2">
        <f t="shared" si="42"/>
        <v>18439.410000000003</v>
      </c>
      <c r="Y203" s="2"/>
      <c r="Z203" s="5">
        <f t="shared" si="43"/>
        <v>0.29612052041153081</v>
      </c>
    </row>
    <row r="204" spans="1:26" s="69" customFormat="1" ht="15" hidden="1" customHeight="1" outlineLevel="2" x14ac:dyDescent="0.3">
      <c r="A204" s="21"/>
      <c r="B204" s="9" t="str">
        <f>CONCATENATE("          ","6399"," - ","DONATION-ON CAMPUS")</f>
        <v xml:space="preserve">          6399 - DONATION-ON CAMPUS</v>
      </c>
      <c r="C204" s="9"/>
      <c r="D204" s="6">
        <v>2716.76</v>
      </c>
      <c r="E204" s="3"/>
      <c r="F204" s="7">
        <f t="shared" si="36"/>
        <v>2.8849433093072183E-3</v>
      </c>
      <c r="G204" s="3"/>
      <c r="H204" s="6"/>
      <c r="I204" s="3"/>
      <c r="J204" s="7">
        <f t="shared" si="37"/>
        <v>0</v>
      </c>
      <c r="K204" s="3"/>
      <c r="L204" s="6">
        <f t="shared" si="38"/>
        <v>2716.76</v>
      </c>
      <c r="M204" s="3"/>
      <c r="N204" s="7">
        <f t="shared" si="39"/>
        <v>0</v>
      </c>
      <c r="O204" s="9"/>
      <c r="P204" s="6">
        <v>80709.36</v>
      </c>
      <c r="Q204" s="3"/>
      <c r="R204" s="7">
        <f t="shared" si="40"/>
        <v>3.2275666769095959E-3</v>
      </c>
      <c r="S204" s="3"/>
      <c r="T204" s="6">
        <v>62269.95</v>
      </c>
      <c r="U204" s="3"/>
      <c r="V204" s="7">
        <f t="shared" si="41"/>
        <v>6.06725037104793E-3</v>
      </c>
      <c r="W204" s="3"/>
      <c r="X204" s="6">
        <f t="shared" si="42"/>
        <v>18439.410000000003</v>
      </c>
      <c r="Y204" s="3"/>
      <c r="Z204" s="7">
        <f t="shared" si="43"/>
        <v>0.29612052041153081</v>
      </c>
    </row>
    <row r="205" spans="1:26" s="68" customFormat="1" ht="15" customHeight="1" outlineLevel="1" collapsed="1" x14ac:dyDescent="0.3">
      <c r="A205" s="20"/>
      <c r="B205" s="11" t="str">
        <f>CONCATENATE("     ","Employees' Appreciation                           ")</f>
        <v xml:space="preserve">     Employees' Appreciation                           </v>
      </c>
      <c r="C205" s="11"/>
      <c r="D205" s="2">
        <f>SUM(OSRRefD22_8x_0)</f>
        <v>1840.15</v>
      </c>
      <c r="E205" s="2"/>
      <c r="F205" s="5">
        <f t="shared" si="36"/>
        <v>1.95406603108912E-3</v>
      </c>
      <c r="G205" s="2"/>
      <c r="H205" s="2">
        <f>SUM(OSRRefH22_8x_0)</f>
        <v>547.86</v>
      </c>
      <c r="I205" s="2"/>
      <c r="J205" s="5">
        <f t="shared" si="37"/>
        <v>1.2147640865217307E-3</v>
      </c>
      <c r="K205" s="2"/>
      <c r="L205" s="2">
        <f t="shared" si="38"/>
        <v>1292.29</v>
      </c>
      <c r="M205" s="2"/>
      <c r="N205" s="5">
        <f t="shared" si="39"/>
        <v>2.358796042784653</v>
      </c>
      <c r="O205" s="11"/>
      <c r="P205" s="2">
        <f>SUM(OSRRefP22_8x_0)</f>
        <v>6899.76</v>
      </c>
      <c r="Q205" s="2"/>
      <c r="R205" s="5">
        <f t="shared" si="40"/>
        <v>2.7592134858551418E-4</v>
      </c>
      <c r="S205" s="2"/>
      <c r="T205" s="2">
        <f>SUM(OSRRefT22_8x_0)</f>
        <v>743.89</v>
      </c>
      <c r="U205" s="2"/>
      <c r="V205" s="5">
        <f t="shared" si="41"/>
        <v>7.2480656858064682E-5</v>
      </c>
      <c r="W205" s="2"/>
      <c r="X205" s="2">
        <f t="shared" si="42"/>
        <v>6155.87</v>
      </c>
      <c r="Y205" s="2"/>
      <c r="Z205" s="5">
        <f t="shared" si="43"/>
        <v>8.2752423073303856</v>
      </c>
    </row>
    <row r="206" spans="1:26" s="69" customFormat="1" ht="15" hidden="1" customHeight="1" outlineLevel="2" x14ac:dyDescent="0.3">
      <c r="A206" s="21"/>
      <c r="B206" s="9" t="str">
        <f>CONCATENATE("          ","6277"," - ","EMPLOYEE APPRECIATION")</f>
        <v xml:space="preserve">          6277 - EMPLOYEE APPRECIATION</v>
      </c>
      <c r="C206" s="9"/>
      <c r="D206" s="6">
        <v>1840.15</v>
      </c>
      <c r="E206" s="3"/>
      <c r="F206" s="7">
        <f t="shared" si="36"/>
        <v>1.95406603108912E-3</v>
      </c>
      <c r="G206" s="3"/>
      <c r="H206" s="6">
        <v>547.86</v>
      </c>
      <c r="I206" s="3"/>
      <c r="J206" s="7">
        <f t="shared" si="37"/>
        <v>1.2147640865217307E-3</v>
      </c>
      <c r="K206" s="3"/>
      <c r="L206" s="6">
        <f t="shared" si="38"/>
        <v>1292.29</v>
      </c>
      <c r="M206" s="3"/>
      <c r="N206" s="7">
        <f t="shared" si="39"/>
        <v>2.358796042784653</v>
      </c>
      <c r="O206" s="9"/>
      <c r="P206" s="6">
        <v>6899.76</v>
      </c>
      <c r="Q206" s="3"/>
      <c r="R206" s="7">
        <f t="shared" si="40"/>
        <v>2.7592134858551418E-4</v>
      </c>
      <c r="S206" s="3"/>
      <c r="T206" s="6">
        <v>743.89</v>
      </c>
      <c r="U206" s="3"/>
      <c r="V206" s="7">
        <f t="shared" si="41"/>
        <v>7.2480656858064682E-5</v>
      </c>
      <c r="W206" s="3"/>
      <c r="X206" s="6">
        <f t="shared" si="42"/>
        <v>6155.87</v>
      </c>
      <c r="Y206" s="3"/>
      <c r="Z206" s="7">
        <f t="shared" si="43"/>
        <v>8.2752423073303856</v>
      </c>
    </row>
    <row r="207" spans="1:26" s="68" customFormat="1" ht="15" customHeight="1" outlineLevel="1" collapsed="1" x14ac:dyDescent="0.3">
      <c r="A207" s="20"/>
      <c r="B207" s="11" t="str">
        <f>CONCATENATE("     ","Equipment Rental                                  ")</f>
        <v xml:space="preserve">     Equipment Rental                                  </v>
      </c>
      <c r="C207" s="11"/>
      <c r="D207" s="2">
        <f>SUM(OSRRefD22_9x_0)</f>
        <v>4124.8</v>
      </c>
      <c r="E207" s="2"/>
      <c r="F207" s="5">
        <f t="shared" si="36"/>
        <v>4.3801492079647867E-3</v>
      </c>
      <c r="G207" s="2"/>
      <c r="H207" s="2">
        <f>SUM(OSRRefH22_9x_0)</f>
        <v>4102</v>
      </c>
      <c r="I207" s="2"/>
      <c r="J207" s="5">
        <f t="shared" si="37"/>
        <v>9.0953204886506395E-3</v>
      </c>
      <c r="K207" s="2"/>
      <c r="L207" s="2">
        <f t="shared" si="38"/>
        <v>22.800000000000182</v>
      </c>
      <c r="M207" s="2"/>
      <c r="N207" s="5">
        <f t="shared" si="39"/>
        <v>5.5582642613359783E-3</v>
      </c>
      <c r="O207" s="11"/>
      <c r="P207" s="2">
        <f>SUM(OSRRefP22_9x_0)</f>
        <v>43858.47</v>
      </c>
      <c r="Q207" s="2"/>
      <c r="R207" s="5">
        <f t="shared" si="40"/>
        <v>1.7538998732270856E-3</v>
      </c>
      <c r="S207" s="2"/>
      <c r="T207" s="2">
        <f>SUM(OSRRefT22_9x_0)</f>
        <v>34067.5</v>
      </c>
      <c r="U207" s="2"/>
      <c r="V207" s="5">
        <f t="shared" si="41"/>
        <v>3.3193547130787059E-3</v>
      </c>
      <c r="W207" s="2"/>
      <c r="X207" s="2">
        <f t="shared" si="42"/>
        <v>9790.9700000000012</v>
      </c>
      <c r="Y207" s="2"/>
      <c r="Z207" s="5">
        <f t="shared" si="43"/>
        <v>0.28739913407206286</v>
      </c>
    </row>
    <row r="208" spans="1:26" s="69" customFormat="1" ht="15" hidden="1" customHeight="1" outlineLevel="2" x14ac:dyDescent="0.3">
      <c r="A208" s="21"/>
      <c r="B208" s="9" t="str">
        <f>CONCATENATE("          ","6351"," - ","EQUIPMENT RENTAL")</f>
        <v xml:space="preserve">          6351 - EQUIPMENT RENTAL</v>
      </c>
      <c r="C208" s="9"/>
      <c r="D208" s="6">
        <v>4124.8</v>
      </c>
      <c r="E208" s="3"/>
      <c r="F208" s="7">
        <f t="shared" si="36"/>
        <v>4.3801492079647867E-3</v>
      </c>
      <c r="G208" s="3"/>
      <c r="H208" s="6">
        <v>4102</v>
      </c>
      <c r="I208" s="3"/>
      <c r="J208" s="7">
        <f t="shared" si="37"/>
        <v>9.0953204886506395E-3</v>
      </c>
      <c r="K208" s="3"/>
      <c r="L208" s="6">
        <f t="shared" si="38"/>
        <v>22.800000000000182</v>
      </c>
      <c r="M208" s="3"/>
      <c r="N208" s="7">
        <f t="shared" si="39"/>
        <v>5.5582642613359783E-3</v>
      </c>
      <c r="O208" s="9"/>
      <c r="P208" s="6">
        <v>43858.47</v>
      </c>
      <c r="Q208" s="3"/>
      <c r="R208" s="7">
        <f t="shared" si="40"/>
        <v>1.7538998732270856E-3</v>
      </c>
      <c r="S208" s="3"/>
      <c r="T208" s="6">
        <v>34067.5</v>
      </c>
      <c r="U208" s="3"/>
      <c r="V208" s="7">
        <f t="shared" si="41"/>
        <v>3.3193547130787059E-3</v>
      </c>
      <c r="W208" s="3"/>
      <c r="X208" s="6">
        <f t="shared" si="42"/>
        <v>9790.9700000000012</v>
      </c>
      <c r="Y208" s="3"/>
      <c r="Z208" s="7">
        <f t="shared" si="43"/>
        <v>0.28739913407206286</v>
      </c>
    </row>
    <row r="209" spans="1:26" s="68" customFormat="1" ht="15" customHeight="1" outlineLevel="1" collapsed="1" x14ac:dyDescent="0.3">
      <c r="A209" s="20"/>
      <c r="B209" s="11" t="str">
        <f>CONCATENATE("     ","Freight out/Postage                               ")</f>
        <v xml:space="preserve">     Freight out/Postage                               </v>
      </c>
      <c r="C209" s="11"/>
      <c r="D209" s="2">
        <f>SUM(OSRRefD22_10x_0)</f>
        <v>6549</v>
      </c>
      <c r="E209" s="2"/>
      <c r="F209" s="5">
        <f t="shared" si="36"/>
        <v>6.9544213447831141E-3</v>
      </c>
      <c r="G209" s="2"/>
      <c r="H209" s="2">
        <f>SUM(OSRRefH22_10x_0)</f>
        <v>-7501.3200000000006</v>
      </c>
      <c r="I209" s="2"/>
      <c r="J209" s="5">
        <f t="shared" si="37"/>
        <v>-1.6632596169655001E-2</v>
      </c>
      <c r="K209" s="2"/>
      <c r="L209" s="2">
        <f t="shared" si="38"/>
        <v>14050.32</v>
      </c>
      <c r="M209" s="2"/>
      <c r="N209" s="5">
        <f t="shared" si="39"/>
        <v>-1.8730463438434835</v>
      </c>
      <c r="O209" s="11"/>
      <c r="P209" s="2">
        <f>SUM(OSRRefP22_10x_0)</f>
        <v>-38546.899999999994</v>
      </c>
      <c r="Q209" s="2"/>
      <c r="R209" s="5">
        <f t="shared" si="40"/>
        <v>-1.5414902303545275E-3</v>
      </c>
      <c r="S209" s="2"/>
      <c r="T209" s="2">
        <f>SUM(OSRRefT22_10x_0)</f>
        <v>-72409.760000000009</v>
      </c>
      <c r="U209" s="2"/>
      <c r="V209" s="5">
        <f t="shared" si="41"/>
        <v>-7.0552191422586924E-3</v>
      </c>
      <c r="W209" s="2"/>
      <c r="X209" s="2">
        <f t="shared" si="42"/>
        <v>33862.860000000015</v>
      </c>
      <c r="Y209" s="2"/>
      <c r="Z209" s="5">
        <f t="shared" si="43"/>
        <v>-0.4676560176418208</v>
      </c>
    </row>
    <row r="210" spans="1:26" s="69" customFormat="1" ht="15" hidden="1" customHeight="1" outlineLevel="2" x14ac:dyDescent="0.3">
      <c r="A210" s="21"/>
      <c r="B210" s="9" t="str">
        <f>CONCATENATE("          ","6305"," - ","FREIGHT OUT")</f>
        <v xml:space="preserve">          6305 - FREIGHT OUT</v>
      </c>
      <c r="C210" s="9"/>
      <c r="D210" s="6">
        <v>19990.48</v>
      </c>
      <c r="E210" s="3"/>
      <c r="F210" s="7">
        <f t="shared" si="36"/>
        <v>2.1228007452200326E-2</v>
      </c>
      <c r="G210" s="3"/>
      <c r="H210" s="6">
        <v>7012.69</v>
      </c>
      <c r="I210" s="3"/>
      <c r="J210" s="7">
        <f t="shared" si="37"/>
        <v>1.5549162125196355E-2</v>
      </c>
      <c r="K210" s="3"/>
      <c r="L210" s="6">
        <f t="shared" si="38"/>
        <v>12977.79</v>
      </c>
      <c r="M210" s="3"/>
      <c r="N210" s="7">
        <f t="shared" si="39"/>
        <v>1.8506150991987385</v>
      </c>
      <c r="O210" s="9"/>
      <c r="P210" s="6">
        <v>154533.35</v>
      </c>
      <c r="Q210" s="3"/>
      <c r="R210" s="7">
        <f t="shared" si="40"/>
        <v>6.1797874612214438E-3</v>
      </c>
      <c r="S210" s="3"/>
      <c r="T210" s="6">
        <v>234364.01</v>
      </c>
      <c r="U210" s="3"/>
      <c r="V210" s="7">
        <f t="shared" si="41"/>
        <v>2.283517373360314E-2</v>
      </c>
      <c r="W210" s="3"/>
      <c r="X210" s="6">
        <f t="shared" si="42"/>
        <v>-79830.66</v>
      </c>
      <c r="Y210" s="3"/>
      <c r="Z210" s="7">
        <f t="shared" si="43"/>
        <v>-0.34062678821718401</v>
      </c>
    </row>
    <row r="211" spans="1:26" s="69" customFormat="1" ht="15" hidden="1" customHeight="1" outlineLevel="2" x14ac:dyDescent="0.3">
      <c r="A211" s="21"/>
      <c r="B211" s="9" t="str">
        <f>CONCATENATE("          ","6307"," - ","POSTAGE")</f>
        <v xml:space="preserve">          6307 - POSTAGE</v>
      </c>
      <c r="C211" s="9"/>
      <c r="D211" s="6">
        <v>-13441.48</v>
      </c>
      <c r="E211" s="3"/>
      <c r="F211" s="7">
        <f t="shared" si="36"/>
        <v>-1.4273586107417214E-2</v>
      </c>
      <c r="G211" s="3"/>
      <c r="H211" s="6">
        <v>-14514.01</v>
      </c>
      <c r="I211" s="3"/>
      <c r="J211" s="7">
        <f t="shared" si="37"/>
        <v>-3.2181758294851356E-2</v>
      </c>
      <c r="K211" s="3"/>
      <c r="L211" s="6">
        <f t="shared" si="38"/>
        <v>1072.5300000000007</v>
      </c>
      <c r="M211" s="3"/>
      <c r="N211" s="7">
        <f t="shared" si="39"/>
        <v>-7.3896187201193925E-2</v>
      </c>
      <c r="O211" s="9"/>
      <c r="P211" s="6">
        <v>-193080.25</v>
      </c>
      <c r="Q211" s="3"/>
      <c r="R211" s="7">
        <f t="shared" si="40"/>
        <v>-7.7212776915759713E-3</v>
      </c>
      <c r="S211" s="3"/>
      <c r="T211" s="6">
        <v>-306773.77</v>
      </c>
      <c r="U211" s="3"/>
      <c r="V211" s="7">
        <f t="shared" si="41"/>
        <v>-2.9890392875861833E-2</v>
      </c>
      <c r="W211" s="3"/>
      <c r="X211" s="6">
        <f t="shared" si="42"/>
        <v>113693.52000000002</v>
      </c>
      <c r="Y211" s="3"/>
      <c r="Z211" s="7">
        <f t="shared" si="43"/>
        <v>-0.37061030348194374</v>
      </c>
    </row>
    <row r="212" spans="1:26" s="68" customFormat="1" ht="15" customHeight="1" outlineLevel="1" collapsed="1" x14ac:dyDescent="0.3">
      <c r="A212" s="20"/>
      <c r="B212" s="11" t="str">
        <f>CONCATENATE("     ","General                                           ")</f>
        <v xml:space="preserve">     General                                           </v>
      </c>
      <c r="C212" s="11"/>
      <c r="D212" s="2">
        <f>SUM(OSRRefD22_11x_0)</f>
        <v>5971.12</v>
      </c>
      <c r="E212" s="2"/>
      <c r="F212" s="5">
        <f t="shared" si="36"/>
        <v>6.3407671980854098E-3</v>
      </c>
      <c r="G212" s="2"/>
      <c r="H212" s="2">
        <f>SUM(OSRRefH22_11x_0)</f>
        <v>-871.74</v>
      </c>
      <c r="I212" s="2"/>
      <c r="J212" s="5">
        <f t="shared" si="37"/>
        <v>-1.9328997276392755E-3</v>
      </c>
      <c r="K212" s="2"/>
      <c r="L212" s="2">
        <f t="shared" si="38"/>
        <v>6842.86</v>
      </c>
      <c r="M212" s="2"/>
      <c r="N212" s="5">
        <f t="shared" si="39"/>
        <v>-7.8496570078234331</v>
      </c>
      <c r="O212" s="11"/>
      <c r="P212" s="2">
        <f>SUM(OSRRefP22_11x_0)</f>
        <v>83261.320000000007</v>
      </c>
      <c r="Q212" s="2"/>
      <c r="R212" s="5">
        <f t="shared" si="40"/>
        <v>3.3296195374056554E-3</v>
      </c>
      <c r="S212" s="2"/>
      <c r="T212" s="2">
        <f>SUM(OSRRefT22_11x_0)</f>
        <v>20442.64</v>
      </c>
      <c r="U212" s="2"/>
      <c r="V212" s="5">
        <f t="shared" si="41"/>
        <v>1.99182133798404E-3</v>
      </c>
      <c r="W212" s="2"/>
      <c r="X212" s="2">
        <f t="shared" si="42"/>
        <v>62818.680000000008</v>
      </c>
      <c r="Y212" s="2"/>
      <c r="Z212" s="5">
        <f t="shared" si="43"/>
        <v>3.0729240450352795</v>
      </c>
    </row>
    <row r="213" spans="1:26" s="69" customFormat="1" ht="15" hidden="1" customHeight="1" outlineLevel="2" x14ac:dyDescent="0.3">
      <c r="A213" s="21"/>
      <c r="B213" s="9" t="str">
        <f>CONCATENATE("          ","6279"," - ","GENERAL EXPENSE")</f>
        <v xml:space="preserve">          6279 - GENERAL EXPENSE</v>
      </c>
      <c r="C213" s="9"/>
      <c r="D213" s="6">
        <v>5971.12</v>
      </c>
      <c r="E213" s="3"/>
      <c r="F213" s="7">
        <f t="shared" si="36"/>
        <v>6.3407671980854098E-3</v>
      </c>
      <c r="G213" s="3"/>
      <c r="H213" s="6">
        <v>-871.74</v>
      </c>
      <c r="I213" s="3"/>
      <c r="J213" s="7">
        <f t="shared" si="37"/>
        <v>-1.9328997276392755E-3</v>
      </c>
      <c r="K213" s="3"/>
      <c r="L213" s="6">
        <f t="shared" si="38"/>
        <v>6842.86</v>
      </c>
      <c r="M213" s="3"/>
      <c r="N213" s="7">
        <f t="shared" si="39"/>
        <v>-7.8496570078234331</v>
      </c>
      <c r="O213" s="9"/>
      <c r="P213" s="6">
        <v>83261.320000000007</v>
      </c>
      <c r="Q213" s="3"/>
      <c r="R213" s="7">
        <f t="shared" si="40"/>
        <v>3.3296195374056554E-3</v>
      </c>
      <c r="S213" s="3"/>
      <c r="T213" s="6">
        <v>20442.64</v>
      </c>
      <c r="U213" s="3"/>
      <c r="V213" s="7">
        <f t="shared" si="41"/>
        <v>1.99182133798404E-3</v>
      </c>
      <c r="W213" s="3"/>
      <c r="X213" s="6">
        <f t="shared" si="42"/>
        <v>62818.680000000008</v>
      </c>
      <c r="Y213" s="3"/>
      <c r="Z213" s="7">
        <f t="shared" si="43"/>
        <v>3.0729240450352795</v>
      </c>
    </row>
    <row r="214" spans="1:26" s="68" customFormat="1" ht="15" customHeight="1" outlineLevel="1" collapsed="1" x14ac:dyDescent="0.3">
      <c r="A214" s="20"/>
      <c r="B214" s="11" t="str">
        <f>CONCATENATE("     ","Insurance                                         ")</f>
        <v xml:space="preserve">     Insurance                                         </v>
      </c>
      <c r="C214" s="11"/>
      <c r="D214" s="2">
        <f>SUM(OSRRefD22_12x_0)</f>
        <v>-3580.22</v>
      </c>
      <c r="E214" s="2"/>
      <c r="F214" s="5">
        <f t="shared" si="36"/>
        <v>-3.8018565257320809E-3</v>
      </c>
      <c r="G214" s="2"/>
      <c r="H214" s="2">
        <f>SUM(OSRRefH22_12x_0)</f>
        <v>18295.95</v>
      </c>
      <c r="I214" s="2"/>
      <c r="J214" s="5">
        <f t="shared" si="37"/>
        <v>4.0567413187305626E-2</v>
      </c>
      <c r="K214" s="2"/>
      <c r="L214" s="2">
        <f t="shared" si="38"/>
        <v>-21876.170000000002</v>
      </c>
      <c r="M214" s="2"/>
      <c r="N214" s="5">
        <f t="shared" si="39"/>
        <v>-1.1956837442166164</v>
      </c>
      <c r="O214" s="11"/>
      <c r="P214" s="2">
        <f>SUM(OSRRefP22_12x_0)</f>
        <v>131193.51999999999</v>
      </c>
      <c r="Q214" s="2"/>
      <c r="R214" s="5">
        <f t="shared" si="40"/>
        <v>5.2464278415597964E-3</v>
      </c>
      <c r="S214" s="2"/>
      <c r="T214" s="2">
        <f>SUM(OSRRefT22_12x_0)</f>
        <v>118604.47</v>
      </c>
      <c r="U214" s="2"/>
      <c r="V214" s="5">
        <f t="shared" si="41"/>
        <v>1.1556184236785852E-2</v>
      </c>
      <c r="W214" s="2"/>
      <c r="X214" s="2">
        <f t="shared" si="42"/>
        <v>12589.049999999988</v>
      </c>
      <c r="Y214" s="2"/>
      <c r="Z214" s="5">
        <f t="shared" si="43"/>
        <v>0.10614313271666732</v>
      </c>
    </row>
    <row r="215" spans="1:26" s="69" customFormat="1" ht="15" hidden="1" customHeight="1" outlineLevel="2" x14ac:dyDescent="0.3">
      <c r="A215" s="21"/>
      <c r="B215" s="9" t="str">
        <f>CONCATENATE("          ","6314"," - ","LIABILITY INSURANCE")</f>
        <v xml:space="preserve">          6314 - LIABILITY INSURANCE</v>
      </c>
      <c r="C215" s="9"/>
      <c r="D215" s="6">
        <v>-3580.22</v>
      </c>
      <c r="E215" s="3"/>
      <c r="F215" s="7">
        <f t="shared" si="36"/>
        <v>-3.8018565257320809E-3</v>
      </c>
      <c r="G215" s="3"/>
      <c r="H215" s="6">
        <v>18295.95</v>
      </c>
      <c r="I215" s="3"/>
      <c r="J215" s="7">
        <f t="shared" si="37"/>
        <v>4.0567413187305626E-2</v>
      </c>
      <c r="K215" s="3"/>
      <c r="L215" s="6">
        <f t="shared" si="38"/>
        <v>-21876.170000000002</v>
      </c>
      <c r="M215" s="3"/>
      <c r="N215" s="7">
        <f t="shared" si="39"/>
        <v>-1.1956837442166164</v>
      </c>
      <c r="O215" s="9"/>
      <c r="P215" s="6">
        <v>131193.51999999999</v>
      </c>
      <c r="Q215" s="3"/>
      <c r="R215" s="7">
        <f t="shared" si="40"/>
        <v>5.2464278415597964E-3</v>
      </c>
      <c r="S215" s="3"/>
      <c r="T215" s="6">
        <v>118604.47</v>
      </c>
      <c r="U215" s="3"/>
      <c r="V215" s="7">
        <f t="shared" si="41"/>
        <v>1.1556184236785852E-2</v>
      </c>
      <c r="W215" s="3"/>
      <c r="X215" s="6">
        <f t="shared" si="42"/>
        <v>12589.049999999988</v>
      </c>
      <c r="Y215" s="3"/>
      <c r="Z215" s="7">
        <f t="shared" si="43"/>
        <v>0.10614313271666732</v>
      </c>
    </row>
    <row r="216" spans="1:26" s="68" customFormat="1" ht="15" customHeight="1" outlineLevel="1" collapsed="1" x14ac:dyDescent="0.3">
      <c r="A216" s="20"/>
      <c r="B216" s="11" t="str">
        <f>CONCATENATE("     ","Interest                                          ")</f>
        <v xml:space="preserve">     Interest                                          </v>
      </c>
      <c r="C216" s="11"/>
      <c r="D216" s="2">
        <f>SUM(OSRRefD22_13x_0)</f>
        <v>11158</v>
      </c>
      <c r="E216" s="2"/>
      <c r="F216" s="5">
        <f t="shared" si="36"/>
        <v>1.1848745360374101E-2</v>
      </c>
      <c r="G216" s="2"/>
      <c r="H216" s="2">
        <f>SUM(OSRRefH22_13x_0)</f>
        <v>-1254.77</v>
      </c>
      <c r="I216" s="2"/>
      <c r="J216" s="5">
        <f t="shared" si="37"/>
        <v>-2.7821880276801955E-3</v>
      </c>
      <c r="K216" s="2"/>
      <c r="L216" s="2">
        <f t="shared" si="38"/>
        <v>12412.77</v>
      </c>
      <c r="M216" s="2"/>
      <c r="N216" s="5">
        <f t="shared" si="39"/>
        <v>-9.8924663484144517</v>
      </c>
      <c r="O216" s="11"/>
      <c r="P216" s="2">
        <f>SUM(OSRRefP22_13x_0)</f>
        <v>130608</v>
      </c>
      <c r="Q216" s="2"/>
      <c r="R216" s="5">
        <f t="shared" si="40"/>
        <v>5.2230129013265437E-3</v>
      </c>
      <c r="S216" s="2"/>
      <c r="T216" s="2">
        <f>SUM(OSRRefT22_13x_0)</f>
        <v>122716.23</v>
      </c>
      <c r="U216" s="2"/>
      <c r="V216" s="5">
        <f t="shared" si="41"/>
        <v>1.195681210601748E-2</v>
      </c>
      <c r="W216" s="2"/>
      <c r="X216" s="2">
        <f t="shared" si="42"/>
        <v>7891.7700000000041</v>
      </c>
      <c r="Y216" s="2"/>
      <c r="Z216" s="5">
        <f t="shared" si="43"/>
        <v>6.4309097500795165E-2</v>
      </c>
    </row>
    <row r="217" spans="1:26" s="69" customFormat="1" ht="15" hidden="1" customHeight="1" outlineLevel="2" x14ac:dyDescent="0.3">
      <c r="A217" s="21"/>
      <c r="B217" s="9" t="str">
        <f>CONCATENATE("          ","6401"," - ","INTEREST EXPENSE")</f>
        <v xml:space="preserve">          6401 - INTEREST EXPENSE</v>
      </c>
      <c r="C217" s="9"/>
      <c r="D217" s="6">
        <v>11158</v>
      </c>
      <c r="E217" s="3"/>
      <c r="F217" s="7">
        <f t="shared" si="36"/>
        <v>1.1848745360374101E-2</v>
      </c>
      <c r="G217" s="3"/>
      <c r="H217" s="6">
        <v>-1254.77</v>
      </c>
      <c r="I217" s="3"/>
      <c r="J217" s="7">
        <f t="shared" si="37"/>
        <v>-2.7821880276801955E-3</v>
      </c>
      <c r="K217" s="3"/>
      <c r="L217" s="6">
        <f t="shared" si="38"/>
        <v>12412.77</v>
      </c>
      <c r="M217" s="3"/>
      <c r="N217" s="7">
        <f t="shared" si="39"/>
        <v>-9.8924663484144517</v>
      </c>
      <c r="O217" s="9"/>
      <c r="P217" s="6">
        <v>130608</v>
      </c>
      <c r="Q217" s="3"/>
      <c r="R217" s="7">
        <f t="shared" si="40"/>
        <v>5.2230129013265437E-3</v>
      </c>
      <c r="S217" s="3"/>
      <c r="T217" s="6">
        <v>122716.23</v>
      </c>
      <c r="U217" s="3"/>
      <c r="V217" s="7">
        <f t="shared" si="41"/>
        <v>1.195681210601748E-2</v>
      </c>
      <c r="W217" s="3"/>
      <c r="X217" s="6">
        <f t="shared" si="42"/>
        <v>7891.7700000000041</v>
      </c>
      <c r="Y217" s="3"/>
      <c r="Z217" s="7">
        <f t="shared" si="43"/>
        <v>6.4309097500795165E-2</v>
      </c>
    </row>
    <row r="218" spans="1:26" s="68" customFormat="1" ht="15" customHeight="1" outlineLevel="1" collapsed="1" x14ac:dyDescent="0.3">
      <c r="A218" s="20"/>
      <c r="B218" s="11" t="str">
        <f>CONCATENATE("     ","Inventory Adjustment                              ")</f>
        <v xml:space="preserve">     Inventory Adjustment                              </v>
      </c>
      <c r="C218" s="11"/>
      <c r="D218" s="2">
        <f>SUM(OSRRefD22_14x_0)</f>
        <v>-70840</v>
      </c>
      <c r="E218" s="2"/>
      <c r="F218" s="5">
        <f t="shared" si="36"/>
        <v>-7.5225409690706332E-2</v>
      </c>
      <c r="G218" s="2"/>
      <c r="H218" s="2">
        <f>SUM(OSRRefH22_14x_0)</f>
        <v>-41850</v>
      </c>
      <c r="I218" s="2"/>
      <c r="J218" s="5">
        <f t="shared" si="37"/>
        <v>-9.2793554961001765E-2</v>
      </c>
      <c r="K218" s="2"/>
      <c r="L218" s="2">
        <f t="shared" si="38"/>
        <v>-28990</v>
      </c>
      <c r="M218" s="2"/>
      <c r="N218" s="5">
        <f t="shared" si="39"/>
        <v>0.69271206690561526</v>
      </c>
      <c r="O218" s="11"/>
      <c r="P218" s="2">
        <f>SUM(OSRRefP22_14x_0)</f>
        <v>0</v>
      </c>
      <c r="Q218" s="2"/>
      <c r="R218" s="5">
        <f t="shared" si="40"/>
        <v>0</v>
      </c>
      <c r="S218" s="2"/>
      <c r="T218" s="2">
        <f>SUM(OSRRefT22_14x_0)</f>
        <v>0</v>
      </c>
      <c r="U218" s="2"/>
      <c r="V218" s="5">
        <f t="shared" si="41"/>
        <v>0</v>
      </c>
      <c r="W218" s="2"/>
      <c r="X218" s="2">
        <f t="shared" si="42"/>
        <v>0</v>
      </c>
      <c r="Y218" s="2"/>
      <c r="Z218" s="5">
        <f t="shared" si="43"/>
        <v>0</v>
      </c>
    </row>
    <row r="219" spans="1:26" s="69" customFormat="1" ht="15" hidden="1" customHeight="1" outlineLevel="2" x14ac:dyDescent="0.3">
      <c r="A219" s="21"/>
      <c r="B219" s="9" t="str">
        <f>CONCATENATE("          ","6408"," - ","INVENTORY ADJUSTMENT")</f>
        <v xml:space="preserve">          6408 - INVENTORY ADJUSTMENT</v>
      </c>
      <c r="C219" s="9"/>
      <c r="D219" s="6">
        <v>-70840</v>
      </c>
      <c r="E219" s="3"/>
      <c r="F219" s="7">
        <f t="shared" si="36"/>
        <v>-7.5225409690706332E-2</v>
      </c>
      <c r="G219" s="3"/>
      <c r="H219" s="6">
        <v>-41850</v>
      </c>
      <c r="I219" s="3"/>
      <c r="J219" s="7">
        <f t="shared" si="37"/>
        <v>-9.2793554961001765E-2</v>
      </c>
      <c r="K219" s="3"/>
      <c r="L219" s="6">
        <f t="shared" si="38"/>
        <v>-28990</v>
      </c>
      <c r="M219" s="3"/>
      <c r="N219" s="7">
        <f t="shared" si="39"/>
        <v>0.69271206690561526</v>
      </c>
      <c r="O219" s="9"/>
      <c r="P219" s="6">
        <v>0</v>
      </c>
      <c r="Q219" s="3"/>
      <c r="R219" s="7">
        <f t="shared" si="40"/>
        <v>0</v>
      </c>
      <c r="S219" s="3"/>
      <c r="T219" s="6">
        <v>0</v>
      </c>
      <c r="U219" s="3"/>
      <c r="V219" s="7">
        <f t="shared" si="41"/>
        <v>0</v>
      </c>
      <c r="W219" s="3"/>
      <c r="X219" s="6">
        <f t="shared" si="42"/>
        <v>0</v>
      </c>
      <c r="Y219" s="3"/>
      <c r="Z219" s="7">
        <f t="shared" si="43"/>
        <v>0</v>
      </c>
    </row>
    <row r="220" spans="1:26" s="69" customFormat="1" ht="15" hidden="1" customHeight="1" outlineLevel="2" x14ac:dyDescent="0.3">
      <c r="A220" s="21"/>
      <c r="B220" s="9" t="str">
        <f>CONCATENATE("          ","7741"," - ","INV. SHRINKAGE-LOGO GIFTS")</f>
        <v xml:space="preserve">          7741 - INV. SHRINKAGE-LOGO GIFTS</v>
      </c>
      <c r="C220" s="9"/>
      <c r="D220" s="6"/>
      <c r="E220" s="3"/>
      <c r="F220" s="7">
        <f t="shared" si="36"/>
        <v>0</v>
      </c>
      <c r="G220" s="3"/>
      <c r="H220" s="6"/>
      <c r="I220" s="3"/>
      <c r="J220" s="7">
        <f t="shared" si="37"/>
        <v>0</v>
      </c>
      <c r="K220" s="3"/>
      <c r="L220" s="6">
        <f t="shared" si="38"/>
        <v>0</v>
      </c>
      <c r="M220" s="3"/>
      <c r="N220" s="7">
        <f t="shared" si="39"/>
        <v>0</v>
      </c>
      <c r="O220" s="9"/>
      <c r="P220" s="6"/>
      <c r="Q220" s="3"/>
      <c r="R220" s="7">
        <f t="shared" si="40"/>
        <v>0</v>
      </c>
      <c r="S220" s="3"/>
      <c r="T220" s="6">
        <v>0</v>
      </c>
      <c r="U220" s="3"/>
      <c r="V220" s="7">
        <f t="shared" si="41"/>
        <v>0</v>
      </c>
      <c r="W220" s="3"/>
      <c r="X220" s="6">
        <f t="shared" si="42"/>
        <v>0</v>
      </c>
      <c r="Y220" s="3"/>
      <c r="Z220" s="7">
        <f t="shared" si="43"/>
        <v>0</v>
      </c>
    </row>
    <row r="221" spans="1:26" s="68" customFormat="1" ht="15" customHeight="1" outlineLevel="1" collapsed="1" x14ac:dyDescent="0.3">
      <c r="A221" s="20"/>
      <c r="B221" s="11" t="str">
        <f>CONCATENATE("     ","Professional Services                             ")</f>
        <v xml:space="preserve">     Professional Services                             </v>
      </c>
      <c r="C221" s="11"/>
      <c r="D221" s="2">
        <f>SUM(OSRRefD22_15x_0)</f>
        <v>1551.33</v>
      </c>
      <c r="E221" s="2"/>
      <c r="F221" s="5">
        <f t="shared" si="36"/>
        <v>1.6473663864410425E-3</v>
      </c>
      <c r="G221" s="2"/>
      <c r="H221" s="2">
        <f>SUM(OSRRefH22_15x_0)</f>
        <v>1966.87</v>
      </c>
      <c r="I221" s="2"/>
      <c r="J221" s="5">
        <f t="shared" si="37"/>
        <v>4.3611197000273721E-3</v>
      </c>
      <c r="K221" s="2"/>
      <c r="L221" s="2">
        <f t="shared" si="38"/>
        <v>-415.53999999999996</v>
      </c>
      <c r="M221" s="2"/>
      <c r="N221" s="5">
        <f t="shared" si="39"/>
        <v>-0.21126968228708556</v>
      </c>
      <c r="O221" s="11"/>
      <c r="P221" s="2">
        <f>SUM(OSRRefP22_15x_0)</f>
        <v>11689.44</v>
      </c>
      <c r="Q221" s="2"/>
      <c r="R221" s="5">
        <f t="shared" si="40"/>
        <v>4.6746061442853854E-4</v>
      </c>
      <c r="S221" s="2"/>
      <c r="T221" s="2">
        <f>SUM(OSRRefT22_15x_0)</f>
        <v>1966.87</v>
      </c>
      <c r="U221" s="2"/>
      <c r="V221" s="5">
        <f t="shared" si="41"/>
        <v>1.9164127700926437E-4</v>
      </c>
      <c r="W221" s="2"/>
      <c r="X221" s="2">
        <f t="shared" si="42"/>
        <v>9722.57</v>
      </c>
      <c r="Y221" s="2"/>
      <c r="Z221" s="5">
        <f t="shared" si="43"/>
        <v>4.9431685876544966</v>
      </c>
    </row>
    <row r="222" spans="1:26" s="69" customFormat="1" ht="15" hidden="1" customHeight="1" outlineLevel="2" x14ac:dyDescent="0.3">
      <c r="A222" s="21"/>
      <c r="B222" s="9" t="str">
        <f>CONCATENATE("          ","6336"," - ","PROFESSIONAL SERVICES")</f>
        <v xml:space="preserve">          6336 - PROFESSIONAL SERVICES</v>
      </c>
      <c r="C222" s="9"/>
      <c r="D222" s="6">
        <v>1551.33</v>
      </c>
      <c r="E222" s="3"/>
      <c r="F222" s="7">
        <f t="shared" si="36"/>
        <v>1.6473663864410425E-3</v>
      </c>
      <c r="G222" s="3"/>
      <c r="H222" s="6">
        <v>1966.87</v>
      </c>
      <c r="I222" s="3"/>
      <c r="J222" s="7">
        <f t="shared" si="37"/>
        <v>4.3611197000273721E-3</v>
      </c>
      <c r="K222" s="3"/>
      <c r="L222" s="6">
        <f t="shared" si="38"/>
        <v>-415.53999999999996</v>
      </c>
      <c r="M222" s="3"/>
      <c r="N222" s="7">
        <f t="shared" si="39"/>
        <v>-0.21126968228708556</v>
      </c>
      <c r="O222" s="9"/>
      <c r="P222" s="6">
        <v>11689.44</v>
      </c>
      <c r="Q222" s="3"/>
      <c r="R222" s="7">
        <f t="shared" si="40"/>
        <v>4.6746061442853854E-4</v>
      </c>
      <c r="S222" s="3"/>
      <c r="T222" s="6">
        <v>1966.87</v>
      </c>
      <c r="U222" s="3"/>
      <c r="V222" s="7">
        <f t="shared" si="41"/>
        <v>1.9164127700926437E-4</v>
      </c>
      <c r="W222" s="3"/>
      <c r="X222" s="6">
        <f t="shared" si="42"/>
        <v>9722.57</v>
      </c>
      <c r="Y222" s="3"/>
      <c r="Z222" s="7">
        <f t="shared" si="43"/>
        <v>4.9431685876544966</v>
      </c>
    </row>
    <row r="223" spans="1:26" s="68" customFormat="1" ht="15" customHeight="1" outlineLevel="1" collapsed="1" x14ac:dyDescent="0.3">
      <c r="A223" s="20"/>
      <c r="B223" s="11" t="str">
        <f>CONCATENATE("     ","R/H Commissions                                   ")</f>
        <v xml:space="preserve">     R/H Commissions                                   </v>
      </c>
      <c r="C223" s="11"/>
      <c r="D223" s="2">
        <f>SUM(OSRRefD22_16x_0)</f>
        <v>12924.29</v>
      </c>
      <c r="E223" s="2"/>
      <c r="F223" s="5">
        <f t="shared" si="36"/>
        <v>1.372437902613635E-2</v>
      </c>
      <c r="G223" s="2"/>
      <c r="H223" s="2">
        <f>SUM(OSRRefH22_16x_0)</f>
        <v>2207.92</v>
      </c>
      <c r="I223" s="2"/>
      <c r="J223" s="5">
        <f t="shared" si="37"/>
        <v>4.895597272867265E-3</v>
      </c>
      <c r="K223" s="2"/>
      <c r="L223" s="2">
        <f t="shared" si="38"/>
        <v>10716.37</v>
      </c>
      <c r="M223" s="2"/>
      <c r="N223" s="5">
        <f t="shared" si="39"/>
        <v>4.8536042972571476</v>
      </c>
      <c r="O223" s="11"/>
      <c r="P223" s="2">
        <f>SUM(OSRRefP22_16x_0)</f>
        <v>925163.37</v>
      </c>
      <c r="Q223" s="2"/>
      <c r="R223" s="5">
        <f t="shared" si="40"/>
        <v>3.699727595051408E-2</v>
      </c>
      <c r="S223" s="2"/>
      <c r="T223" s="2">
        <f>SUM(OSRRefT22_16x_0)</f>
        <v>71608.39</v>
      </c>
      <c r="U223" s="2"/>
      <c r="V223" s="5">
        <f t="shared" si="41"/>
        <v>6.9771379420995984E-3</v>
      </c>
      <c r="W223" s="2"/>
      <c r="X223" s="2">
        <f t="shared" si="42"/>
        <v>853554.98</v>
      </c>
      <c r="Y223" s="2"/>
      <c r="Z223" s="5">
        <f t="shared" si="43"/>
        <v>11.919762195463408</v>
      </c>
    </row>
    <row r="224" spans="1:26" s="69" customFormat="1" ht="15" hidden="1" customHeight="1" outlineLevel="2" x14ac:dyDescent="0.3">
      <c r="A224" s="21"/>
      <c r="B224" s="9" t="str">
        <f>CONCATENATE("          ","6387"," - ","COMMISSION DUE HOUSING")</f>
        <v xml:space="preserve">          6387 - COMMISSION DUE HOUSING</v>
      </c>
      <c r="C224" s="9"/>
      <c r="D224" s="6">
        <v>12924.29</v>
      </c>
      <c r="E224" s="3"/>
      <c r="F224" s="7">
        <f t="shared" si="36"/>
        <v>1.372437902613635E-2</v>
      </c>
      <c r="G224" s="3"/>
      <c r="H224" s="6">
        <v>2207.92</v>
      </c>
      <c r="I224" s="3"/>
      <c r="J224" s="7">
        <f t="shared" si="37"/>
        <v>4.895597272867265E-3</v>
      </c>
      <c r="K224" s="3"/>
      <c r="L224" s="6">
        <f t="shared" si="38"/>
        <v>10716.37</v>
      </c>
      <c r="M224" s="3"/>
      <c r="N224" s="7">
        <f t="shared" si="39"/>
        <v>4.8536042972571476</v>
      </c>
      <c r="O224" s="9"/>
      <c r="P224" s="6">
        <v>925163.37</v>
      </c>
      <c r="Q224" s="3"/>
      <c r="R224" s="7">
        <f t="shared" si="40"/>
        <v>3.699727595051408E-2</v>
      </c>
      <c r="S224" s="3"/>
      <c r="T224" s="6">
        <v>71608.39</v>
      </c>
      <c r="U224" s="3"/>
      <c r="V224" s="7">
        <f t="shared" si="41"/>
        <v>6.9771379420995984E-3</v>
      </c>
      <c r="W224" s="3"/>
      <c r="X224" s="6">
        <f t="shared" si="42"/>
        <v>853554.98</v>
      </c>
      <c r="Y224" s="3"/>
      <c r="Z224" s="7">
        <f t="shared" si="43"/>
        <v>11.919762195463408</v>
      </c>
    </row>
    <row r="225" spans="1:26" s="68" customFormat="1" ht="15" customHeight="1" outlineLevel="1" collapsed="1" x14ac:dyDescent="0.3">
      <c r="A225" s="20"/>
      <c r="B225" s="11" t="str">
        <f>CONCATENATE("     ","Rent                                              ")</f>
        <v xml:space="preserve">     Rent                                              </v>
      </c>
      <c r="C225" s="11"/>
      <c r="D225" s="2">
        <f>SUM(OSRRefD22_17x_0)</f>
        <v>8750</v>
      </c>
      <c r="E225" s="2"/>
      <c r="F225" s="5">
        <f t="shared" si="36"/>
        <v>9.2916760981603674E-3</v>
      </c>
      <c r="G225" s="2"/>
      <c r="H225" s="2">
        <f>SUM(OSRRefH22_17x_0)</f>
        <v>14300</v>
      </c>
      <c r="I225" s="2"/>
      <c r="J225" s="5">
        <f t="shared" si="37"/>
        <v>3.1707236223233577E-2</v>
      </c>
      <c r="K225" s="2"/>
      <c r="L225" s="2">
        <f t="shared" si="38"/>
        <v>-5550</v>
      </c>
      <c r="M225" s="2"/>
      <c r="N225" s="5">
        <f t="shared" si="39"/>
        <v>-0.38811188811188813</v>
      </c>
      <c r="O225" s="11"/>
      <c r="P225" s="2">
        <f>SUM(OSRRefP22_17x_0)</f>
        <v>105000</v>
      </c>
      <c r="Q225" s="2"/>
      <c r="R225" s="5">
        <f t="shared" si="40"/>
        <v>4.1989491810554263E-3</v>
      </c>
      <c r="S225" s="2"/>
      <c r="T225" s="2">
        <f>SUM(OSRRefT22_17x_0)</f>
        <v>105000</v>
      </c>
      <c r="U225" s="2"/>
      <c r="V225" s="5">
        <f t="shared" si="41"/>
        <v>1.0230637554069543E-2</v>
      </c>
      <c r="W225" s="2"/>
      <c r="X225" s="2">
        <f t="shared" si="42"/>
        <v>0</v>
      </c>
      <c r="Y225" s="2"/>
      <c r="Z225" s="5">
        <f t="shared" si="43"/>
        <v>0</v>
      </c>
    </row>
    <row r="226" spans="1:26" s="69" customFormat="1" ht="15" hidden="1" customHeight="1" outlineLevel="2" x14ac:dyDescent="0.3">
      <c r="A226" s="21"/>
      <c r="B226" s="9" t="str">
        <f>CONCATENATE("          ","6273"," - ","RENT")</f>
        <v xml:space="preserve">          6273 - RENT</v>
      </c>
      <c r="C226" s="9"/>
      <c r="D226" s="6">
        <v>8750</v>
      </c>
      <c r="E226" s="3"/>
      <c r="F226" s="7">
        <f t="shared" si="36"/>
        <v>9.2916760981603674E-3</v>
      </c>
      <c r="G226" s="3"/>
      <c r="H226" s="6">
        <v>14300</v>
      </c>
      <c r="I226" s="3"/>
      <c r="J226" s="7">
        <f t="shared" si="37"/>
        <v>3.1707236223233577E-2</v>
      </c>
      <c r="K226" s="3"/>
      <c r="L226" s="6">
        <f t="shared" si="38"/>
        <v>-5550</v>
      </c>
      <c r="M226" s="3"/>
      <c r="N226" s="7">
        <f t="shared" si="39"/>
        <v>-0.38811188811188813</v>
      </c>
      <c r="O226" s="9"/>
      <c r="P226" s="6">
        <v>105000</v>
      </c>
      <c r="Q226" s="3"/>
      <c r="R226" s="7">
        <f t="shared" si="40"/>
        <v>4.1989491810554263E-3</v>
      </c>
      <c r="S226" s="3"/>
      <c r="T226" s="6">
        <v>105000</v>
      </c>
      <c r="U226" s="3"/>
      <c r="V226" s="7">
        <f t="shared" si="41"/>
        <v>1.0230637554069543E-2</v>
      </c>
      <c r="W226" s="3"/>
      <c r="X226" s="6">
        <f t="shared" si="42"/>
        <v>0</v>
      </c>
      <c r="Y226" s="3"/>
      <c r="Z226" s="7">
        <f t="shared" si="43"/>
        <v>0</v>
      </c>
    </row>
    <row r="227" spans="1:26" s="68" customFormat="1" ht="15" customHeight="1" outlineLevel="1" collapsed="1" x14ac:dyDescent="0.3">
      <c r="A227" s="20"/>
      <c r="B227" s="11" t="str">
        <f>CONCATENATE("     ","Repair and Maintenance                            ")</f>
        <v xml:space="preserve">     Repair and Maintenance                            </v>
      </c>
      <c r="C227" s="11"/>
      <c r="D227" s="2">
        <f>SUM(OSRRefD22_18x_0)</f>
        <v>76305.45</v>
      </c>
      <c r="E227" s="2"/>
      <c r="F227" s="5">
        <f t="shared" si="36"/>
        <v>8.1029202962785249E-2</v>
      </c>
      <c r="G227" s="2"/>
      <c r="H227" s="2">
        <f>SUM(OSRRefH22_18x_0)</f>
        <v>51278.09</v>
      </c>
      <c r="I227" s="2"/>
      <c r="J227" s="5">
        <f t="shared" si="37"/>
        <v>0.1136983575319043</v>
      </c>
      <c r="K227" s="2"/>
      <c r="L227" s="2">
        <f t="shared" si="38"/>
        <v>25027.360000000001</v>
      </c>
      <c r="M227" s="2"/>
      <c r="N227" s="5">
        <f t="shared" si="39"/>
        <v>0.48807122106147094</v>
      </c>
      <c r="O227" s="11"/>
      <c r="P227" s="2">
        <f>SUM(OSRRefP22_18x_0)</f>
        <v>501488.75</v>
      </c>
      <c r="Q227" s="2"/>
      <c r="R227" s="5">
        <f t="shared" si="40"/>
        <v>2.005453120115247E-2</v>
      </c>
      <c r="S227" s="2"/>
      <c r="T227" s="2">
        <f>SUM(OSRRefT22_18x_0)</f>
        <v>431341.54</v>
      </c>
      <c r="U227" s="2"/>
      <c r="V227" s="5">
        <f t="shared" si="41"/>
        <v>4.2027609121468468E-2</v>
      </c>
      <c r="W227" s="2"/>
      <c r="X227" s="2">
        <f t="shared" si="42"/>
        <v>70147.210000000021</v>
      </c>
      <c r="Y227" s="2"/>
      <c r="Z227" s="5">
        <f t="shared" si="43"/>
        <v>0.1626256770910588</v>
      </c>
    </row>
    <row r="228" spans="1:26" s="69" customFormat="1" ht="15" hidden="1" customHeight="1" outlineLevel="2" x14ac:dyDescent="0.3">
      <c r="A228" s="21"/>
      <c r="B228" s="9" t="str">
        <f>CONCATENATE("          ","6371"," - ","COMPUTER SOFTWARE MAINTENANCE")</f>
        <v xml:space="preserve">          6371 - COMPUTER SOFTWARE MAINTENANCE</v>
      </c>
      <c r="C228" s="9"/>
      <c r="D228" s="6">
        <v>33821</v>
      </c>
      <c r="E228" s="3"/>
      <c r="F228" s="7">
        <f t="shared" si="36"/>
        <v>3.5914717407529349E-2</v>
      </c>
      <c r="G228" s="3"/>
      <c r="H228" s="6">
        <v>33821</v>
      </c>
      <c r="I228" s="3"/>
      <c r="J228" s="7">
        <f t="shared" si="37"/>
        <v>7.4990939601816992E-2</v>
      </c>
      <c r="K228" s="3"/>
      <c r="L228" s="6">
        <f t="shared" si="38"/>
        <v>0</v>
      </c>
      <c r="M228" s="3"/>
      <c r="N228" s="7">
        <f t="shared" si="39"/>
        <v>0</v>
      </c>
      <c r="O228" s="9"/>
      <c r="P228" s="6">
        <v>160532.76</v>
      </c>
      <c r="Q228" s="3"/>
      <c r="R228" s="7">
        <f t="shared" si="40"/>
        <v>6.4197038203292122E-3</v>
      </c>
      <c r="S228" s="3"/>
      <c r="T228" s="6">
        <v>130534.19</v>
      </c>
      <c r="U228" s="3"/>
      <c r="V228" s="7">
        <f t="shared" si="41"/>
        <v>1.2718552250514752E-2</v>
      </c>
      <c r="W228" s="3"/>
      <c r="X228" s="6">
        <f t="shared" si="42"/>
        <v>29998.570000000007</v>
      </c>
      <c r="Y228" s="3"/>
      <c r="Z228" s="7">
        <f t="shared" si="43"/>
        <v>0.22981389013866793</v>
      </c>
    </row>
    <row r="229" spans="1:26" s="69" customFormat="1" ht="15" hidden="1" customHeight="1" outlineLevel="2" x14ac:dyDescent="0.3">
      <c r="A229" s="21"/>
      <c r="B229" s="9" t="str">
        <f>CONCATENATE("          ","6372"," - ","COMPUTER HARDWARE MAINTENANCE")</f>
        <v xml:space="preserve">          6372 - COMPUTER HARDWARE MAINTENANCE</v>
      </c>
      <c r="C229" s="9"/>
      <c r="D229" s="6"/>
      <c r="E229" s="3"/>
      <c r="F229" s="7">
        <f t="shared" si="36"/>
        <v>0</v>
      </c>
      <c r="G229" s="3"/>
      <c r="H229" s="6">
        <v>10.039999999999999</v>
      </c>
      <c r="I229" s="3"/>
      <c r="J229" s="7">
        <f t="shared" si="37"/>
        <v>2.2261584033654903E-5</v>
      </c>
      <c r="K229" s="3"/>
      <c r="L229" s="6">
        <f t="shared" si="38"/>
        <v>-10.039999999999999</v>
      </c>
      <c r="M229" s="3"/>
      <c r="N229" s="7">
        <f t="shared" si="39"/>
        <v>-1</v>
      </c>
      <c r="O229" s="9"/>
      <c r="P229" s="6">
        <v>1555.65</v>
      </c>
      <c r="Q229" s="3"/>
      <c r="R229" s="7">
        <f t="shared" si="40"/>
        <v>6.2210431366751186E-5</v>
      </c>
      <c r="S229" s="3"/>
      <c r="T229" s="6">
        <v>108.89</v>
      </c>
      <c r="U229" s="3"/>
      <c r="V229" s="7">
        <f t="shared" si="41"/>
        <v>1.0609658316786976E-5</v>
      </c>
      <c r="W229" s="3"/>
      <c r="X229" s="6">
        <f t="shared" si="42"/>
        <v>1446.76</v>
      </c>
      <c r="Y229" s="3"/>
      <c r="Z229" s="7">
        <f t="shared" si="43"/>
        <v>13.28643585269538</v>
      </c>
    </row>
    <row r="230" spans="1:26" s="69" customFormat="1" ht="15" hidden="1" customHeight="1" outlineLevel="2" x14ac:dyDescent="0.3">
      <c r="A230" s="21"/>
      <c r="B230" s="9" t="str">
        <f>CONCATENATE("          ","6373"," - ","MAINTENANCE CONTRACTS")</f>
        <v xml:space="preserve">          6373 - MAINTENANCE CONTRACTS</v>
      </c>
      <c r="C230" s="9"/>
      <c r="D230" s="6">
        <v>11049.46</v>
      </c>
      <c r="E230" s="3"/>
      <c r="F230" s="7">
        <f t="shared" si="36"/>
        <v>1.173348610052332E-2</v>
      </c>
      <c r="G230" s="3"/>
      <c r="H230" s="6">
        <v>-2025.63</v>
      </c>
      <c r="I230" s="3"/>
      <c r="J230" s="7">
        <f t="shared" si="37"/>
        <v>-4.4914076161446598E-3</v>
      </c>
      <c r="K230" s="3"/>
      <c r="L230" s="6">
        <f t="shared" si="38"/>
        <v>13075.09</v>
      </c>
      <c r="M230" s="3"/>
      <c r="N230" s="7">
        <f t="shared" si="39"/>
        <v>-6.454826399687998</v>
      </c>
      <c r="O230" s="9"/>
      <c r="P230" s="6">
        <v>184081.67</v>
      </c>
      <c r="Q230" s="3"/>
      <c r="R230" s="7">
        <f t="shared" si="40"/>
        <v>7.3614245475601458E-3</v>
      </c>
      <c r="S230" s="3"/>
      <c r="T230" s="6">
        <v>212946.67</v>
      </c>
      <c r="U230" s="3"/>
      <c r="V230" s="7">
        <f t="shared" si="41"/>
        <v>2.0748382848724326E-2</v>
      </c>
      <c r="W230" s="3"/>
      <c r="X230" s="6">
        <f t="shared" si="42"/>
        <v>-28865</v>
      </c>
      <c r="Y230" s="3"/>
      <c r="Z230" s="7">
        <f t="shared" si="43"/>
        <v>-0.13555037042842699</v>
      </c>
    </row>
    <row r="231" spans="1:26" s="69" customFormat="1" ht="15" hidden="1" customHeight="1" outlineLevel="2" x14ac:dyDescent="0.3">
      <c r="A231" s="21"/>
      <c r="B231" s="9" t="str">
        <f>CONCATENATE("          ","6375"," - ","OUTSIDE REPAIRS &amp; MAINTENANCE")</f>
        <v xml:space="preserve">          6375 - OUTSIDE REPAIRS &amp; MAINTENANCE</v>
      </c>
      <c r="C231" s="9"/>
      <c r="D231" s="6">
        <v>31434.99</v>
      </c>
      <c r="E231" s="3"/>
      <c r="F231" s="7">
        <f t="shared" si="36"/>
        <v>3.3380999454732593E-2</v>
      </c>
      <c r="G231" s="3"/>
      <c r="H231" s="6">
        <v>19472.68</v>
      </c>
      <c r="I231" s="3"/>
      <c r="J231" s="7">
        <f t="shared" si="37"/>
        <v>4.3176563962198329E-2</v>
      </c>
      <c r="K231" s="3"/>
      <c r="L231" s="6">
        <f t="shared" si="38"/>
        <v>11962.310000000001</v>
      </c>
      <c r="M231" s="3"/>
      <c r="N231" s="7">
        <f t="shared" si="39"/>
        <v>0.61431246238319537</v>
      </c>
      <c r="O231" s="9"/>
      <c r="P231" s="6">
        <v>155318.67000000001</v>
      </c>
      <c r="Q231" s="3"/>
      <c r="R231" s="7">
        <f t="shared" si="40"/>
        <v>6.2111924018963625E-3</v>
      </c>
      <c r="S231" s="3"/>
      <c r="T231" s="6">
        <v>87751.79</v>
      </c>
      <c r="U231" s="3"/>
      <c r="V231" s="7">
        <f t="shared" si="41"/>
        <v>8.5500643639126097E-3</v>
      </c>
      <c r="W231" s="3"/>
      <c r="X231" s="6">
        <f t="shared" si="42"/>
        <v>67566.880000000019</v>
      </c>
      <c r="Y231" s="3"/>
      <c r="Z231" s="7">
        <f t="shared" si="43"/>
        <v>0.76997722781495426</v>
      </c>
    </row>
    <row r="232" spans="1:26" s="68" customFormat="1" ht="15" customHeight="1" outlineLevel="1" collapsed="1" x14ac:dyDescent="0.3">
      <c r="A232" s="20"/>
      <c r="B232" s="11" t="str">
        <f>CONCATENATE("     ","Royalty &amp; Commissions                             ")</f>
        <v xml:space="preserve">     Royalty &amp; Commissions                             </v>
      </c>
      <c r="C232" s="11"/>
      <c r="D232" s="2">
        <f>SUM(OSRRefD22_19x_0)</f>
        <v>2516.6800000000003</v>
      </c>
      <c r="E232" s="2"/>
      <c r="F232" s="5">
        <f t="shared" si="36"/>
        <v>2.6724771888820839E-3</v>
      </c>
      <c r="G232" s="2"/>
      <c r="H232" s="2">
        <f>SUM(OSRRefH22_19x_0)</f>
        <v>2549.25</v>
      </c>
      <c r="I232" s="2"/>
      <c r="J232" s="5">
        <f t="shared" si="37"/>
        <v>5.6524246113341401E-3</v>
      </c>
      <c r="K232" s="2"/>
      <c r="L232" s="2">
        <f t="shared" si="38"/>
        <v>-32.569999999999709</v>
      </c>
      <c r="M232" s="2"/>
      <c r="N232" s="5">
        <f t="shared" si="39"/>
        <v>-1.2776306756889167E-2</v>
      </c>
      <c r="O232" s="11"/>
      <c r="P232" s="2">
        <f>SUM(OSRRefP22_19x_0)</f>
        <v>98538.08</v>
      </c>
      <c r="Q232" s="2"/>
      <c r="R232" s="5">
        <f t="shared" si="40"/>
        <v>3.9405370506549915E-3</v>
      </c>
      <c r="S232" s="2"/>
      <c r="T232" s="2">
        <f>SUM(OSRRefT22_19x_0)</f>
        <v>51521.88</v>
      </c>
      <c r="U232" s="2"/>
      <c r="V232" s="5">
        <f t="shared" si="41"/>
        <v>5.0200160036596615E-3</v>
      </c>
      <c r="W232" s="2"/>
      <c r="X232" s="2">
        <f t="shared" si="42"/>
        <v>47016.200000000004</v>
      </c>
      <c r="Y232" s="2"/>
      <c r="Z232" s="5">
        <f t="shared" si="43"/>
        <v>0.91254822223102117</v>
      </c>
    </row>
    <row r="233" spans="1:26" s="69" customFormat="1" ht="15" hidden="1" customHeight="1" outlineLevel="2" x14ac:dyDescent="0.3">
      <c r="A233" s="21"/>
      <c r="B233" s="9" t="str">
        <f>CONCATENATE("          ","6253"," - ","ROYALTY DUE ATHLETICS-LRG")</f>
        <v xml:space="preserve">          6253 - ROYALTY DUE ATHLETICS-LRG</v>
      </c>
      <c r="C233" s="9"/>
      <c r="D233" s="6"/>
      <c r="E233" s="3"/>
      <c r="F233" s="7">
        <f t="shared" si="36"/>
        <v>0</v>
      </c>
      <c r="G233" s="3"/>
      <c r="H233" s="6"/>
      <c r="I233" s="3"/>
      <c r="J233" s="7">
        <f t="shared" si="37"/>
        <v>0</v>
      </c>
      <c r="K233" s="3"/>
      <c r="L233" s="6">
        <f t="shared" si="38"/>
        <v>0</v>
      </c>
      <c r="M233" s="3"/>
      <c r="N233" s="7">
        <f t="shared" si="39"/>
        <v>0</v>
      </c>
      <c r="O233" s="9"/>
      <c r="P233" s="6">
        <v>51456.52</v>
      </c>
      <c r="Q233" s="3"/>
      <c r="R233" s="7">
        <f t="shared" si="40"/>
        <v>2.0577458334663061E-3</v>
      </c>
      <c r="S233" s="3"/>
      <c r="T233" s="6">
        <v>35159.06</v>
      </c>
      <c r="U233" s="3"/>
      <c r="V233" s="7">
        <f t="shared" si="41"/>
        <v>3.4257104723979452E-3</v>
      </c>
      <c r="W233" s="3"/>
      <c r="X233" s="6">
        <f t="shared" si="42"/>
        <v>16297.46</v>
      </c>
      <c r="Y233" s="3"/>
      <c r="Z233" s="7">
        <f t="shared" si="43"/>
        <v>0.46353514570639831</v>
      </c>
    </row>
    <row r="234" spans="1:26" s="69" customFormat="1" ht="15" hidden="1" customHeight="1" outlineLevel="2" x14ac:dyDescent="0.3">
      <c r="A234" s="21"/>
      <c r="B234" s="9" t="str">
        <f>CONCATENATE("          ","6254"," - ","ROYALTY &amp; COMMISSIONS")</f>
        <v xml:space="preserve">          6254 - ROYALTY &amp; COMMISSIONS</v>
      </c>
      <c r="C234" s="9"/>
      <c r="D234" s="6">
        <v>2121.15</v>
      </c>
      <c r="E234" s="3"/>
      <c r="F234" s="7">
        <f t="shared" ref="F234:F265" si="44">IF(D$12=0,0,D234/D$12)</f>
        <v>2.2524615720700418E-3</v>
      </c>
      <c r="G234" s="3"/>
      <c r="H234" s="6"/>
      <c r="I234" s="3"/>
      <c r="J234" s="7">
        <f t="shared" ref="J234:J265" si="45">IF(H$12=0,0,H234/H$12)</f>
        <v>0</v>
      </c>
      <c r="K234" s="3"/>
      <c r="L234" s="6">
        <f t="shared" ref="L234:L265" si="46">+D234-H234</f>
        <v>2121.15</v>
      </c>
      <c r="M234" s="3"/>
      <c r="N234" s="7">
        <f t="shared" ref="N234:N265" si="47">IF(H234=0,0,L234/H234)</f>
        <v>0</v>
      </c>
      <c r="O234" s="9"/>
      <c r="P234" s="6">
        <v>33374.57</v>
      </c>
      <c r="Q234" s="3"/>
      <c r="R234" s="7">
        <f t="shared" ref="R234:R265" si="48">IF(P$12=0,0,P234/P$12)</f>
        <v>1.3346487939959713E-3</v>
      </c>
      <c r="S234" s="3"/>
      <c r="T234" s="6">
        <v>185.7</v>
      </c>
      <c r="U234" s="3"/>
      <c r="V234" s="7">
        <f t="shared" ref="V234:V265" si="49">IF(T$12=0,0,T234/T$12)</f>
        <v>1.8093613274197275E-5</v>
      </c>
      <c r="W234" s="3"/>
      <c r="X234" s="6">
        <f t="shared" ref="X234:X265" si="50">+P234-T234</f>
        <v>33188.870000000003</v>
      </c>
      <c r="Y234" s="3"/>
      <c r="Z234" s="7">
        <f t="shared" ref="Z234:Z265" si="51">IF(T234=0,0,X234/T234)</f>
        <v>178.72304792676363</v>
      </c>
    </row>
    <row r="235" spans="1:26" s="69" customFormat="1" ht="15" hidden="1" customHeight="1" outlineLevel="2" x14ac:dyDescent="0.3">
      <c r="A235" s="21"/>
      <c r="B235" s="9" t="str">
        <f>CONCATENATE("          ","6259"," - ","ROYALTY &amp; COMMISSIONS")</f>
        <v xml:space="preserve">          6259 - ROYALTY &amp; COMMISSIONS</v>
      </c>
      <c r="C235" s="9"/>
      <c r="D235" s="6">
        <v>395.53</v>
      </c>
      <c r="E235" s="3"/>
      <c r="F235" s="7">
        <f t="shared" si="44"/>
        <v>4.2001561681204229E-4</v>
      </c>
      <c r="G235" s="3"/>
      <c r="H235" s="6">
        <v>2549.25</v>
      </c>
      <c r="I235" s="3"/>
      <c r="J235" s="7">
        <f t="shared" si="45"/>
        <v>5.6524246113341401E-3</v>
      </c>
      <c r="K235" s="3"/>
      <c r="L235" s="6">
        <f t="shared" si="46"/>
        <v>-2153.7200000000003</v>
      </c>
      <c r="M235" s="3"/>
      <c r="N235" s="7">
        <f t="shared" si="47"/>
        <v>-0.84484456212611558</v>
      </c>
      <c r="O235" s="9"/>
      <c r="P235" s="6">
        <v>13706.99</v>
      </c>
      <c r="Q235" s="3"/>
      <c r="R235" s="7">
        <f t="shared" si="48"/>
        <v>5.4814242319271345E-4</v>
      </c>
      <c r="S235" s="3"/>
      <c r="T235" s="6">
        <v>16177.12</v>
      </c>
      <c r="U235" s="3"/>
      <c r="V235" s="7">
        <f t="shared" si="49"/>
        <v>1.5762119179875188E-3</v>
      </c>
      <c r="W235" s="3"/>
      <c r="X235" s="6">
        <f t="shared" si="50"/>
        <v>-2470.130000000001</v>
      </c>
      <c r="Y235" s="3"/>
      <c r="Z235" s="7">
        <f t="shared" si="51"/>
        <v>-0.15269281553206016</v>
      </c>
    </row>
    <row r="236" spans="1:26" s="68" customFormat="1" ht="15" customHeight="1" outlineLevel="1" collapsed="1" x14ac:dyDescent="0.3">
      <c r="A236" s="20"/>
      <c r="B236" s="11" t="str">
        <f>CONCATENATE("     ","Services                                          ")</f>
        <v xml:space="preserve">     Services                                          </v>
      </c>
      <c r="C236" s="11"/>
      <c r="D236" s="2">
        <f>SUM(OSRRefD22_20x_0)</f>
        <v>67029.66</v>
      </c>
      <c r="E236" s="2"/>
      <c r="F236" s="5">
        <f t="shared" si="44"/>
        <v>7.1179187393121846E-2</v>
      </c>
      <c r="G236" s="2"/>
      <c r="H236" s="2">
        <f>SUM(OSRRefH22_20x_0)</f>
        <v>17500.2</v>
      </c>
      <c r="I236" s="2"/>
      <c r="J236" s="5">
        <f t="shared" si="45"/>
        <v>3.8803005269498765E-2</v>
      </c>
      <c r="K236" s="2"/>
      <c r="L236" s="2">
        <f t="shared" si="46"/>
        <v>49529.460000000006</v>
      </c>
      <c r="M236" s="2"/>
      <c r="N236" s="5">
        <f t="shared" si="47"/>
        <v>2.8302225117427233</v>
      </c>
      <c r="O236" s="11"/>
      <c r="P236" s="2">
        <f>SUM(OSRRefP22_20x_0)</f>
        <v>406220.26999999996</v>
      </c>
      <c r="Q236" s="2"/>
      <c r="R236" s="5">
        <f t="shared" si="48"/>
        <v>1.6244745428996323E-2</v>
      </c>
      <c r="S236" s="2"/>
      <c r="T236" s="2">
        <f>SUM(OSRRefT22_20x_0)</f>
        <v>258049.61</v>
      </c>
      <c r="U236" s="2"/>
      <c r="V236" s="5">
        <f t="shared" si="49"/>
        <v>2.5142971722657136E-2</v>
      </c>
      <c r="W236" s="2"/>
      <c r="X236" s="2">
        <f t="shared" si="50"/>
        <v>148170.65999999997</v>
      </c>
      <c r="Y236" s="2"/>
      <c r="Z236" s="5">
        <f t="shared" si="51"/>
        <v>0.57419447369054344</v>
      </c>
    </row>
    <row r="237" spans="1:26" s="69" customFormat="1" ht="15" hidden="1" customHeight="1" outlineLevel="2" x14ac:dyDescent="0.3">
      <c r="A237" s="21"/>
      <c r="B237" s="9" t="str">
        <f>CONCATENATE("          ","6282"," - ","JANITORIAL/EXTERMINATOR EXPENS")</f>
        <v xml:space="preserve">          6282 - JANITORIAL/EXTERMINATOR EXPENS</v>
      </c>
      <c r="C237" s="9"/>
      <c r="D237" s="6">
        <v>4996.6000000000004</v>
      </c>
      <c r="E237" s="3"/>
      <c r="F237" s="7">
        <f t="shared" si="44"/>
        <v>5.3059187190934963E-3</v>
      </c>
      <c r="G237" s="3"/>
      <c r="H237" s="6">
        <v>3972.15</v>
      </c>
      <c r="I237" s="3"/>
      <c r="J237" s="7">
        <f t="shared" si="45"/>
        <v>8.8074054800082006E-3</v>
      </c>
      <c r="K237" s="3"/>
      <c r="L237" s="6">
        <f t="shared" si="46"/>
        <v>1024.4500000000003</v>
      </c>
      <c r="M237" s="3"/>
      <c r="N237" s="7">
        <f t="shared" si="47"/>
        <v>0.25790818574323737</v>
      </c>
      <c r="O237" s="9"/>
      <c r="P237" s="6">
        <v>42331.360000000001</v>
      </c>
      <c r="Q237" s="3"/>
      <c r="R237" s="7">
        <f t="shared" si="48"/>
        <v>1.6928307562377373E-3</v>
      </c>
      <c r="S237" s="3"/>
      <c r="T237" s="6">
        <v>40791.71</v>
      </c>
      <c r="U237" s="3"/>
      <c r="V237" s="7">
        <f t="shared" si="49"/>
        <v>3.9745257163877534E-3</v>
      </c>
      <c r="W237" s="3"/>
      <c r="X237" s="6">
        <f t="shared" si="50"/>
        <v>1539.6500000000015</v>
      </c>
      <c r="Y237" s="3"/>
      <c r="Z237" s="7">
        <f t="shared" si="51"/>
        <v>3.7744188708931335E-2</v>
      </c>
    </row>
    <row r="238" spans="1:26" s="69" customFormat="1" ht="15" hidden="1" customHeight="1" outlineLevel="2" x14ac:dyDescent="0.3">
      <c r="A238" s="21"/>
      <c r="B238" s="9" t="str">
        <f>CONCATENATE("          ","6283"," - ","PLANT SERVICE")</f>
        <v xml:space="preserve">          6283 - PLANT SERVICE</v>
      </c>
      <c r="C238" s="9"/>
      <c r="D238" s="6"/>
      <c r="E238" s="3"/>
      <c r="F238" s="7">
        <f t="shared" si="44"/>
        <v>0</v>
      </c>
      <c r="G238" s="3"/>
      <c r="H238" s="6"/>
      <c r="I238" s="3"/>
      <c r="J238" s="7">
        <f t="shared" si="45"/>
        <v>0</v>
      </c>
      <c r="K238" s="3"/>
      <c r="L238" s="6">
        <f t="shared" si="46"/>
        <v>0</v>
      </c>
      <c r="M238" s="3"/>
      <c r="N238" s="7">
        <f t="shared" si="47"/>
        <v>0</v>
      </c>
      <c r="O238" s="9"/>
      <c r="P238" s="6"/>
      <c r="Q238" s="3"/>
      <c r="R238" s="7">
        <f t="shared" si="48"/>
        <v>0</v>
      </c>
      <c r="S238" s="3"/>
      <c r="T238" s="6">
        <v>171.31</v>
      </c>
      <c r="U238" s="3"/>
      <c r="V238" s="7">
        <f t="shared" si="49"/>
        <v>1.6691528756072889E-5</v>
      </c>
      <c r="W238" s="3"/>
      <c r="X238" s="6">
        <f t="shared" si="50"/>
        <v>-171.31</v>
      </c>
      <c r="Y238" s="3"/>
      <c r="Z238" s="7">
        <f t="shared" si="51"/>
        <v>-1</v>
      </c>
    </row>
    <row r="239" spans="1:26" s="69" customFormat="1" ht="15" hidden="1" customHeight="1" outlineLevel="2" x14ac:dyDescent="0.3">
      <c r="A239" s="21"/>
      <c r="B239" s="9" t="str">
        <f>CONCATENATE("          ","6284"," - ","TRASH REMOVAL EXPENSE")</f>
        <v xml:space="preserve">          6284 - TRASH REMOVAL EXPENSE</v>
      </c>
      <c r="C239" s="9"/>
      <c r="D239" s="6">
        <v>149.69999999999999</v>
      </c>
      <c r="E239" s="3"/>
      <c r="F239" s="7">
        <f t="shared" si="44"/>
        <v>1.5896730421652649E-4</v>
      </c>
      <c r="G239" s="3"/>
      <c r="H239" s="6">
        <v>-3907.43</v>
      </c>
      <c r="I239" s="3"/>
      <c r="J239" s="7">
        <f t="shared" si="45"/>
        <v>-8.6639025199824887E-3</v>
      </c>
      <c r="K239" s="3"/>
      <c r="L239" s="6">
        <f t="shared" si="46"/>
        <v>4057.1299999999997</v>
      </c>
      <c r="M239" s="3"/>
      <c r="N239" s="7">
        <f t="shared" si="47"/>
        <v>-1.0383116268237691</v>
      </c>
      <c r="O239" s="9"/>
      <c r="P239" s="6">
        <v>1639.57</v>
      </c>
      <c r="Q239" s="3"/>
      <c r="R239" s="7">
        <f t="shared" si="48"/>
        <v>6.556639151221947E-5</v>
      </c>
      <c r="S239" s="3"/>
      <c r="T239" s="6">
        <v>30553.61</v>
      </c>
      <c r="U239" s="3"/>
      <c r="V239" s="7">
        <f t="shared" si="49"/>
        <v>2.9769800940799497E-3</v>
      </c>
      <c r="W239" s="3"/>
      <c r="X239" s="6">
        <f t="shared" si="50"/>
        <v>-28914.04</v>
      </c>
      <c r="Y239" s="3"/>
      <c r="Z239" s="7">
        <f t="shared" si="51"/>
        <v>-0.94633792864411115</v>
      </c>
    </row>
    <row r="240" spans="1:26" s="69" customFormat="1" ht="15" hidden="1" customHeight="1" outlineLevel="2" x14ac:dyDescent="0.3">
      <c r="A240" s="21"/>
      <c r="B240" s="9" t="str">
        <f>CONCATENATE("          ","6285"," - ","JANITORIAL SERVICES")</f>
        <v xml:space="preserve">          6285 - JANITORIAL SERVICES</v>
      </c>
      <c r="C240" s="9"/>
      <c r="D240" s="6">
        <v>57674.37</v>
      </c>
      <c r="E240" s="3"/>
      <c r="F240" s="7">
        <f t="shared" si="44"/>
        <v>6.1244750309195128E-2</v>
      </c>
      <c r="G240" s="3"/>
      <c r="H240" s="6">
        <v>16146.46</v>
      </c>
      <c r="I240" s="3"/>
      <c r="J240" s="7">
        <f t="shared" si="45"/>
        <v>3.5801372125104342E-2</v>
      </c>
      <c r="K240" s="3"/>
      <c r="L240" s="6">
        <f t="shared" si="46"/>
        <v>41527.910000000003</v>
      </c>
      <c r="M240" s="3"/>
      <c r="N240" s="7">
        <f t="shared" si="47"/>
        <v>2.571951375100177</v>
      </c>
      <c r="O240" s="9"/>
      <c r="P240" s="6">
        <v>317831.67</v>
      </c>
      <c r="Q240" s="3"/>
      <c r="R240" s="7">
        <f t="shared" si="48"/>
        <v>1.2710086004380746E-2</v>
      </c>
      <c r="S240" s="3"/>
      <c r="T240" s="6">
        <v>168536.59</v>
      </c>
      <c r="U240" s="3"/>
      <c r="V240" s="7">
        <f t="shared" si="49"/>
        <v>1.6421302541798296E-2</v>
      </c>
      <c r="W240" s="3"/>
      <c r="X240" s="6">
        <f t="shared" si="50"/>
        <v>149295.07999999999</v>
      </c>
      <c r="Y240" s="3"/>
      <c r="Z240" s="7">
        <f t="shared" si="51"/>
        <v>0.88583185407987663</v>
      </c>
    </row>
    <row r="241" spans="1:26" s="69" customFormat="1" ht="15" hidden="1" customHeight="1" outlineLevel="2" x14ac:dyDescent="0.3">
      <c r="A241" s="21"/>
      <c r="B241" s="9" t="str">
        <f>CONCATENATE("          ","6286"," - ","LAUNDRY EXPENSE")</f>
        <v xml:space="preserve">          6286 - LAUNDRY EXPENSE</v>
      </c>
      <c r="C241" s="9"/>
      <c r="D241" s="6">
        <v>4208.99</v>
      </c>
      <c r="E241" s="3"/>
      <c r="F241" s="7">
        <f t="shared" si="44"/>
        <v>4.4695510606166857E-3</v>
      </c>
      <c r="G241" s="3"/>
      <c r="H241" s="6">
        <v>1289.02</v>
      </c>
      <c r="I241" s="3"/>
      <c r="J241" s="7">
        <f t="shared" si="45"/>
        <v>2.8581301843687095E-3</v>
      </c>
      <c r="K241" s="3"/>
      <c r="L241" s="6">
        <f t="shared" si="46"/>
        <v>2919.97</v>
      </c>
      <c r="M241" s="3"/>
      <c r="N241" s="7">
        <f t="shared" si="47"/>
        <v>2.2652635335371056</v>
      </c>
      <c r="O241" s="9"/>
      <c r="P241" s="6">
        <v>44417.67</v>
      </c>
      <c r="Q241" s="3"/>
      <c r="R241" s="7">
        <f t="shared" si="48"/>
        <v>1.7762622768656207E-3</v>
      </c>
      <c r="S241" s="3"/>
      <c r="T241" s="6">
        <v>17996.39</v>
      </c>
      <c r="U241" s="3"/>
      <c r="V241" s="7">
        <f t="shared" si="49"/>
        <v>1.7534718416350626E-3</v>
      </c>
      <c r="W241" s="3"/>
      <c r="X241" s="6">
        <f t="shared" si="50"/>
        <v>26421.279999999999</v>
      </c>
      <c r="Y241" s="3"/>
      <c r="Z241" s="7">
        <f t="shared" si="51"/>
        <v>1.4681433331907121</v>
      </c>
    </row>
    <row r="242" spans="1:26" s="68" customFormat="1" ht="15" customHeight="1" outlineLevel="1" collapsed="1" x14ac:dyDescent="0.3">
      <c r="A242" s="20"/>
      <c r="B242" s="11" t="str">
        <f>CONCATENATE("     ","Subscriptions &amp; Dues                              ")</f>
        <v xml:space="preserve">     Subscriptions &amp; Dues                              </v>
      </c>
      <c r="C242" s="11"/>
      <c r="D242" s="2">
        <f>SUM(OSRRefD22_21x_0)</f>
        <v>832.85</v>
      </c>
      <c r="E242" s="2"/>
      <c r="F242" s="5">
        <f t="shared" si="44"/>
        <v>8.8440827866889855E-4</v>
      </c>
      <c r="G242" s="2"/>
      <c r="H242" s="2">
        <f>SUM(OSRRefH22_21x_0)</f>
        <v>824.67</v>
      </c>
      <c r="I242" s="2"/>
      <c r="J242" s="5">
        <f t="shared" si="45"/>
        <v>1.8285319228121702E-3</v>
      </c>
      <c r="K242" s="2"/>
      <c r="L242" s="2">
        <f t="shared" si="46"/>
        <v>8.1800000000000637</v>
      </c>
      <c r="M242" s="2"/>
      <c r="N242" s="5">
        <f t="shared" si="47"/>
        <v>9.919119162816719E-3</v>
      </c>
      <c r="O242" s="11"/>
      <c r="P242" s="2">
        <f>SUM(OSRRefP22_21x_0)</f>
        <v>15919.28</v>
      </c>
      <c r="Q242" s="2"/>
      <c r="R242" s="5">
        <f t="shared" si="48"/>
        <v>6.3661188303801937E-4</v>
      </c>
      <c r="S242" s="2"/>
      <c r="T242" s="2">
        <f>SUM(OSRRefT22_21x_0)</f>
        <v>10099.27</v>
      </c>
      <c r="U242" s="2"/>
      <c r="V242" s="5">
        <f t="shared" si="49"/>
        <v>9.8401877076845635E-4</v>
      </c>
      <c r="W242" s="2"/>
      <c r="X242" s="2">
        <f t="shared" si="50"/>
        <v>5820.01</v>
      </c>
      <c r="Y242" s="2"/>
      <c r="Z242" s="5">
        <f t="shared" si="51"/>
        <v>0.57628026580138958</v>
      </c>
    </row>
    <row r="243" spans="1:26" s="69" customFormat="1" ht="15" hidden="1" customHeight="1" outlineLevel="2" x14ac:dyDescent="0.3">
      <c r="A243" s="21"/>
      <c r="B243" s="9" t="str">
        <f>CONCATENATE("          ","6258"," - ","MEMBERSHIP DUES")</f>
        <v xml:space="preserve">          6258 - MEMBERSHIP DUES</v>
      </c>
      <c r="C243" s="9"/>
      <c r="D243" s="6">
        <v>272.35000000000002</v>
      </c>
      <c r="E243" s="3"/>
      <c r="F243" s="7">
        <f t="shared" si="44"/>
        <v>2.8921005546674017E-4</v>
      </c>
      <c r="G243" s="3"/>
      <c r="H243" s="6">
        <v>609</v>
      </c>
      <c r="I243" s="3"/>
      <c r="J243" s="7">
        <f t="shared" si="45"/>
        <v>1.350329151045402E-3</v>
      </c>
      <c r="K243" s="3"/>
      <c r="L243" s="6">
        <f t="shared" si="46"/>
        <v>-336.65</v>
      </c>
      <c r="M243" s="3"/>
      <c r="N243" s="7">
        <f t="shared" si="47"/>
        <v>-0.55279146141215108</v>
      </c>
      <c r="O243" s="9"/>
      <c r="P243" s="6">
        <v>5039.49</v>
      </c>
      <c r="Q243" s="3"/>
      <c r="R243" s="7">
        <f t="shared" si="48"/>
        <v>2.0152916579463818E-4</v>
      </c>
      <c r="S243" s="3"/>
      <c r="T243" s="6">
        <v>4450.45</v>
      </c>
      <c r="U243" s="3"/>
      <c r="V243" s="7">
        <f t="shared" si="49"/>
        <v>4.3362800859532186E-4</v>
      </c>
      <c r="W243" s="3"/>
      <c r="X243" s="6">
        <f t="shared" si="50"/>
        <v>589.04</v>
      </c>
      <c r="Y243" s="3"/>
      <c r="Z243" s="7">
        <f t="shared" si="51"/>
        <v>0.13235515509667561</v>
      </c>
    </row>
    <row r="244" spans="1:26" s="69" customFormat="1" ht="15" hidden="1" customHeight="1" outlineLevel="2" x14ac:dyDescent="0.3">
      <c r="A244" s="21"/>
      <c r="B244" s="9" t="str">
        <f>CONCATENATE("          ","6275"," - ","SUBSCRIPTIONS")</f>
        <v xml:space="preserve">          6275 - SUBSCRIPTIONS</v>
      </c>
      <c r="C244" s="9"/>
      <c r="D244" s="6">
        <v>560.5</v>
      </c>
      <c r="E244" s="3"/>
      <c r="F244" s="7">
        <f t="shared" si="44"/>
        <v>5.9519822320215838E-4</v>
      </c>
      <c r="G244" s="3"/>
      <c r="H244" s="6">
        <v>215.67</v>
      </c>
      <c r="I244" s="3"/>
      <c r="J244" s="7">
        <f t="shared" si="45"/>
        <v>4.7820277176676822E-4</v>
      </c>
      <c r="K244" s="3"/>
      <c r="L244" s="6">
        <f t="shared" si="46"/>
        <v>344.83000000000004</v>
      </c>
      <c r="M244" s="3"/>
      <c r="N244" s="7">
        <f t="shared" si="47"/>
        <v>1.5988779153336119</v>
      </c>
      <c r="O244" s="9"/>
      <c r="P244" s="6">
        <v>10879.79</v>
      </c>
      <c r="Q244" s="3"/>
      <c r="R244" s="7">
        <f t="shared" si="48"/>
        <v>4.3508271724338116E-4</v>
      </c>
      <c r="S244" s="3"/>
      <c r="T244" s="6">
        <v>5648.82</v>
      </c>
      <c r="U244" s="3"/>
      <c r="V244" s="7">
        <f t="shared" si="49"/>
        <v>5.5039076217313439E-4</v>
      </c>
      <c r="W244" s="3"/>
      <c r="X244" s="6">
        <f t="shared" si="50"/>
        <v>5230.9700000000012</v>
      </c>
      <c r="Y244" s="3"/>
      <c r="Z244" s="7">
        <f t="shared" si="51"/>
        <v>0.92602879893499912</v>
      </c>
    </row>
    <row r="245" spans="1:26" s="68" customFormat="1" ht="15" customHeight="1" outlineLevel="1" collapsed="1" x14ac:dyDescent="0.3">
      <c r="A245" s="20"/>
      <c r="B245" s="11" t="str">
        <f>CONCATENATE("     ","Supplies                                          ")</f>
        <v xml:space="preserve">     Supplies                                          </v>
      </c>
      <c r="C245" s="11"/>
      <c r="D245" s="2">
        <f>SUM(OSRRefD22_22x_0)</f>
        <v>48999.89</v>
      </c>
      <c r="E245" s="2"/>
      <c r="F245" s="5">
        <f t="shared" si="44"/>
        <v>5.2033269340055678E-2</v>
      </c>
      <c r="G245" s="2"/>
      <c r="H245" s="2">
        <f>SUM(OSRRefH22_22x_0)</f>
        <v>33025.360000000001</v>
      </c>
      <c r="I245" s="2"/>
      <c r="J245" s="5">
        <f t="shared" si="45"/>
        <v>7.3226775585827228E-2</v>
      </c>
      <c r="K245" s="2"/>
      <c r="L245" s="2">
        <f t="shared" si="46"/>
        <v>15974.529999999999</v>
      </c>
      <c r="M245" s="2"/>
      <c r="N245" s="5">
        <f t="shared" si="47"/>
        <v>0.4837049467439567</v>
      </c>
      <c r="O245" s="11"/>
      <c r="P245" s="2">
        <f>SUM(OSRRefP22_22x_0)</f>
        <v>584314.94999999995</v>
      </c>
      <c r="Q245" s="2"/>
      <c r="R245" s="5">
        <f t="shared" si="48"/>
        <v>2.3366750293151831E-2</v>
      </c>
      <c r="S245" s="2"/>
      <c r="T245" s="2">
        <f>SUM(OSRRefT22_22x_0)</f>
        <v>331387.23</v>
      </c>
      <c r="U245" s="2"/>
      <c r="V245" s="5">
        <f t="shared" si="49"/>
        <v>3.2288596573115051E-2</v>
      </c>
      <c r="W245" s="2"/>
      <c r="X245" s="2">
        <f t="shared" si="50"/>
        <v>252927.71999999997</v>
      </c>
      <c r="Y245" s="2"/>
      <c r="Z245" s="5">
        <f t="shared" si="51"/>
        <v>0.76323918697772386</v>
      </c>
    </row>
    <row r="246" spans="1:26" s="69" customFormat="1" ht="15" hidden="1" customHeight="1" outlineLevel="2" x14ac:dyDescent="0.3">
      <c r="A246" s="21"/>
      <c r="B246" s="9" t="str">
        <f>CONCATENATE("          ","6234"," - ","EXPENDABLE SUPPLIES &amp; EQUIPMEN")</f>
        <v xml:space="preserve">          6234 - EXPENDABLE SUPPLIES &amp; EQUIPMEN</v>
      </c>
      <c r="C246" s="9"/>
      <c r="D246" s="6">
        <v>525.74</v>
      </c>
      <c r="E246" s="3"/>
      <c r="F246" s="7">
        <f t="shared" si="44"/>
        <v>5.5828637621106649E-4</v>
      </c>
      <c r="G246" s="3"/>
      <c r="H246" s="6">
        <v>-1048.8</v>
      </c>
      <c r="I246" s="3"/>
      <c r="J246" s="7">
        <f t="shared" si="45"/>
        <v>-2.3254929616033132E-3</v>
      </c>
      <c r="K246" s="3"/>
      <c r="L246" s="6">
        <f t="shared" si="46"/>
        <v>1574.54</v>
      </c>
      <c r="M246" s="3"/>
      <c r="N246" s="7">
        <f t="shared" si="47"/>
        <v>-1.5012776506483601</v>
      </c>
      <c r="O246" s="9"/>
      <c r="P246" s="6">
        <v>12682.33</v>
      </c>
      <c r="Q246" s="3"/>
      <c r="R246" s="7">
        <f t="shared" si="48"/>
        <v>5.0716627778452062E-4</v>
      </c>
      <c r="S246" s="3"/>
      <c r="T246" s="6">
        <v>1338.68</v>
      </c>
      <c r="U246" s="3"/>
      <c r="V246" s="7">
        <f t="shared" si="49"/>
        <v>1.3043380838935063E-4</v>
      </c>
      <c r="W246" s="3"/>
      <c r="X246" s="6">
        <f t="shared" si="50"/>
        <v>11343.65</v>
      </c>
      <c r="Y246" s="3"/>
      <c r="Z246" s="7">
        <f t="shared" si="51"/>
        <v>8.473757731496697</v>
      </c>
    </row>
    <row r="247" spans="1:26" s="69" customFormat="1" ht="15" hidden="1" customHeight="1" outlineLevel="2" x14ac:dyDescent="0.3">
      <c r="A247" s="21"/>
      <c r="B247" s="9" t="str">
        <f>CONCATENATE("          ","6235"," - ","COVID-19 EXPENSES")</f>
        <v xml:space="preserve">          6235 - COVID-19 EXPENSES</v>
      </c>
      <c r="C247" s="9"/>
      <c r="D247" s="6"/>
      <c r="E247" s="3"/>
      <c r="F247" s="7">
        <f t="shared" si="44"/>
        <v>0</v>
      </c>
      <c r="G247" s="3"/>
      <c r="H247" s="6">
        <v>957.91</v>
      </c>
      <c r="I247" s="3"/>
      <c r="J247" s="7">
        <f t="shared" si="45"/>
        <v>2.1239635419998374E-3</v>
      </c>
      <c r="K247" s="3"/>
      <c r="L247" s="6">
        <f t="shared" si="46"/>
        <v>-957.91</v>
      </c>
      <c r="M247" s="3"/>
      <c r="N247" s="7">
        <f t="shared" si="47"/>
        <v>-1</v>
      </c>
      <c r="O247" s="9"/>
      <c r="P247" s="6">
        <v>4435.6099999999997</v>
      </c>
      <c r="Q247" s="3"/>
      <c r="R247" s="7">
        <f t="shared" si="48"/>
        <v>1.773800093045834E-4</v>
      </c>
      <c r="S247" s="3"/>
      <c r="T247" s="6">
        <v>112190.62</v>
      </c>
      <c r="U247" s="3"/>
      <c r="V247" s="7">
        <f t="shared" si="49"/>
        <v>1.0931253049393765E-2</v>
      </c>
      <c r="W247" s="3"/>
      <c r="X247" s="6">
        <f t="shared" si="50"/>
        <v>-107755.01</v>
      </c>
      <c r="Y247" s="3"/>
      <c r="Z247" s="7">
        <f t="shared" si="51"/>
        <v>-0.96046362877752167</v>
      </c>
    </row>
    <row r="248" spans="1:26" s="69" customFormat="1" ht="15" hidden="1" customHeight="1" outlineLevel="2" x14ac:dyDescent="0.3">
      <c r="A248" s="21"/>
      <c r="B248" s="9" t="str">
        <f>CONCATENATE("          ","6237"," - ","JANITORIAL SUPPLIES")</f>
        <v xml:space="preserve">          6237 - JANITORIAL SUPPLIES</v>
      </c>
      <c r="C248" s="9"/>
      <c r="D248" s="6">
        <v>5146.33</v>
      </c>
      <c r="E248" s="3"/>
      <c r="F248" s="7">
        <f t="shared" si="44"/>
        <v>5.4649178804852165E-3</v>
      </c>
      <c r="G248" s="3"/>
      <c r="H248" s="6">
        <v>2590.06</v>
      </c>
      <c r="I248" s="3"/>
      <c r="J248" s="7">
        <f t="shared" si="45"/>
        <v>5.7429121854789067E-3</v>
      </c>
      <c r="K248" s="3"/>
      <c r="L248" s="6">
        <f t="shared" si="46"/>
        <v>2556.27</v>
      </c>
      <c r="M248" s="3"/>
      <c r="N248" s="7">
        <f t="shared" si="47"/>
        <v>0.986953970178297</v>
      </c>
      <c r="O248" s="9"/>
      <c r="P248" s="6">
        <v>101599.09</v>
      </c>
      <c r="Q248" s="3"/>
      <c r="R248" s="7">
        <f t="shared" si="48"/>
        <v>4.0629468166807287E-3</v>
      </c>
      <c r="S248" s="3"/>
      <c r="T248" s="6">
        <v>30283.55</v>
      </c>
      <c r="U248" s="3"/>
      <c r="V248" s="7">
        <f t="shared" si="49"/>
        <v>2.9506668942908825E-3</v>
      </c>
      <c r="W248" s="3"/>
      <c r="X248" s="6">
        <f t="shared" si="50"/>
        <v>71315.539999999994</v>
      </c>
      <c r="Y248" s="3"/>
      <c r="Z248" s="7">
        <f t="shared" si="51"/>
        <v>2.3549266846192074</v>
      </c>
    </row>
    <row r="249" spans="1:26" s="69" customFormat="1" ht="15" hidden="1" customHeight="1" outlineLevel="2" x14ac:dyDescent="0.3">
      <c r="A249" s="21"/>
      <c r="B249" s="9" t="str">
        <f>CONCATENATE("          ","6239"," - ","KITCHEN SUPPLIES")</f>
        <v xml:space="preserve">          6239 - KITCHEN SUPPLIES</v>
      </c>
      <c r="C249" s="9"/>
      <c r="D249" s="6">
        <v>681.31</v>
      </c>
      <c r="E249" s="3"/>
      <c r="F249" s="7">
        <f t="shared" si="44"/>
        <v>7.2348706770715876E-4</v>
      </c>
      <c r="G249" s="3"/>
      <c r="H249" s="6">
        <v>7752.64</v>
      </c>
      <c r="I249" s="3"/>
      <c r="J249" s="7">
        <f t="shared" si="45"/>
        <v>1.7189845303055215E-2</v>
      </c>
      <c r="K249" s="3"/>
      <c r="L249" s="6">
        <f t="shared" si="46"/>
        <v>-7071.33</v>
      </c>
      <c r="M249" s="3"/>
      <c r="N249" s="7">
        <f t="shared" si="47"/>
        <v>-0.91211896850621199</v>
      </c>
      <c r="O249" s="9"/>
      <c r="P249" s="6">
        <v>46507.96</v>
      </c>
      <c r="Q249" s="3"/>
      <c r="R249" s="7">
        <f t="shared" si="48"/>
        <v>1.8598529576624621E-3</v>
      </c>
      <c r="S249" s="3"/>
      <c r="T249" s="6">
        <v>15638.74</v>
      </c>
      <c r="U249" s="3"/>
      <c r="V249" s="7">
        <f t="shared" si="49"/>
        <v>1.5237550546888525E-3</v>
      </c>
      <c r="W249" s="3"/>
      <c r="X249" s="6">
        <f t="shared" si="50"/>
        <v>30869.22</v>
      </c>
      <c r="Y249" s="3"/>
      <c r="Z249" s="7">
        <f t="shared" si="51"/>
        <v>1.9738943162940239</v>
      </c>
    </row>
    <row r="250" spans="1:26" s="69" customFormat="1" ht="15" hidden="1" customHeight="1" outlineLevel="2" x14ac:dyDescent="0.3">
      <c r="A250" s="21"/>
      <c r="B250" s="9" t="str">
        <f>CONCATENATE("          ","6241"," - ","OFFICE EXPENSE")</f>
        <v xml:space="preserve">          6241 - OFFICE EXPENSE</v>
      </c>
      <c r="C250" s="9"/>
      <c r="D250" s="6">
        <v>7061.89</v>
      </c>
      <c r="E250" s="3"/>
      <c r="F250" s="7">
        <f t="shared" si="44"/>
        <v>7.4990622309528826E-3</v>
      </c>
      <c r="G250" s="3"/>
      <c r="H250" s="6">
        <v>6595.91</v>
      </c>
      <c r="I250" s="3"/>
      <c r="J250" s="7">
        <f t="shared" si="45"/>
        <v>1.4625040313090112E-2</v>
      </c>
      <c r="K250" s="3"/>
      <c r="L250" s="6">
        <f t="shared" si="46"/>
        <v>465.98000000000047</v>
      </c>
      <c r="M250" s="3"/>
      <c r="N250" s="7">
        <f t="shared" si="47"/>
        <v>7.0646809917054729E-2</v>
      </c>
      <c r="O250" s="9"/>
      <c r="P250" s="6">
        <v>100376.42</v>
      </c>
      <c r="Q250" s="3"/>
      <c r="R250" s="7">
        <f t="shared" si="48"/>
        <v>4.0140522529169094E-3</v>
      </c>
      <c r="S250" s="3"/>
      <c r="T250" s="6">
        <v>49147.1</v>
      </c>
      <c r="U250" s="3"/>
      <c r="V250" s="7">
        <f t="shared" si="49"/>
        <v>4.7886301612724879E-3</v>
      </c>
      <c r="W250" s="3"/>
      <c r="X250" s="6">
        <f t="shared" si="50"/>
        <v>51229.32</v>
      </c>
      <c r="Y250" s="3"/>
      <c r="Z250" s="7">
        <f t="shared" si="51"/>
        <v>1.0423670979569497</v>
      </c>
    </row>
    <row r="251" spans="1:26" s="69" customFormat="1" ht="15" hidden="1" customHeight="1" outlineLevel="2" x14ac:dyDescent="0.3">
      <c r="A251" s="21"/>
      <c r="B251" s="9" t="str">
        <f>CONCATENATE("          ","6243"," - ","PAPER SUPPLIES")</f>
        <v xml:space="preserve">          6243 - PAPER SUPPLIES</v>
      </c>
      <c r="C251" s="9"/>
      <c r="D251" s="6">
        <v>3445.64</v>
      </c>
      <c r="E251" s="3"/>
      <c r="F251" s="7">
        <f t="shared" si="44"/>
        <v>3.6589452378131757E-3</v>
      </c>
      <c r="G251" s="3"/>
      <c r="H251" s="6">
        <v>5033.67</v>
      </c>
      <c r="I251" s="3"/>
      <c r="J251" s="7">
        <f t="shared" si="45"/>
        <v>1.1161102360825468E-2</v>
      </c>
      <c r="K251" s="3"/>
      <c r="L251" s="6">
        <f t="shared" si="46"/>
        <v>-1588.0300000000002</v>
      </c>
      <c r="M251" s="3"/>
      <c r="N251" s="7">
        <f t="shared" si="47"/>
        <v>-0.31548154726074618</v>
      </c>
      <c r="O251" s="9"/>
      <c r="P251" s="6">
        <v>198794.4</v>
      </c>
      <c r="Q251" s="3"/>
      <c r="R251" s="7">
        <f t="shared" si="48"/>
        <v>7.949786505508618E-3</v>
      </c>
      <c r="S251" s="3"/>
      <c r="T251" s="6">
        <v>50690.45</v>
      </c>
      <c r="U251" s="3"/>
      <c r="V251" s="7">
        <f t="shared" si="49"/>
        <v>4.939005918120804E-3</v>
      </c>
      <c r="W251" s="3"/>
      <c r="X251" s="6">
        <f t="shared" si="50"/>
        <v>148103.95000000001</v>
      </c>
      <c r="Y251" s="3"/>
      <c r="Z251" s="7">
        <f t="shared" si="51"/>
        <v>2.9217327918769711</v>
      </c>
    </row>
    <row r="252" spans="1:26" s="69" customFormat="1" ht="15" hidden="1" customHeight="1" outlineLevel="2" x14ac:dyDescent="0.3">
      <c r="A252" s="21"/>
      <c r="B252" s="9" t="str">
        <f>CONCATENATE("          ","6245"," - ","PRINTING")</f>
        <v xml:space="preserve">          6245 - PRINTING</v>
      </c>
      <c r="C252" s="9"/>
      <c r="D252" s="6">
        <v>5241.04</v>
      </c>
      <c r="E252" s="3"/>
      <c r="F252" s="7">
        <f t="shared" si="44"/>
        <v>5.5654909825717039E-3</v>
      </c>
      <c r="G252" s="3"/>
      <c r="H252" s="6">
        <v>2921.89</v>
      </c>
      <c r="I252" s="3"/>
      <c r="J252" s="7">
        <f t="shared" si="45"/>
        <v>6.4786752761051723E-3</v>
      </c>
      <c r="K252" s="3"/>
      <c r="L252" s="6">
        <f t="shared" si="46"/>
        <v>2319.15</v>
      </c>
      <c r="M252" s="3"/>
      <c r="N252" s="7">
        <f t="shared" si="47"/>
        <v>0.79371571140597363</v>
      </c>
      <c r="O252" s="9"/>
      <c r="P252" s="6">
        <v>18015.439999999999</v>
      </c>
      <c r="Q252" s="3"/>
      <c r="R252" s="7">
        <f t="shared" si="48"/>
        <v>7.2043730508907779E-4</v>
      </c>
      <c r="S252" s="3"/>
      <c r="T252" s="6">
        <v>12006.27</v>
      </c>
      <c r="U252" s="3"/>
      <c r="V252" s="7">
        <f t="shared" si="49"/>
        <v>1.1698266356790336E-3</v>
      </c>
      <c r="W252" s="3"/>
      <c r="X252" s="6">
        <f t="shared" si="50"/>
        <v>6009.1699999999983</v>
      </c>
      <c r="Y252" s="3"/>
      <c r="Z252" s="7">
        <f t="shared" si="51"/>
        <v>0.50050265402993588</v>
      </c>
    </row>
    <row r="253" spans="1:26" s="69" customFormat="1" ht="15" hidden="1" customHeight="1" outlineLevel="2" x14ac:dyDescent="0.3">
      <c r="A253" s="21"/>
      <c r="B253" s="9" t="str">
        <f>CONCATENATE("          ","6247"," - ","STORE SUPPLIES")</f>
        <v xml:space="preserve">          6247 - STORE SUPPLIES</v>
      </c>
      <c r="C253" s="9"/>
      <c r="D253" s="6">
        <v>26897.94</v>
      </c>
      <c r="E253" s="3"/>
      <c r="F253" s="7">
        <f t="shared" si="44"/>
        <v>2.8563079564314475E-2</v>
      </c>
      <c r="G253" s="3"/>
      <c r="H253" s="6">
        <v>8222.08</v>
      </c>
      <c r="I253" s="3"/>
      <c r="J253" s="7">
        <f t="shared" si="45"/>
        <v>1.8230729566875829E-2</v>
      </c>
      <c r="K253" s="3"/>
      <c r="L253" s="6">
        <f t="shared" si="46"/>
        <v>18675.86</v>
      </c>
      <c r="M253" s="3"/>
      <c r="N253" s="7">
        <f t="shared" si="47"/>
        <v>2.2714276679380401</v>
      </c>
      <c r="O253" s="9"/>
      <c r="P253" s="6">
        <v>92371.86</v>
      </c>
      <c r="Q253" s="3"/>
      <c r="R253" s="7">
        <f t="shared" si="48"/>
        <v>3.6939499609482522E-3</v>
      </c>
      <c r="S253" s="3"/>
      <c r="T253" s="6">
        <v>55591.23</v>
      </c>
      <c r="U253" s="3"/>
      <c r="V253" s="7">
        <f t="shared" si="49"/>
        <v>5.4165116696658798E-3</v>
      </c>
      <c r="W253" s="3"/>
      <c r="X253" s="6">
        <f t="shared" si="50"/>
        <v>36780.629999999997</v>
      </c>
      <c r="Y253" s="3"/>
      <c r="Z253" s="7">
        <f t="shared" si="51"/>
        <v>0.66162648317009709</v>
      </c>
    </row>
    <row r="254" spans="1:26" s="69" customFormat="1" ht="15" hidden="1" customHeight="1" outlineLevel="2" x14ac:dyDescent="0.3">
      <c r="A254" s="21"/>
      <c r="B254" s="9" t="str">
        <f>CONCATENATE("          ","6248"," - ","UNIFORMS")</f>
        <v xml:space="preserve">          6248 - UNIFORMS</v>
      </c>
      <c r="C254" s="9"/>
      <c r="D254" s="6"/>
      <c r="E254" s="3"/>
      <c r="F254" s="7">
        <f t="shared" si="44"/>
        <v>0</v>
      </c>
      <c r="G254" s="3"/>
      <c r="H254" s="6"/>
      <c r="I254" s="3"/>
      <c r="J254" s="7">
        <f t="shared" si="45"/>
        <v>0</v>
      </c>
      <c r="K254" s="3"/>
      <c r="L254" s="6">
        <f t="shared" si="46"/>
        <v>0</v>
      </c>
      <c r="M254" s="3"/>
      <c r="N254" s="7">
        <f t="shared" si="47"/>
        <v>0</v>
      </c>
      <c r="O254" s="9"/>
      <c r="P254" s="6">
        <v>9531.84</v>
      </c>
      <c r="Q254" s="3"/>
      <c r="R254" s="7">
        <f t="shared" si="48"/>
        <v>3.8117820725667957E-4</v>
      </c>
      <c r="S254" s="3"/>
      <c r="T254" s="6">
        <v>4500.59</v>
      </c>
      <c r="U254" s="3"/>
      <c r="V254" s="7">
        <f t="shared" si="49"/>
        <v>4.3851338161399851E-4</v>
      </c>
      <c r="W254" s="3"/>
      <c r="X254" s="6">
        <f t="shared" si="50"/>
        <v>5031.25</v>
      </c>
      <c r="Y254" s="3"/>
      <c r="Z254" s="7">
        <f t="shared" si="51"/>
        <v>1.1179089852663762</v>
      </c>
    </row>
    <row r="255" spans="1:26" s="68" customFormat="1" ht="15" customHeight="1" outlineLevel="1" collapsed="1" x14ac:dyDescent="0.3">
      <c r="A255" s="20"/>
      <c r="B255" s="11" t="str">
        <f>CONCATENATE("     ","Telephone/Data Lines                              ")</f>
        <v xml:space="preserve">     Telephone/Data Lines                              </v>
      </c>
      <c r="C255" s="11"/>
      <c r="D255" s="2">
        <f>SUM(OSRRefD22_23x_0)</f>
        <v>2056.0300000000002</v>
      </c>
      <c r="E255" s="2"/>
      <c r="F255" s="5">
        <f t="shared" si="44"/>
        <v>2.1833102637829329E-3</v>
      </c>
      <c r="G255" s="2"/>
      <c r="H255" s="2">
        <f>SUM(OSRRefH22_23x_0)</f>
        <v>5177.72</v>
      </c>
      <c r="I255" s="2"/>
      <c r="J255" s="5">
        <f t="shared" si="45"/>
        <v>1.1480502876766501E-2</v>
      </c>
      <c r="K255" s="2"/>
      <c r="L255" s="2">
        <f t="shared" si="46"/>
        <v>-3121.69</v>
      </c>
      <c r="M255" s="2"/>
      <c r="N255" s="5">
        <f t="shared" si="47"/>
        <v>-0.60290822987724324</v>
      </c>
      <c r="O255" s="11"/>
      <c r="P255" s="2">
        <f>SUM(OSRRefP22_23x_0)</f>
        <v>42578.47</v>
      </c>
      <c r="Q255" s="2"/>
      <c r="R255" s="5">
        <f t="shared" si="48"/>
        <v>1.70271268321041E-3</v>
      </c>
      <c r="S255" s="2"/>
      <c r="T255" s="2">
        <f>SUM(OSRRefT22_23x_0)</f>
        <v>49206.5</v>
      </c>
      <c r="U255" s="2"/>
      <c r="V255" s="5">
        <f t="shared" si="49"/>
        <v>4.7944177790887896E-3</v>
      </c>
      <c r="W255" s="2"/>
      <c r="X255" s="2">
        <f t="shared" si="50"/>
        <v>-6628.0299999999988</v>
      </c>
      <c r="Y255" s="2"/>
      <c r="Z255" s="5">
        <f t="shared" si="51"/>
        <v>-0.13469826140855373</v>
      </c>
    </row>
    <row r="256" spans="1:26" s="69" customFormat="1" ht="15" hidden="1" customHeight="1" outlineLevel="2" x14ac:dyDescent="0.3">
      <c r="A256" s="21"/>
      <c r="B256" s="9" t="str">
        <f>CONCATENATE("          ","6303"," - ","DATA PHONE LINES")</f>
        <v xml:space="preserve">          6303 - DATA PHONE LINES</v>
      </c>
      <c r="C256" s="9"/>
      <c r="D256" s="6"/>
      <c r="E256" s="3"/>
      <c r="F256" s="7">
        <f t="shared" si="44"/>
        <v>0</v>
      </c>
      <c r="G256" s="3"/>
      <c r="H256" s="6"/>
      <c r="I256" s="3"/>
      <c r="J256" s="7">
        <f t="shared" si="45"/>
        <v>0</v>
      </c>
      <c r="K256" s="3"/>
      <c r="L256" s="6">
        <f t="shared" si="46"/>
        <v>0</v>
      </c>
      <c r="M256" s="3"/>
      <c r="N256" s="7">
        <f t="shared" si="47"/>
        <v>0</v>
      </c>
      <c r="O256" s="9"/>
      <c r="P256" s="6">
        <v>295</v>
      </c>
      <c r="Q256" s="3"/>
      <c r="R256" s="7">
        <f t="shared" si="48"/>
        <v>1.1797047699155722E-5</v>
      </c>
      <c r="S256" s="3"/>
      <c r="T256" s="6">
        <v>3540</v>
      </c>
      <c r="U256" s="3"/>
      <c r="V256" s="7">
        <f t="shared" si="49"/>
        <v>3.4491863753720174E-4</v>
      </c>
      <c r="W256" s="3"/>
      <c r="X256" s="6">
        <f t="shared" si="50"/>
        <v>-3245</v>
      </c>
      <c r="Y256" s="3"/>
      <c r="Z256" s="7">
        <f t="shared" si="51"/>
        <v>-0.91666666666666663</v>
      </c>
    </row>
    <row r="257" spans="1:26" s="69" customFormat="1" ht="15" hidden="1" customHeight="1" outlineLevel="2" x14ac:dyDescent="0.3">
      <c r="A257" s="21"/>
      <c r="B257" s="9" t="str">
        <f>CONCATENATE("          ","6309"," - ","TELEPHONE")</f>
        <v xml:space="preserve">          6309 - TELEPHONE</v>
      </c>
      <c r="C257" s="9"/>
      <c r="D257" s="6">
        <v>2056.0300000000002</v>
      </c>
      <c r="E257" s="3"/>
      <c r="F257" s="7">
        <f t="shared" si="44"/>
        <v>2.1833102637829329E-3</v>
      </c>
      <c r="G257" s="3"/>
      <c r="H257" s="6">
        <v>5177.72</v>
      </c>
      <c r="I257" s="3"/>
      <c r="J257" s="7">
        <f t="shared" si="45"/>
        <v>1.1480502876766501E-2</v>
      </c>
      <c r="K257" s="3"/>
      <c r="L257" s="6">
        <f t="shared" si="46"/>
        <v>-3121.69</v>
      </c>
      <c r="M257" s="3"/>
      <c r="N257" s="7">
        <f t="shared" si="47"/>
        <v>-0.60290822987724324</v>
      </c>
      <c r="O257" s="9"/>
      <c r="P257" s="6">
        <v>42283.47</v>
      </c>
      <c r="Q257" s="3"/>
      <c r="R257" s="7">
        <f t="shared" si="48"/>
        <v>1.6909156355112542E-3</v>
      </c>
      <c r="S257" s="3"/>
      <c r="T257" s="6">
        <v>45666.5</v>
      </c>
      <c r="U257" s="3"/>
      <c r="V257" s="7">
        <f t="shared" si="49"/>
        <v>4.4494991415515881E-3</v>
      </c>
      <c r="W257" s="3"/>
      <c r="X257" s="6">
        <f t="shared" si="50"/>
        <v>-3383.0299999999988</v>
      </c>
      <c r="Y257" s="3"/>
      <c r="Z257" s="7">
        <f t="shared" si="51"/>
        <v>-7.408121927452288E-2</v>
      </c>
    </row>
    <row r="258" spans="1:26" s="68" customFormat="1" ht="15" customHeight="1" outlineLevel="1" collapsed="1" x14ac:dyDescent="0.3">
      <c r="A258" s="20"/>
      <c r="B258" s="11" t="str">
        <f>CONCATENATE("     ","Training                                          ")</f>
        <v xml:space="preserve">     Training                                          </v>
      </c>
      <c r="C258" s="11"/>
      <c r="D258" s="2">
        <f>SUM(OSRRefD22_24x_0)</f>
        <v>916.56</v>
      </c>
      <c r="E258" s="2"/>
      <c r="F258" s="5">
        <f t="shared" si="44"/>
        <v>9.7330041651769899E-4</v>
      </c>
      <c r="G258" s="2"/>
      <c r="H258" s="2">
        <f>SUM(OSRRefH22_24x_0)</f>
        <v>506.99</v>
      </c>
      <c r="I258" s="2"/>
      <c r="J258" s="5">
        <f t="shared" si="45"/>
        <v>1.1241434750221813E-3</v>
      </c>
      <c r="K258" s="2"/>
      <c r="L258" s="2">
        <f t="shared" si="46"/>
        <v>409.56999999999994</v>
      </c>
      <c r="M258" s="2"/>
      <c r="N258" s="5">
        <f t="shared" si="47"/>
        <v>0.80784630860569229</v>
      </c>
      <c r="O258" s="11"/>
      <c r="P258" s="2">
        <f>SUM(OSRRefP22_24x_0)</f>
        <v>27486.86</v>
      </c>
      <c r="Q258" s="2"/>
      <c r="R258" s="5">
        <f t="shared" si="48"/>
        <v>1.0991993170170015E-3</v>
      </c>
      <c r="S258" s="2"/>
      <c r="T258" s="2">
        <f>SUM(OSRRefT22_24x_0)</f>
        <v>2688.85</v>
      </c>
      <c r="U258" s="2"/>
      <c r="V258" s="5">
        <f t="shared" si="49"/>
        <v>2.6198714083104657E-4</v>
      </c>
      <c r="W258" s="2"/>
      <c r="X258" s="2">
        <f t="shared" si="50"/>
        <v>24798.010000000002</v>
      </c>
      <c r="Y258" s="2"/>
      <c r="Z258" s="5">
        <f t="shared" si="51"/>
        <v>9.2225337969764034</v>
      </c>
    </row>
    <row r="259" spans="1:26" s="69" customFormat="1" ht="15" hidden="1" customHeight="1" outlineLevel="2" x14ac:dyDescent="0.3">
      <c r="A259" s="21"/>
      <c r="B259" s="9" t="str">
        <f>CONCATENATE("          ","6376"," - ","TRAINING")</f>
        <v xml:space="preserve">          6376 - TRAINING</v>
      </c>
      <c r="C259" s="9"/>
      <c r="D259" s="6">
        <v>916.56</v>
      </c>
      <c r="E259" s="3"/>
      <c r="F259" s="7">
        <f t="shared" si="44"/>
        <v>9.7330041651769899E-4</v>
      </c>
      <c r="G259" s="3"/>
      <c r="H259" s="6">
        <v>506.99</v>
      </c>
      <c r="I259" s="3"/>
      <c r="J259" s="7">
        <f t="shared" si="45"/>
        <v>1.1241434750221813E-3</v>
      </c>
      <c r="K259" s="3"/>
      <c r="L259" s="6">
        <f t="shared" si="46"/>
        <v>409.56999999999994</v>
      </c>
      <c r="M259" s="3"/>
      <c r="N259" s="7">
        <f t="shared" si="47"/>
        <v>0.80784630860569229</v>
      </c>
      <c r="O259" s="9"/>
      <c r="P259" s="6">
        <v>27486.86</v>
      </c>
      <c r="Q259" s="3"/>
      <c r="R259" s="7">
        <f t="shared" si="48"/>
        <v>1.0991993170170015E-3</v>
      </c>
      <c r="S259" s="3"/>
      <c r="T259" s="6">
        <v>2688.85</v>
      </c>
      <c r="U259" s="3"/>
      <c r="V259" s="7">
        <f t="shared" si="49"/>
        <v>2.6198714083104657E-4</v>
      </c>
      <c r="W259" s="3"/>
      <c r="X259" s="6">
        <f t="shared" si="50"/>
        <v>24798.010000000002</v>
      </c>
      <c r="Y259" s="3"/>
      <c r="Z259" s="7">
        <f t="shared" si="51"/>
        <v>9.2225337969764034</v>
      </c>
    </row>
    <row r="260" spans="1:26" s="68" customFormat="1" ht="15" customHeight="1" outlineLevel="1" collapsed="1" x14ac:dyDescent="0.3">
      <c r="A260" s="20"/>
      <c r="B260" s="11" t="str">
        <f>CONCATENATE("     ","Travel                                            ")</f>
        <v xml:space="preserve">     Travel                                            </v>
      </c>
      <c r="C260" s="11"/>
      <c r="D260" s="2">
        <f>SUM(OSRRefD22_25x_0)</f>
        <v>1117.6500000000001</v>
      </c>
      <c r="E260" s="2"/>
      <c r="F260" s="5">
        <f t="shared" si="44"/>
        <v>1.1868390618410211E-3</v>
      </c>
      <c r="G260" s="2"/>
      <c r="H260" s="2">
        <f>SUM(OSRRefH22_25x_0)</f>
        <v>67.62</v>
      </c>
      <c r="I260" s="2"/>
      <c r="J260" s="5">
        <f t="shared" si="45"/>
        <v>1.4993309884021362E-4</v>
      </c>
      <c r="K260" s="2"/>
      <c r="L260" s="2">
        <f t="shared" si="46"/>
        <v>1050.0300000000002</v>
      </c>
      <c r="M260" s="2"/>
      <c r="N260" s="5">
        <f t="shared" si="47"/>
        <v>15.528393966282167</v>
      </c>
      <c r="O260" s="11"/>
      <c r="P260" s="2">
        <f>SUM(OSRRefP22_25x_0)</f>
        <v>3834.5499999999997</v>
      </c>
      <c r="Q260" s="2"/>
      <c r="R260" s="5">
        <f t="shared" si="48"/>
        <v>1.5334362459253412E-4</v>
      </c>
      <c r="S260" s="2"/>
      <c r="T260" s="2">
        <f>SUM(OSRRefT22_25x_0)</f>
        <v>1532.5300000000002</v>
      </c>
      <c r="U260" s="2"/>
      <c r="V260" s="5">
        <f t="shared" si="49"/>
        <v>1.4932151400703046E-4</v>
      </c>
      <c r="W260" s="2"/>
      <c r="X260" s="2">
        <f t="shared" si="50"/>
        <v>2302.0199999999995</v>
      </c>
      <c r="Y260" s="2"/>
      <c r="Z260" s="5">
        <f t="shared" si="51"/>
        <v>1.502104363372984</v>
      </c>
    </row>
    <row r="261" spans="1:26" s="69" customFormat="1" ht="15" hidden="1" customHeight="1" outlineLevel="2" x14ac:dyDescent="0.3">
      <c r="A261" s="21"/>
      <c r="B261" s="9" t="str">
        <f>CONCATENATE("          ","6292"," - ","TRAVEL/CONFERENCE")</f>
        <v xml:space="preserve">          6292 - TRAVEL/CONFERENCE</v>
      </c>
      <c r="C261" s="9"/>
      <c r="D261" s="6"/>
      <c r="E261" s="3"/>
      <c r="F261" s="7">
        <f t="shared" si="44"/>
        <v>0</v>
      </c>
      <c r="G261" s="3"/>
      <c r="H261" s="6"/>
      <c r="I261" s="3"/>
      <c r="J261" s="7">
        <f t="shared" si="45"/>
        <v>0</v>
      </c>
      <c r="K261" s="3"/>
      <c r="L261" s="6">
        <f t="shared" si="46"/>
        <v>0</v>
      </c>
      <c r="M261" s="3"/>
      <c r="N261" s="7">
        <f t="shared" si="47"/>
        <v>0</v>
      </c>
      <c r="O261" s="9"/>
      <c r="P261" s="6">
        <v>1123.5899999999999</v>
      </c>
      <c r="Q261" s="3"/>
      <c r="R261" s="7">
        <f t="shared" si="48"/>
        <v>4.4932355336591107E-5</v>
      </c>
      <c r="S261" s="3"/>
      <c r="T261" s="6">
        <v>299.16000000000003</v>
      </c>
      <c r="U261" s="3"/>
      <c r="V261" s="7">
        <f t="shared" si="49"/>
        <v>2.914854791119471E-5</v>
      </c>
      <c r="W261" s="3"/>
      <c r="X261" s="6">
        <f t="shared" si="50"/>
        <v>824.42999999999984</v>
      </c>
      <c r="Y261" s="3"/>
      <c r="Z261" s="7">
        <f t="shared" si="51"/>
        <v>2.7558162855996784</v>
      </c>
    </row>
    <row r="262" spans="1:26" s="69" customFormat="1" ht="15" hidden="1" customHeight="1" outlineLevel="2" x14ac:dyDescent="0.3">
      <c r="A262" s="21"/>
      <c r="B262" s="9" t="str">
        <f>CONCATENATE("          ","6294"," - ","TRAVEL OPERATIONAL")</f>
        <v xml:space="preserve">          6294 - TRAVEL OPERATIONAL</v>
      </c>
      <c r="C262" s="9"/>
      <c r="D262" s="6">
        <v>1017.65</v>
      </c>
      <c r="E262" s="3"/>
      <c r="F262" s="7">
        <f t="shared" si="44"/>
        <v>1.0806484778620455E-3</v>
      </c>
      <c r="G262" s="3"/>
      <c r="H262" s="6">
        <v>67.62</v>
      </c>
      <c r="I262" s="3"/>
      <c r="J262" s="7">
        <f t="shared" si="45"/>
        <v>1.4993309884021362E-4</v>
      </c>
      <c r="K262" s="3"/>
      <c r="L262" s="6">
        <f t="shared" si="46"/>
        <v>950.03</v>
      </c>
      <c r="M262" s="3"/>
      <c r="N262" s="7">
        <f t="shared" si="47"/>
        <v>14.049541555752734</v>
      </c>
      <c r="O262" s="9"/>
      <c r="P262" s="6">
        <v>1628.52</v>
      </c>
      <c r="Q262" s="3"/>
      <c r="R262" s="7">
        <f t="shared" si="48"/>
        <v>6.5124502098403648E-5</v>
      </c>
      <c r="S262" s="3"/>
      <c r="T262" s="6">
        <v>841.27</v>
      </c>
      <c r="U262" s="3"/>
      <c r="V262" s="7">
        <f t="shared" si="49"/>
        <v>8.1968842429638891E-5</v>
      </c>
      <c r="W262" s="3"/>
      <c r="X262" s="6">
        <f t="shared" si="50"/>
        <v>787.25</v>
      </c>
      <c r="Y262" s="3"/>
      <c r="Z262" s="7">
        <f t="shared" si="51"/>
        <v>0.93578755928536617</v>
      </c>
    </row>
    <row r="263" spans="1:26" s="69" customFormat="1" ht="15" hidden="1" customHeight="1" outlineLevel="2" x14ac:dyDescent="0.3">
      <c r="A263" s="21"/>
      <c r="B263" s="9" t="str">
        <f>CONCATENATE("          ","6298"," - ","VEHICLE MILEAGE")</f>
        <v xml:space="preserve">          6298 - VEHICLE MILEAGE</v>
      </c>
      <c r="C263" s="9"/>
      <c r="D263" s="6">
        <v>100</v>
      </c>
      <c r="E263" s="3"/>
      <c r="F263" s="7">
        <f t="shared" si="44"/>
        <v>1.0619058397897563E-4</v>
      </c>
      <c r="G263" s="3"/>
      <c r="H263" s="6"/>
      <c r="I263" s="3"/>
      <c r="J263" s="7">
        <f t="shared" si="45"/>
        <v>0</v>
      </c>
      <c r="K263" s="3"/>
      <c r="L263" s="6">
        <f t="shared" si="46"/>
        <v>100</v>
      </c>
      <c r="M263" s="3"/>
      <c r="N263" s="7">
        <f t="shared" si="47"/>
        <v>0</v>
      </c>
      <c r="O263" s="9"/>
      <c r="P263" s="6">
        <v>1082.44</v>
      </c>
      <c r="Q263" s="3"/>
      <c r="R263" s="7">
        <f t="shared" si="48"/>
        <v>4.328676715753939E-5</v>
      </c>
      <c r="S263" s="3"/>
      <c r="T263" s="6">
        <v>392.1</v>
      </c>
      <c r="U263" s="3"/>
      <c r="V263" s="7">
        <f t="shared" si="49"/>
        <v>3.8204123666196833E-5</v>
      </c>
      <c r="W263" s="3"/>
      <c r="X263" s="6">
        <f t="shared" si="50"/>
        <v>690.34</v>
      </c>
      <c r="Y263" s="3"/>
      <c r="Z263" s="7">
        <f t="shared" si="51"/>
        <v>1.7606222902320836</v>
      </c>
    </row>
    <row r="264" spans="1:26" s="68" customFormat="1" ht="15" customHeight="1" outlineLevel="1" collapsed="1" x14ac:dyDescent="0.3">
      <c r="A264" s="20"/>
      <c r="B264" s="11" t="str">
        <f>CONCATENATE("     ","Utilities                                         ")</f>
        <v xml:space="preserve">     Utilities                                         </v>
      </c>
      <c r="C264" s="11"/>
      <c r="D264" s="2">
        <f>SUM(OSRRefD22_26x_0)</f>
        <v>20648.830000000002</v>
      </c>
      <c r="E264" s="2"/>
      <c r="F264" s="5">
        <f t="shared" si="44"/>
        <v>2.1927113161825915E-2</v>
      </c>
      <c r="G264" s="2"/>
      <c r="H264" s="2">
        <f>SUM(OSRRefH22_26x_0)</f>
        <v>44905.94</v>
      </c>
      <c r="I264" s="2"/>
      <c r="J264" s="5">
        <f t="shared" si="45"/>
        <v>9.9569457860584187E-2</v>
      </c>
      <c r="K264" s="2"/>
      <c r="L264" s="2">
        <f t="shared" si="46"/>
        <v>-24257.11</v>
      </c>
      <c r="M264" s="2"/>
      <c r="N264" s="5">
        <f t="shared" si="47"/>
        <v>-0.54017597671933826</v>
      </c>
      <c r="O264" s="11"/>
      <c r="P264" s="2">
        <f>SUM(OSRRefP22_26x_0)</f>
        <v>215156.38</v>
      </c>
      <c r="Q264" s="2"/>
      <c r="R264" s="5">
        <f t="shared" si="48"/>
        <v>8.6041019580938103E-3</v>
      </c>
      <c r="S264" s="2"/>
      <c r="T264" s="2">
        <f>SUM(OSRRefT22_26x_0)</f>
        <v>122504.39</v>
      </c>
      <c r="U264" s="2"/>
      <c r="V264" s="5">
        <f t="shared" si="49"/>
        <v>1.1936171551165536E-2</v>
      </c>
      <c r="W264" s="2"/>
      <c r="X264" s="2">
        <f t="shared" si="50"/>
        <v>92651.99</v>
      </c>
      <c r="Y264" s="2"/>
      <c r="Z264" s="5">
        <f t="shared" si="51"/>
        <v>0.75631567162613522</v>
      </c>
    </row>
    <row r="265" spans="1:26" s="69" customFormat="1" ht="15" hidden="1" customHeight="1" outlineLevel="2" x14ac:dyDescent="0.3">
      <c r="A265" s="21"/>
      <c r="B265" s="9" t="str">
        <f>CONCATENATE("          ","6274"," - ","UTILITIES")</f>
        <v xml:space="preserve">          6274 - UTILITIES</v>
      </c>
      <c r="C265" s="9"/>
      <c r="D265" s="6">
        <v>20648.830000000002</v>
      </c>
      <c r="E265" s="3"/>
      <c r="F265" s="7">
        <f t="shared" si="44"/>
        <v>2.1927113161825915E-2</v>
      </c>
      <c r="G265" s="3"/>
      <c r="H265" s="6">
        <v>44905.94</v>
      </c>
      <c r="I265" s="3"/>
      <c r="J265" s="7">
        <f t="shared" si="45"/>
        <v>9.9569457860584187E-2</v>
      </c>
      <c r="K265" s="3"/>
      <c r="L265" s="6">
        <f t="shared" si="46"/>
        <v>-24257.11</v>
      </c>
      <c r="M265" s="3"/>
      <c r="N265" s="7">
        <f t="shared" si="47"/>
        <v>-0.54017597671933826</v>
      </c>
      <c r="O265" s="9"/>
      <c r="P265" s="6">
        <v>215156.38</v>
      </c>
      <c r="Q265" s="3"/>
      <c r="R265" s="7">
        <f t="shared" si="48"/>
        <v>8.6041019580938103E-3</v>
      </c>
      <c r="S265" s="3"/>
      <c r="T265" s="6">
        <v>122504.39</v>
      </c>
      <c r="U265" s="3"/>
      <c r="V265" s="7">
        <f t="shared" si="49"/>
        <v>1.1936171551165536E-2</v>
      </c>
      <c r="W265" s="3"/>
      <c r="X265" s="6">
        <f t="shared" si="50"/>
        <v>92651.99</v>
      </c>
      <c r="Y265" s="3"/>
      <c r="Z265" s="7">
        <f t="shared" si="51"/>
        <v>0.75631567162613522</v>
      </c>
    </row>
    <row r="266" spans="1:26" s="64" customFormat="1" ht="15" customHeight="1" x14ac:dyDescent="0.3">
      <c r="A266" s="37"/>
      <c r="B266" s="37"/>
      <c r="C266" s="37"/>
      <c r="D266" s="2"/>
      <c r="E266" s="2"/>
      <c r="F266" s="5"/>
      <c r="G266" s="2"/>
      <c r="H266" s="2"/>
      <c r="I266" s="2"/>
      <c r="J266" s="5"/>
      <c r="K266" s="2"/>
      <c r="L266" s="2"/>
      <c r="M266" s="2"/>
      <c r="N266" s="5"/>
      <c r="O266" s="37"/>
      <c r="P266" s="2"/>
      <c r="Q266" s="2"/>
      <c r="R266" s="5"/>
      <c r="S266" s="2"/>
      <c r="T266" s="2"/>
      <c r="U266" s="2"/>
      <c r="V266" s="5"/>
      <c r="W266" s="2"/>
      <c r="X266" s="2"/>
      <c r="Y266" s="2"/>
      <c r="Z266" s="5"/>
    </row>
    <row r="267" spans="1:26" s="62" customFormat="1" ht="15" customHeight="1" collapsed="1" x14ac:dyDescent="0.3">
      <c r="A267" s="13"/>
      <c r="B267" s="27" t="s">
        <v>290</v>
      </c>
      <c r="C267" s="13"/>
      <c r="D267" s="8">
        <f>SUM(OSRRefD25x_0)</f>
        <v>49323.299999999996</v>
      </c>
      <c r="E267" s="8"/>
      <c r="F267" s="14">
        <f t="shared" ref="F267:F276" si="52">IF(D$12=0,0,D267/D$12)</f>
        <v>5.2376700307702084E-2</v>
      </c>
      <c r="G267" s="8"/>
      <c r="H267" s="8">
        <f>SUM(OSRRefH25x_0)</f>
        <v>405273.88999999996</v>
      </c>
      <c r="I267" s="8"/>
      <c r="J267" s="14">
        <f t="shared" ref="J267:J276" si="53">IF(H$12=0,0,H267/H$12)</f>
        <v>0.89860943813557903</v>
      </c>
      <c r="K267" s="8"/>
      <c r="L267" s="8">
        <f t="shared" ref="L267:L276" si="54">+D267-H267</f>
        <v>-355950.58999999997</v>
      </c>
      <c r="M267" s="8"/>
      <c r="N267" s="14">
        <f t="shared" ref="N267:N276" si="55">IF(H267=0,0,L267/H267)</f>
        <v>-0.87829637877732514</v>
      </c>
      <c r="O267" s="13"/>
      <c r="P267" s="8">
        <f>SUM(OSRRefP25x_0)</f>
        <v>1679842.7</v>
      </c>
      <c r="Q267" s="8"/>
      <c r="R267" s="14">
        <f t="shared" ref="R267:R276" si="56">IF(P$12=0,0,P267/P$12)</f>
        <v>6.7176896471113676E-2</v>
      </c>
      <c r="S267" s="8"/>
      <c r="T267" s="8">
        <f>SUM(OSRRefT25x_0)</f>
        <v>1487383.5100000002</v>
      </c>
      <c r="U267" s="8"/>
      <c r="V267" s="14">
        <f t="shared" ref="V267:V276" si="57">IF(T$12=0,0,T267/T$12)</f>
        <v>0.14492268185437879</v>
      </c>
      <c r="W267" s="8"/>
      <c r="X267" s="8">
        <f t="shared" ref="X267:X276" si="58">+P267-T267</f>
        <v>192459.18999999971</v>
      </c>
      <c r="Y267" s="8"/>
      <c r="Z267" s="14">
        <f t="shared" ref="Z267:Z276" si="59">IF(T267=0,0,X267/T267)</f>
        <v>0.129394462629211</v>
      </c>
    </row>
    <row r="268" spans="1:26" s="69" customFormat="1" ht="15" hidden="1" customHeight="1" outlineLevel="1" x14ac:dyDescent="0.3">
      <c r="A268" s="47"/>
      <c r="B268" s="9" t="str">
        <f>CONCATENATE("          ","4098"," - ","TAXABLE SALES-GRAD RENTALS")</f>
        <v xml:space="preserve">          4098 - TAXABLE SALES-GRAD RENTALS</v>
      </c>
      <c r="C268" s="9"/>
      <c r="D268" s="3">
        <f>0</f>
        <v>0</v>
      </c>
      <c r="E268" s="3"/>
      <c r="F268" s="26">
        <f t="shared" si="52"/>
        <v>0</v>
      </c>
      <c r="G268" s="3"/>
      <c r="H268" s="3">
        <f>--1017.7</f>
        <v>1017.7</v>
      </c>
      <c r="I268" s="3"/>
      <c r="J268" s="26">
        <f t="shared" si="53"/>
        <v>2.2565352660408964E-3</v>
      </c>
      <c r="K268" s="3"/>
      <c r="L268" s="3">
        <f t="shared" si="54"/>
        <v>-1017.7</v>
      </c>
      <c r="M268" s="3"/>
      <c r="N268" s="26">
        <f t="shared" si="55"/>
        <v>-1</v>
      </c>
      <c r="O268" s="9"/>
      <c r="P268" s="3">
        <f>0</f>
        <v>0</v>
      </c>
      <c r="Q268" s="3"/>
      <c r="R268" s="26">
        <f t="shared" si="56"/>
        <v>0</v>
      </c>
      <c r="S268" s="3"/>
      <c r="T268" s="3">
        <f>--1067.65</f>
        <v>1067.6500000000001</v>
      </c>
      <c r="U268" s="3"/>
      <c r="V268" s="26">
        <f t="shared" si="57"/>
        <v>1.0402609699621283E-4</v>
      </c>
      <c r="W268" s="3"/>
      <c r="X268" s="3">
        <f t="shared" si="58"/>
        <v>-1067.6500000000001</v>
      </c>
      <c r="Y268" s="3"/>
      <c r="Z268" s="26">
        <f t="shared" si="59"/>
        <v>-1</v>
      </c>
    </row>
    <row r="269" spans="1:26" s="69" customFormat="1" ht="15" hidden="1" customHeight="1" outlineLevel="1" x14ac:dyDescent="0.3">
      <c r="A269" s="47"/>
      <c r="B269" s="9" t="str">
        <f>CONCATENATE("          ","4187"," - ","NON-TAXABLE SALES-COMPUTER REP")</f>
        <v xml:space="preserve">          4187 - NON-TAXABLE SALES-COMPUTER REP</v>
      </c>
      <c r="C269" s="9"/>
      <c r="D269" s="3">
        <f>0</f>
        <v>0</v>
      </c>
      <c r="E269" s="3"/>
      <c r="F269" s="26">
        <f t="shared" si="52"/>
        <v>0</v>
      </c>
      <c r="G269" s="3"/>
      <c r="H269" s="3">
        <f>--189.31</f>
        <v>189.31</v>
      </c>
      <c r="I269" s="3"/>
      <c r="J269" s="26">
        <f t="shared" si="53"/>
        <v>4.1975502723219226E-4</v>
      </c>
      <c r="K269" s="3"/>
      <c r="L269" s="3">
        <f t="shared" si="54"/>
        <v>-189.31</v>
      </c>
      <c r="M269" s="3"/>
      <c r="N269" s="26">
        <f t="shared" si="55"/>
        <v>-1</v>
      </c>
      <c r="O269" s="9"/>
      <c r="P269" s="3">
        <f>0</f>
        <v>0</v>
      </c>
      <c r="Q269" s="3"/>
      <c r="R269" s="26">
        <f t="shared" si="56"/>
        <v>0</v>
      </c>
      <c r="S269" s="3"/>
      <c r="T269" s="3">
        <f>--3769.75</f>
        <v>3769.75</v>
      </c>
      <c r="U269" s="3"/>
      <c r="V269" s="26">
        <f t="shared" si="57"/>
        <v>3.673042468519396E-4</v>
      </c>
      <c r="W269" s="3"/>
      <c r="X269" s="3">
        <f t="shared" si="58"/>
        <v>-3769.75</v>
      </c>
      <c r="Y269" s="3"/>
      <c r="Z269" s="26">
        <f t="shared" si="59"/>
        <v>-1</v>
      </c>
    </row>
    <row r="270" spans="1:26" s="69" customFormat="1" ht="15" hidden="1" customHeight="1" outlineLevel="1" x14ac:dyDescent="0.3">
      <c r="A270" s="47"/>
      <c r="B270" s="9" t="str">
        <f>CONCATENATE("          ","9087"," - ","")</f>
        <v xml:space="preserve">          9087 - </v>
      </c>
      <c r="C270" s="9"/>
      <c r="D270" s="3">
        <f>-711.04</f>
        <v>-711.04</v>
      </c>
      <c r="E270" s="3"/>
      <c r="F270" s="26">
        <f t="shared" si="52"/>
        <v>-7.5505752832410826E-4</v>
      </c>
      <c r="G270" s="3"/>
      <c r="H270" s="3">
        <f>0</f>
        <v>0</v>
      </c>
      <c r="I270" s="3"/>
      <c r="J270" s="26">
        <f t="shared" si="53"/>
        <v>0</v>
      </c>
      <c r="K270" s="3"/>
      <c r="L270" s="3">
        <f t="shared" si="54"/>
        <v>-711.04</v>
      </c>
      <c r="M270" s="3"/>
      <c r="N270" s="26">
        <f t="shared" si="55"/>
        <v>0</v>
      </c>
      <c r="O270" s="9"/>
      <c r="P270" s="3">
        <f>-5.4</f>
        <v>-5.4</v>
      </c>
      <c r="Q270" s="3"/>
      <c r="R270" s="26">
        <f t="shared" si="56"/>
        <v>-2.159459578828505E-7</v>
      </c>
      <c r="S270" s="3"/>
      <c r="T270" s="3">
        <f>0</f>
        <v>0</v>
      </c>
      <c r="U270" s="3"/>
      <c r="V270" s="26">
        <f t="shared" si="57"/>
        <v>0</v>
      </c>
      <c r="W270" s="3"/>
      <c r="X270" s="3">
        <f t="shared" si="58"/>
        <v>-5.4</v>
      </c>
      <c r="Y270" s="3"/>
      <c r="Z270" s="26">
        <f t="shared" si="59"/>
        <v>0</v>
      </c>
    </row>
    <row r="271" spans="1:26" s="69" customFormat="1" ht="15" hidden="1" customHeight="1" outlineLevel="1" x14ac:dyDescent="0.3">
      <c r="A271" s="47"/>
      <c r="B271" s="9" t="str">
        <f>CONCATENATE("          ","9150"," - ","MISC. INCOME")</f>
        <v xml:space="preserve">          9150 - MISC. INCOME</v>
      </c>
      <c r="C271" s="9"/>
      <c r="D271" s="3">
        <f>--27716.26</f>
        <v>27716.26</v>
      </c>
      <c r="E271" s="3"/>
      <c r="F271" s="26">
        <f t="shared" si="52"/>
        <v>2.9432058351131229E-2</v>
      </c>
      <c r="G271" s="3"/>
      <c r="H271" s="3">
        <f>--22973.99</f>
        <v>22973.99</v>
      </c>
      <c r="I271" s="3"/>
      <c r="J271" s="26">
        <f t="shared" si="53"/>
        <v>5.0939980973440983E-2</v>
      </c>
      <c r="K271" s="3"/>
      <c r="L271" s="3">
        <f t="shared" si="54"/>
        <v>4742.2699999999968</v>
      </c>
      <c r="M271" s="3"/>
      <c r="N271" s="26">
        <f t="shared" si="55"/>
        <v>0.20641908523508526</v>
      </c>
      <c r="O271" s="9"/>
      <c r="P271" s="3">
        <f>--686425.47</f>
        <v>686425.47</v>
      </c>
      <c r="Q271" s="3"/>
      <c r="R271" s="26">
        <f t="shared" si="56"/>
        <v>2.7450149191543677E-2</v>
      </c>
      <c r="S271" s="3"/>
      <c r="T271" s="3">
        <f>--434694.89</f>
        <v>434694.89</v>
      </c>
      <c r="U271" s="3"/>
      <c r="V271" s="26">
        <f t="shared" si="57"/>
        <v>4.2354341582820275E-2</v>
      </c>
      <c r="W271" s="3"/>
      <c r="X271" s="3">
        <f t="shared" si="58"/>
        <v>251730.57999999996</v>
      </c>
      <c r="Y271" s="3"/>
      <c r="Z271" s="26">
        <f t="shared" si="59"/>
        <v>0.57909716859105465</v>
      </c>
    </row>
    <row r="272" spans="1:26" s="69" customFormat="1" ht="15" hidden="1" customHeight="1" outlineLevel="1" x14ac:dyDescent="0.3">
      <c r="A272" s="47"/>
      <c r="B272" s="9" t="str">
        <f>CONCATENATE("          ","9151"," - ","MISC. INCOME")</f>
        <v xml:space="preserve">          9151 - MISC. INCOME</v>
      </c>
      <c r="C272" s="9"/>
      <c r="D272" s="3">
        <f>--4094.51</f>
        <v>4094.51</v>
      </c>
      <c r="E272" s="3"/>
      <c r="F272" s="26">
        <f t="shared" si="52"/>
        <v>4.3479840800775549E-3</v>
      </c>
      <c r="G272" s="3"/>
      <c r="H272" s="3">
        <f>0</f>
        <v>0</v>
      </c>
      <c r="I272" s="3"/>
      <c r="J272" s="26">
        <f t="shared" si="53"/>
        <v>0</v>
      </c>
      <c r="K272" s="3"/>
      <c r="L272" s="3">
        <f t="shared" si="54"/>
        <v>4094.51</v>
      </c>
      <c r="M272" s="3"/>
      <c r="N272" s="26">
        <f t="shared" si="55"/>
        <v>0</v>
      </c>
      <c r="O272" s="9"/>
      <c r="P272" s="3">
        <f>--328482.25</f>
        <v>328482.25</v>
      </c>
      <c r="Q272" s="3"/>
      <c r="R272" s="26">
        <f t="shared" si="56"/>
        <v>1.3136002615511845E-2</v>
      </c>
      <c r="S272" s="3"/>
      <c r="T272" s="3">
        <f>--295628.46</f>
        <v>295628.46000000002</v>
      </c>
      <c r="U272" s="3"/>
      <c r="V272" s="26">
        <f t="shared" si="57"/>
        <v>2.8804453570740435E-2</v>
      </c>
      <c r="W272" s="3"/>
      <c r="X272" s="3">
        <f t="shared" si="58"/>
        <v>32853.789999999979</v>
      </c>
      <c r="Y272" s="3"/>
      <c r="Z272" s="26">
        <f t="shared" si="59"/>
        <v>0.1111320270044365</v>
      </c>
    </row>
    <row r="273" spans="1:26" s="69" customFormat="1" ht="15" hidden="1" customHeight="1" outlineLevel="1" x14ac:dyDescent="0.3">
      <c r="A273" s="47"/>
      <c r="B273" s="9" t="str">
        <f>CONCATENATE("          ","9152"," - ","MISC. INCOME")</f>
        <v xml:space="preserve">          9152 - MISC. INCOME</v>
      </c>
      <c r="C273" s="9"/>
      <c r="D273" s="3">
        <f>--221.07</f>
        <v>221.07</v>
      </c>
      <c r="E273" s="3"/>
      <c r="F273" s="26">
        <f t="shared" si="52"/>
        <v>2.3475552400232142E-4</v>
      </c>
      <c r="G273" s="3"/>
      <c r="H273" s="3">
        <f>--1755.54</f>
        <v>1755.54</v>
      </c>
      <c r="I273" s="3"/>
      <c r="J273" s="26">
        <f t="shared" si="53"/>
        <v>3.8925399635898936E-3</v>
      </c>
      <c r="K273" s="3"/>
      <c r="L273" s="3">
        <f t="shared" si="54"/>
        <v>-1534.47</v>
      </c>
      <c r="M273" s="3"/>
      <c r="N273" s="26">
        <f t="shared" si="55"/>
        <v>-0.87407293482347315</v>
      </c>
      <c r="O273" s="9"/>
      <c r="P273" s="3">
        <f>--5468.18</f>
        <v>5468.18</v>
      </c>
      <c r="Q273" s="3"/>
      <c r="R273" s="26">
        <f t="shared" si="56"/>
        <v>2.186724755510825E-4</v>
      </c>
      <c r="S273" s="3"/>
      <c r="T273" s="3">
        <f>--7408.11</f>
        <v>7408.11</v>
      </c>
      <c r="U273" s="3"/>
      <c r="V273" s="26">
        <f t="shared" si="57"/>
        <v>7.2180655591122013E-4</v>
      </c>
      <c r="W273" s="3"/>
      <c r="X273" s="3">
        <f t="shared" si="58"/>
        <v>-1939.9299999999994</v>
      </c>
      <c r="Y273" s="3"/>
      <c r="Z273" s="26">
        <f t="shared" si="59"/>
        <v>-0.26186571203721321</v>
      </c>
    </row>
    <row r="274" spans="1:26" s="69" customFormat="1" ht="15" hidden="1" customHeight="1" outlineLevel="1" x14ac:dyDescent="0.3">
      <c r="A274" s="47"/>
      <c r="B274" s="9" t="str">
        <f>CONCATENATE("          ","9160"," - ","MISC. INCOME")</f>
        <v xml:space="preserve">          9160 - MISC. INCOME</v>
      </c>
      <c r="C274" s="9"/>
      <c r="D274" s="3">
        <f>0</f>
        <v>0</v>
      </c>
      <c r="E274" s="3"/>
      <c r="F274" s="26">
        <f t="shared" si="52"/>
        <v>0</v>
      </c>
      <c r="G274" s="3"/>
      <c r="H274" s="3">
        <f>0</f>
        <v>0</v>
      </c>
      <c r="I274" s="3"/>
      <c r="J274" s="26">
        <f t="shared" si="53"/>
        <v>0</v>
      </c>
      <c r="K274" s="3"/>
      <c r="L274" s="3">
        <f t="shared" si="54"/>
        <v>0</v>
      </c>
      <c r="M274" s="3"/>
      <c r="N274" s="26">
        <f t="shared" si="55"/>
        <v>0</v>
      </c>
      <c r="O274" s="9"/>
      <c r="P274" s="3">
        <f>0</f>
        <v>0</v>
      </c>
      <c r="Q274" s="3"/>
      <c r="R274" s="26">
        <f t="shared" si="56"/>
        <v>0</v>
      </c>
      <c r="S274" s="3"/>
      <c r="T274" s="3">
        <f>--13615.06</f>
        <v>13615.06</v>
      </c>
      <c r="U274" s="3"/>
      <c r="V274" s="26">
        <f t="shared" si="57"/>
        <v>1.3265785155896195E-3</v>
      </c>
      <c r="W274" s="3"/>
      <c r="X274" s="3">
        <f t="shared" si="58"/>
        <v>-13615.06</v>
      </c>
      <c r="Y274" s="3"/>
      <c r="Z274" s="26">
        <f t="shared" si="59"/>
        <v>-1</v>
      </c>
    </row>
    <row r="275" spans="1:26" s="69" customFormat="1" ht="15" hidden="1" customHeight="1" outlineLevel="1" x14ac:dyDescent="0.3">
      <c r="A275" s="47"/>
      <c r="B275" s="9" t="str">
        <f>CONCATENATE("          ","9163"," - ","MISC. INCOME")</f>
        <v xml:space="preserve">          9163 - MISC. INCOME</v>
      </c>
      <c r="C275" s="9"/>
      <c r="D275" s="3">
        <f>--18002.5</f>
        <v>18002.5</v>
      </c>
      <c r="E275" s="3"/>
      <c r="F275" s="26">
        <f t="shared" si="52"/>
        <v>1.9116959880815087E-2</v>
      </c>
      <c r="G275" s="3"/>
      <c r="H275" s="3">
        <f>--378760.49</f>
        <v>378760.49</v>
      </c>
      <c r="I275" s="3"/>
      <c r="J275" s="26">
        <f t="shared" si="53"/>
        <v>0.83982156143060838</v>
      </c>
      <c r="K275" s="3"/>
      <c r="L275" s="3">
        <f t="shared" si="54"/>
        <v>-360757.99</v>
      </c>
      <c r="M275" s="3"/>
      <c r="N275" s="26">
        <f t="shared" si="55"/>
        <v>-0.95246996327415245</v>
      </c>
      <c r="O275" s="9"/>
      <c r="P275" s="3">
        <f>--659472.2</f>
        <v>659472.19999999995</v>
      </c>
      <c r="Q275" s="3"/>
      <c r="R275" s="26">
        <f t="shared" si="56"/>
        <v>2.6372288134464954E-2</v>
      </c>
      <c r="S275" s="3"/>
      <c r="T275" s="3">
        <f>--727101.05</f>
        <v>727101.05</v>
      </c>
      <c r="U275" s="3"/>
      <c r="V275" s="26">
        <f t="shared" si="57"/>
        <v>7.084483150222283E-2</v>
      </c>
      <c r="W275" s="3"/>
      <c r="X275" s="3">
        <f t="shared" si="58"/>
        <v>-67628.850000000093</v>
      </c>
      <c r="Y275" s="3"/>
      <c r="Z275" s="26">
        <f t="shared" si="59"/>
        <v>-9.3011624725339193E-2</v>
      </c>
    </row>
    <row r="276" spans="1:26" s="69" customFormat="1" ht="15" hidden="1" customHeight="1" outlineLevel="1" x14ac:dyDescent="0.3">
      <c r="A276" s="47"/>
      <c r="B276" s="9" t="str">
        <f>CONCATENATE("          ","9165"," - ","OTHER INCOME")</f>
        <v xml:space="preserve">          9165 - OTHER INCOME</v>
      </c>
      <c r="C276" s="9"/>
      <c r="D276" s="3">
        <f>0</f>
        <v>0</v>
      </c>
      <c r="E276" s="3"/>
      <c r="F276" s="26">
        <f t="shared" si="52"/>
        <v>0</v>
      </c>
      <c r="G276" s="3"/>
      <c r="H276" s="3">
        <f>--576.86</f>
        <v>576.86</v>
      </c>
      <c r="I276" s="3"/>
      <c r="J276" s="26">
        <f t="shared" si="53"/>
        <v>1.2790654746667499E-3</v>
      </c>
      <c r="K276" s="3"/>
      <c r="L276" s="3">
        <f t="shared" si="54"/>
        <v>-576.86</v>
      </c>
      <c r="M276" s="3"/>
      <c r="N276" s="26">
        <f t="shared" si="55"/>
        <v>-1</v>
      </c>
      <c r="O276" s="9"/>
      <c r="P276" s="3">
        <f>0</f>
        <v>0</v>
      </c>
      <c r="Q276" s="3"/>
      <c r="R276" s="26">
        <f t="shared" si="56"/>
        <v>0</v>
      </c>
      <c r="S276" s="3"/>
      <c r="T276" s="3">
        <f>--4098.54</f>
        <v>4098.54</v>
      </c>
      <c r="U276" s="3"/>
      <c r="V276" s="26">
        <f t="shared" si="57"/>
        <v>3.9933978324624935E-4</v>
      </c>
      <c r="W276" s="3"/>
      <c r="X276" s="3">
        <f t="shared" si="58"/>
        <v>-4098.54</v>
      </c>
      <c r="Y276" s="3"/>
      <c r="Z276" s="26">
        <f t="shared" si="59"/>
        <v>-1</v>
      </c>
    </row>
    <row r="277" spans="1:26" ht="15" customHeight="1" x14ac:dyDescent="0.3">
      <c r="A277" s="12"/>
      <c r="B277" s="13"/>
      <c r="C277" s="13"/>
      <c r="D277" s="4"/>
      <c r="E277" s="4"/>
      <c r="F277" s="10"/>
      <c r="G277" s="4"/>
      <c r="H277" s="4"/>
      <c r="I277" s="4"/>
      <c r="J277" s="10"/>
      <c r="K277" s="4"/>
      <c r="L277" s="4"/>
      <c r="M277" s="4"/>
      <c r="N277" s="10"/>
      <c r="O277" s="13"/>
      <c r="P277" s="4"/>
      <c r="Q277" s="4"/>
      <c r="R277" s="10"/>
      <c r="S277" s="4"/>
      <c r="T277" s="4"/>
      <c r="U277" s="4"/>
      <c r="V277" s="10"/>
      <c r="W277" s="4"/>
      <c r="X277" s="4"/>
      <c r="Y277" s="4"/>
      <c r="Z277" s="10"/>
    </row>
    <row r="278" spans="1:26" s="62" customFormat="1" ht="15" customHeight="1" x14ac:dyDescent="0.3">
      <c r="A278" s="13"/>
      <c r="B278" s="28" t="s">
        <v>291</v>
      </c>
      <c r="C278" s="28"/>
      <c r="D278" s="22">
        <f>+D168-D170+D267</f>
        <v>-524774.91000000015</v>
      </c>
      <c r="E278" s="15"/>
      <c r="F278" s="24">
        <f>IF(D$12=0,0,D278/D$12)</f>
        <v>-0.55726154150414398</v>
      </c>
      <c r="G278" s="15"/>
      <c r="H278" s="22">
        <f>+H168-H170+H267</f>
        <v>-93426.650000000081</v>
      </c>
      <c r="I278" s="15"/>
      <c r="J278" s="24">
        <f>IF(H$12=0,0,H278/H$12)</f>
        <v>-0.20715390637030545</v>
      </c>
      <c r="K278" s="17"/>
      <c r="L278" s="22">
        <f>+D278-H278</f>
        <v>-431348.26000000007</v>
      </c>
      <c r="M278" s="17"/>
      <c r="N278" s="24">
        <f>IF(H278=0,0,L278/H278)</f>
        <v>4.6169723521072381</v>
      </c>
      <c r="O278" s="27"/>
      <c r="P278" s="22">
        <f>+P168-P170+P267</f>
        <v>3667628.3300000085</v>
      </c>
      <c r="Q278" s="15"/>
      <c r="R278" s="24">
        <f>IF(P$12=0,0,P278/P$12)</f>
        <v>0.14666842831113538</v>
      </c>
      <c r="S278" s="15"/>
      <c r="T278" s="22">
        <f>+T168-T170+T267</f>
        <v>-2559372.7899999986</v>
      </c>
      <c r="U278" s="15"/>
      <c r="V278" s="24">
        <f>IF(T$12=0,0,T278/T$12)</f>
        <v>-0.24937157504988311</v>
      </c>
      <c r="W278" s="17"/>
      <c r="X278" s="22">
        <f>+P278-T278</f>
        <v>6227001.1200000066</v>
      </c>
      <c r="Y278" s="17"/>
      <c r="Z278" s="24">
        <f>IF(T278=0,0,X278/T278)</f>
        <v>-2.4330184115148032</v>
      </c>
    </row>
    <row r="279" spans="1:26" ht="15" customHeight="1" x14ac:dyDescent="0.3">
      <c r="A279" s="12"/>
      <c r="B279" s="13"/>
      <c r="C279" s="12"/>
      <c r="D279" s="4"/>
      <c r="E279" s="4"/>
      <c r="F279" s="10"/>
      <c r="G279" s="4"/>
      <c r="H279" s="4"/>
      <c r="I279" s="4"/>
      <c r="J279" s="10"/>
      <c r="K279" s="4"/>
      <c r="L279" s="4"/>
      <c r="M279" s="4"/>
      <c r="N279" s="10"/>
      <c r="P279" s="4"/>
      <c r="Q279" s="4"/>
      <c r="R279" s="10"/>
      <c r="S279" s="4"/>
      <c r="T279" s="4"/>
      <c r="U279" s="4"/>
      <c r="V279" s="10"/>
      <c r="W279" s="4"/>
      <c r="X279" s="4"/>
      <c r="Y279" s="4"/>
      <c r="Z279" s="10"/>
    </row>
    <row r="280" spans="1:26" s="62" customFormat="1" ht="15" customHeight="1" x14ac:dyDescent="0.3">
      <c r="A280" s="48"/>
      <c r="B280" s="13" t="s">
        <v>292</v>
      </c>
      <c r="C280" s="13"/>
      <c r="D280" s="8">
        <v>-5588405.4100000001</v>
      </c>
      <c r="E280" s="8"/>
      <c r="F280" s="14">
        <f>IF(D$12=0,0,D280/D$12)</f>
        <v>-5.9343603399916676</v>
      </c>
      <c r="G280" s="8"/>
      <c r="H280" s="8">
        <v>744030.66</v>
      </c>
      <c r="I280" s="8"/>
      <c r="J280" s="14">
        <f>IF(H$12=0,0,H280/H$12)</f>
        <v>1.6497311813949922</v>
      </c>
      <c r="K280" s="8"/>
      <c r="L280" s="8">
        <f>+D280-H280</f>
        <v>-6332436.0700000003</v>
      </c>
      <c r="M280" s="8"/>
      <c r="N280" s="14">
        <f>IF(H280=0,0,L280/H280)</f>
        <v>-8.5109880686906099</v>
      </c>
      <c r="O280" s="13"/>
      <c r="P280" s="8">
        <v>-2882939.47</v>
      </c>
      <c r="Q280" s="8"/>
      <c r="R280" s="14">
        <f>IF(P$12=0,0,P280/P$12)</f>
        <v>-0.11528872691989396</v>
      </c>
      <c r="S280" s="8"/>
      <c r="T280" s="8">
        <v>2840823.75</v>
      </c>
      <c r="U280" s="8"/>
      <c r="V280" s="14">
        <f>IF(T$12=0,0,T280/T$12)</f>
        <v>0.27679464896421585</v>
      </c>
      <c r="W280" s="8"/>
      <c r="X280" s="8">
        <f>+P280-T280</f>
        <v>-5723763.2200000007</v>
      </c>
      <c r="Y280" s="8"/>
      <c r="Z280" s="14">
        <f>IF(T280=0,0,X280/T280)</f>
        <v>-2.0148251787883709</v>
      </c>
    </row>
    <row r="281" spans="1:26" ht="15" customHeight="1" x14ac:dyDescent="0.3">
      <c r="A281" s="12"/>
      <c r="B281" s="13"/>
      <c r="C281" s="13"/>
      <c r="D281" s="4"/>
      <c r="E281" s="4"/>
      <c r="F281" s="10"/>
      <c r="G281" s="4"/>
      <c r="H281" s="4"/>
      <c r="I281" s="4"/>
      <c r="J281" s="10"/>
      <c r="K281" s="4"/>
      <c r="L281" s="4"/>
      <c r="M281" s="4"/>
      <c r="N281" s="10"/>
      <c r="O281" s="13"/>
      <c r="P281" s="4"/>
      <c r="Q281" s="4"/>
      <c r="R281" s="10"/>
      <c r="S281" s="4"/>
      <c r="T281" s="4"/>
      <c r="U281" s="4"/>
      <c r="V281" s="10"/>
      <c r="W281" s="4"/>
      <c r="X281" s="4"/>
      <c r="Y281" s="4"/>
      <c r="Z281" s="10"/>
    </row>
    <row r="282" spans="1:26" s="62" customFormat="1" ht="15" customHeight="1" x14ac:dyDescent="0.3">
      <c r="A282" s="13"/>
      <c r="B282" s="28" t="s">
        <v>293</v>
      </c>
      <c r="C282" s="28"/>
      <c r="D282" s="29">
        <f>+D278-D280</f>
        <v>5063630.5</v>
      </c>
      <c r="E282" s="15"/>
      <c r="F282" s="31">
        <f>IF(D$12=0,0,D282/D$12)</f>
        <v>5.3770987984875234</v>
      </c>
      <c r="G282" s="15"/>
      <c r="H282" s="29">
        <f>+H278-H280</f>
        <v>-837457.31</v>
      </c>
      <c r="I282" s="15"/>
      <c r="J282" s="31">
        <f>IF(H$12=0,0,H282/H$12)</f>
        <v>-1.8568850877652976</v>
      </c>
      <c r="K282" s="17"/>
      <c r="L282" s="29">
        <f>D282-H282</f>
        <v>5901087.8100000005</v>
      </c>
      <c r="M282" s="17"/>
      <c r="N282" s="31">
        <f>IF(H282=0,0,L282/H282)</f>
        <v>-7.046434175850707</v>
      </c>
      <c r="O282" s="27"/>
      <c r="P282" s="29">
        <f>+P278-P280</f>
        <v>6550567.8000000082</v>
      </c>
      <c r="Q282" s="15"/>
      <c r="R282" s="31">
        <f>IF(P$12=0,0,P282/P$12)</f>
        <v>0.2619571552310293</v>
      </c>
      <c r="S282" s="15"/>
      <c r="T282" s="29">
        <f>+T278-T280</f>
        <v>-5400196.5399999991</v>
      </c>
      <c r="U282" s="15"/>
      <c r="V282" s="31">
        <f>IF(T$12=0,0,T282/T$12)</f>
        <v>-0.52616622401409896</v>
      </c>
      <c r="W282" s="17"/>
      <c r="X282" s="29">
        <f>P282-T282</f>
        <v>11950764.340000007</v>
      </c>
      <c r="Y282" s="17"/>
      <c r="Z282" s="31">
        <f>IF(T282=0,0,X282/T282)</f>
        <v>-2.2130239615315945</v>
      </c>
    </row>
    <row r="283" spans="1:26" ht="15" customHeight="1" x14ac:dyDescent="0.3">
      <c r="A283" s="12"/>
      <c r="B283" s="12"/>
      <c r="C283" s="12"/>
      <c r="D283" s="4"/>
      <c r="E283" s="4"/>
      <c r="F283" s="10"/>
      <c r="G283" s="4"/>
      <c r="H283" s="4"/>
      <c r="I283" s="4"/>
      <c r="J283" s="10"/>
      <c r="K283" s="4"/>
      <c r="L283" s="4"/>
      <c r="M283" s="4"/>
      <c r="N283" s="10"/>
      <c r="P283" s="4"/>
      <c r="Q283" s="4"/>
      <c r="R283" s="10"/>
      <c r="S283" s="4"/>
      <c r="T283" s="4"/>
      <c r="U283" s="4"/>
      <c r="V283" s="10"/>
      <c r="W283" s="4"/>
      <c r="X283" s="4"/>
      <c r="Y283" s="4"/>
      <c r="Z283" s="10"/>
    </row>
    <row r="284" spans="1:26" s="62" customFormat="1" ht="15" customHeight="1" x14ac:dyDescent="0.3">
      <c r="A284" s="48"/>
      <c r="B284" s="13" t="s">
        <v>294</v>
      </c>
      <c r="C284" s="13"/>
      <c r="D284" s="8">
        <f>-647351.88</f>
        <v>-647351.88</v>
      </c>
      <c r="E284" s="8"/>
      <c r="F284" s="14">
        <f>IF(D$12=0,0,D284/D$12)</f>
        <v>-0.68742674177087759</v>
      </c>
      <c r="G284" s="8"/>
      <c r="H284" s="8">
        <f>-920090.89</f>
        <v>-920090.89</v>
      </c>
      <c r="I284" s="8"/>
      <c r="J284" s="14">
        <f>IF(H$12=0,0,H284/H$12)</f>
        <v>-2.0401076360891763</v>
      </c>
      <c r="K284" s="8"/>
      <c r="L284" s="8">
        <f>+D284-H284</f>
        <v>272739.01</v>
      </c>
      <c r="M284" s="8"/>
      <c r="N284" s="14">
        <f>IF(H284=0,0,L284/H284)</f>
        <v>-0.29642616068071276</v>
      </c>
      <c r="O284" s="13"/>
      <c r="P284" s="8">
        <f>-2199313.68</f>
        <v>-2199313.6800000002</v>
      </c>
      <c r="Q284" s="8"/>
      <c r="R284" s="14">
        <f>IF(P$12=0,0,P284/P$12)</f>
        <v>-8.7950536909714258E-2</v>
      </c>
      <c r="S284" s="8"/>
      <c r="T284" s="8">
        <f>--1782877.25</f>
        <v>1782877.25</v>
      </c>
      <c r="U284" s="8"/>
      <c r="V284" s="14">
        <f>IF(T$12=0,0,T284/T$12)</f>
        <v>0.17371400902996412</v>
      </c>
      <c r="W284" s="8"/>
      <c r="X284" s="8">
        <f>+P284-T284</f>
        <v>-3982190.93</v>
      </c>
      <c r="Y284" s="8"/>
      <c r="Z284" s="14">
        <f>IF(T284=0,0,X284/T284)</f>
        <v>-2.2335754915264077</v>
      </c>
    </row>
    <row r="285" spans="1:26" s="62" customFormat="1" ht="15" customHeight="1" x14ac:dyDescent="0.3">
      <c r="A285" s="48"/>
      <c r="B285" s="13" t="s">
        <v>295</v>
      </c>
      <c r="C285" s="13"/>
      <c r="D285" s="8">
        <f>--24741.39</f>
        <v>24741.39</v>
      </c>
      <c r="E285" s="8"/>
      <c r="F285" s="14">
        <f>IF(D$12=0,0,D285/D$12)</f>
        <v>2.6273026525515879E-2</v>
      </c>
      <c r="G285" s="8"/>
      <c r="H285" s="8">
        <f>--2951630.18</f>
        <v>2951630.18</v>
      </c>
      <c r="I285" s="8"/>
      <c r="J285" s="14">
        <f>IF(H$12=0,0,H285/H$12)</f>
        <v>6.5446178574045772</v>
      </c>
      <c r="K285" s="8"/>
      <c r="L285" s="8">
        <f>+D285-H285</f>
        <v>-2926888.79</v>
      </c>
      <c r="M285" s="8"/>
      <c r="N285" s="14">
        <f>IF(H285=0,0,L285/H285)</f>
        <v>-0.9916177202118186</v>
      </c>
      <c r="O285" s="13"/>
      <c r="P285" s="8">
        <f>--2394858.95</f>
        <v>2394858.9500000002</v>
      </c>
      <c r="Q285" s="8"/>
      <c r="R285" s="14">
        <f>IF(P$12=0,0,P285/P$12)</f>
        <v>9.5770390731864372E-2</v>
      </c>
      <c r="S285" s="8"/>
      <c r="T285" s="8">
        <f>--3055858.1</f>
        <v>3055858.1</v>
      </c>
      <c r="U285" s="8"/>
      <c r="V285" s="14">
        <f>IF(T$12=0,0,T285/T$12)</f>
        <v>0.29774644416921525</v>
      </c>
      <c r="W285" s="8"/>
      <c r="X285" s="8">
        <f>+P285-T285</f>
        <v>-660999.14999999991</v>
      </c>
      <c r="Y285" s="8"/>
      <c r="Z285" s="14">
        <f>IF(T285=0,0,X285/T285)</f>
        <v>-0.21630557714705401</v>
      </c>
    </row>
    <row r="286" spans="1:26" ht="15" customHeight="1" x14ac:dyDescent="0.3">
      <c r="A286" s="12"/>
      <c r="B286" s="12"/>
      <c r="C286" s="12"/>
      <c r="D286" s="4"/>
      <c r="E286" s="4"/>
      <c r="F286" s="10"/>
      <c r="G286" s="4"/>
      <c r="H286" s="4"/>
      <c r="I286" s="4"/>
      <c r="J286" s="10"/>
      <c r="K286" s="4"/>
      <c r="L286" s="4"/>
      <c r="M286" s="4"/>
      <c r="N286" s="10"/>
      <c r="P286" s="4"/>
      <c r="Q286" s="4"/>
      <c r="R286" s="10"/>
      <c r="S286" s="4"/>
      <c r="T286" s="4"/>
      <c r="U286" s="4"/>
      <c r="V286" s="10"/>
      <c r="W286" s="4"/>
      <c r="X286" s="4"/>
      <c r="Y286" s="4"/>
      <c r="Z286" s="10"/>
    </row>
    <row r="287" spans="1:26" s="62" customFormat="1" ht="15" customHeight="1" x14ac:dyDescent="0.3">
      <c r="A287" s="13"/>
      <c r="B287" s="28" t="s">
        <v>296</v>
      </c>
      <c r="C287" s="28"/>
      <c r="D287" s="30">
        <f>SUM(D282:D286)</f>
        <v>4441020.01</v>
      </c>
      <c r="E287" s="15"/>
      <c r="F287" s="35">
        <f>IF(D$12=0,0,D287/D$12)</f>
        <v>4.7159450832421612</v>
      </c>
      <c r="G287" s="15"/>
      <c r="H287" s="30">
        <f>SUM(H282:H286)</f>
        <v>1194081.98</v>
      </c>
      <c r="I287" s="15"/>
      <c r="J287" s="35">
        <f>IF(H$12=0,0,H287/H$12)</f>
        <v>2.6476251335501031</v>
      </c>
      <c r="K287" s="17"/>
      <c r="L287" s="30">
        <f>+D287-H287</f>
        <v>3246938.03</v>
      </c>
      <c r="M287" s="17"/>
      <c r="N287" s="35">
        <f>IF(H287=0,0,L287/H287)</f>
        <v>2.719191884965888</v>
      </c>
      <c r="O287" s="27"/>
      <c r="P287" s="30">
        <f>SUM(P282:P286)</f>
        <v>6746113.0700000087</v>
      </c>
      <c r="Q287" s="15"/>
      <c r="R287" s="35">
        <f>IF(P$12=0,0,P287/P$12)</f>
        <v>0.26977700905317947</v>
      </c>
      <c r="S287" s="15"/>
      <c r="T287" s="30">
        <f>SUM(T282:T286)</f>
        <v>-561461.18999999901</v>
      </c>
      <c r="U287" s="15"/>
      <c r="V287" s="35">
        <f>IF(T$12=0,0,T287/T$12)</f>
        <v>-5.470577081491966E-2</v>
      </c>
      <c r="W287" s="17"/>
      <c r="X287" s="30">
        <f>+P287-T287</f>
        <v>7307574.2600000072</v>
      </c>
      <c r="Y287" s="17"/>
      <c r="Z287" s="35">
        <f>IF(T287=0,0,X287/T287)</f>
        <v>-13.015279399810376</v>
      </c>
    </row>
    <row r="288" spans="1:26" ht="15" customHeight="1" x14ac:dyDescent="0.3">
      <c r="A288" s="12"/>
      <c r="C288" s="12"/>
      <c r="D288" s="19"/>
      <c r="E288" s="19"/>
      <c r="G288" s="19"/>
      <c r="H288" s="19"/>
      <c r="I288" s="19"/>
      <c r="J288" s="41"/>
      <c r="K288" s="19"/>
      <c r="L288" s="19"/>
      <c r="M288" s="19"/>
      <c r="P288" s="19"/>
      <c r="Q288" s="19"/>
      <c r="R288" s="41"/>
      <c r="S288" s="19"/>
      <c r="T288" s="19"/>
      <c r="U288" s="19"/>
      <c r="V288" s="41"/>
      <c r="W288" s="19"/>
      <c r="X288" s="19"/>
    </row>
    <row r="289" spans="1:24" ht="15" customHeight="1" x14ac:dyDescent="0.3">
      <c r="A289" s="12"/>
      <c r="B289" s="54">
        <v>44767.815827349536</v>
      </c>
      <c r="D289" s="19"/>
      <c r="E289" s="19"/>
      <c r="G289" s="19"/>
      <c r="H289" s="19"/>
      <c r="I289" s="19"/>
      <c r="J289" s="41"/>
      <c r="K289" s="19"/>
      <c r="L289" s="19"/>
      <c r="M289" s="19"/>
      <c r="P289" s="19"/>
      <c r="Q289" s="19"/>
      <c r="R289" s="41"/>
      <c r="S289" s="19"/>
      <c r="T289" s="19"/>
      <c r="U289" s="19"/>
      <c r="V289" s="41"/>
      <c r="W289" s="19"/>
      <c r="X289" s="19"/>
    </row>
    <row r="290" spans="1:24" ht="15" customHeight="1" x14ac:dyDescent="0.3">
      <c r="A290" s="12"/>
      <c r="B290" s="53" t="s">
        <v>297</v>
      </c>
      <c r="D290" s="19"/>
      <c r="E290" s="19"/>
      <c r="G290" s="19"/>
      <c r="H290" s="19"/>
      <c r="I290" s="19"/>
      <c r="J290" s="41"/>
      <c r="K290" s="19"/>
      <c r="L290" s="19"/>
      <c r="M290" s="19"/>
      <c r="P290" s="19"/>
      <c r="Q290" s="19"/>
      <c r="R290" s="41"/>
      <c r="S290" s="19"/>
      <c r="T290" s="19"/>
      <c r="U290" s="19"/>
      <c r="V290" s="41"/>
      <c r="W290" s="19"/>
      <c r="X290" s="19"/>
    </row>
    <row r="291" spans="1:24" ht="15" customHeight="1" x14ac:dyDescent="0.3">
      <c r="A291" s="12"/>
      <c r="B291" s="51"/>
      <c r="D291" s="19"/>
      <c r="E291" s="19"/>
      <c r="G291" s="19"/>
      <c r="H291" s="19"/>
      <c r="I291" s="19"/>
      <c r="J291" s="41"/>
      <c r="K291" s="19"/>
      <c r="L291" s="19"/>
      <c r="M291" s="19"/>
      <c r="P291" s="19"/>
      <c r="Q291" s="19"/>
      <c r="R291" s="41"/>
      <c r="S291" s="19"/>
      <c r="T291" s="19"/>
      <c r="U291" s="19"/>
      <c r="V291" s="41"/>
      <c r="W291" s="19"/>
      <c r="X291" s="19"/>
    </row>
    <row r="292" spans="1:24" ht="15" customHeight="1" x14ac:dyDescent="0.3">
      <c r="D292" s="19"/>
      <c r="E292" s="19"/>
      <c r="G292" s="19"/>
      <c r="H292" s="19"/>
      <c r="I292" s="19"/>
      <c r="J292" s="41"/>
      <c r="K292" s="19"/>
      <c r="L292" s="19"/>
      <c r="M292" s="19"/>
      <c r="P292" s="19"/>
      <c r="Q292" s="19"/>
      <c r="R292" s="41"/>
      <c r="S292" s="19"/>
      <c r="T292" s="19"/>
      <c r="U292" s="19"/>
      <c r="V292" s="41"/>
      <c r="W292" s="19"/>
      <c r="X2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53895-7857-91D8-8B72-B17CEF379953}">
  <sheetPr>
    <tabColor rgb="FF92D050"/>
    <outlinePr summaryBelow="0" summaryRight="0"/>
  </sheetPr>
  <dimension ref="A2:Z11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","317"," - ","Computer Store")</f>
        <v>Department 317 - Computer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399143.9499999999</v>
      </c>
      <c r="E12" s="8"/>
      <c r="F12" s="14"/>
      <c r="G12" s="8"/>
      <c r="H12" s="8">
        <f>SUM(OSRRefH13x_0)</f>
        <v>64681.91</v>
      </c>
      <c r="I12" s="8"/>
      <c r="J12" s="14"/>
      <c r="K12" s="8"/>
      <c r="L12" s="8">
        <f t="shared" ref="L12:L34" si="0">+D12-H12</f>
        <v>334462.03999999992</v>
      </c>
      <c r="M12" s="8"/>
      <c r="N12" s="14">
        <f t="shared" ref="N12:N34" si="1">IF(H12=0,0,L12/H12)</f>
        <v>5.1708745149919029</v>
      </c>
      <c r="O12" s="13"/>
      <c r="P12" s="8">
        <f>SUM(OSRRefP13x_0)</f>
        <v>2883548.02</v>
      </c>
      <c r="Q12" s="8"/>
      <c r="R12" s="14"/>
      <c r="S12" s="8"/>
      <c r="T12" s="8">
        <f>SUM(OSRRefT13x_0)</f>
        <v>2637246.41</v>
      </c>
      <c r="U12" s="8"/>
      <c r="V12" s="14"/>
      <c r="W12" s="8"/>
      <c r="X12" s="8">
        <f t="shared" ref="X12:X34" si="2">+P12-T12</f>
        <v>246301.60999999987</v>
      </c>
      <c r="Y12" s="8"/>
      <c r="Z12" s="14">
        <f t="shared" ref="Z12:Z34" si="3">IF(T12=0,0,X12/T12)</f>
        <v>9.3393476266026981E-2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--534649.09</f>
        <v>534649.09</v>
      </c>
      <c r="E13" s="3"/>
      <c r="F13" s="26"/>
      <c r="G13" s="3"/>
      <c r="H13" s="3">
        <f>-113.77</f>
        <v>-113.77</v>
      </c>
      <c r="I13" s="3"/>
      <c r="J13" s="26"/>
      <c r="K13" s="3"/>
      <c r="L13" s="3">
        <f t="shared" si="0"/>
        <v>534762.86</v>
      </c>
      <c r="M13" s="3"/>
      <c r="N13" s="26">
        <f t="shared" si="1"/>
        <v>-4700.3855146347896</v>
      </c>
      <c r="O13" s="9"/>
      <c r="P13" s="3">
        <f>--2885107.46</f>
        <v>2885107.46</v>
      </c>
      <c r="Q13" s="3"/>
      <c r="R13" s="26"/>
      <c r="S13" s="3"/>
      <c r="T13" s="3">
        <f>-3077.68</f>
        <v>-3077.68</v>
      </c>
      <c r="U13" s="3"/>
      <c r="V13" s="26"/>
      <c r="W13" s="3"/>
      <c r="X13" s="3">
        <f t="shared" si="2"/>
        <v>2888185.14</v>
      </c>
      <c r="Y13" s="3"/>
      <c r="Z13" s="26">
        <f t="shared" si="3"/>
        <v>-938.42931688804561</v>
      </c>
    </row>
    <row r="14" spans="1:26" s="69" customFormat="1" ht="15" hidden="1" customHeight="1" outlineLevel="1" x14ac:dyDescent="0.3">
      <c r="A14" s="47"/>
      <c r="B14" s="9" t="str">
        <f>CONCATENATE("          ","4081"," - ","TAXABLE SALES-ELECTRONICS")</f>
        <v xml:space="preserve">          4081 - TAXABLE SALES-ELECTRONICS</v>
      </c>
      <c r="C14" s="9"/>
      <c r="D14" s="3">
        <f>0</f>
        <v>0</v>
      </c>
      <c r="E14" s="3"/>
      <c r="F14" s="26"/>
      <c r="G14" s="3"/>
      <c r="H14" s="3">
        <f>--1743.92</f>
        <v>1743.92</v>
      </c>
      <c r="I14" s="3"/>
      <c r="J14" s="26"/>
      <c r="K14" s="3"/>
      <c r="L14" s="3">
        <f t="shared" si="0"/>
        <v>-1743.92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--65697.9</f>
        <v>65697.899999999994</v>
      </c>
      <c r="U14" s="3"/>
      <c r="V14" s="26"/>
      <c r="W14" s="3"/>
      <c r="X14" s="3">
        <f t="shared" si="2"/>
        <v>-65697.899999999994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","4082"," - ","TAXABLE SALES-COMPUTER HARDWAR")</f>
        <v xml:space="preserve">          4082 - TAXABLE SALES-COMPUTER HARDWAR</v>
      </c>
      <c r="C15" s="9"/>
      <c r="D15" s="3">
        <f>0</f>
        <v>0</v>
      </c>
      <c r="E15" s="3"/>
      <c r="F15" s="26"/>
      <c r="G15" s="3"/>
      <c r="H15" s="3">
        <f>--78232.49</f>
        <v>78232.490000000005</v>
      </c>
      <c r="I15" s="3"/>
      <c r="J15" s="26"/>
      <c r="K15" s="3"/>
      <c r="L15" s="3">
        <f t="shared" si="0"/>
        <v>-78232.490000000005</v>
      </c>
      <c r="M15" s="3"/>
      <c r="N15" s="26">
        <f t="shared" si="1"/>
        <v>-1</v>
      </c>
      <c r="O15" s="9"/>
      <c r="P15" s="3">
        <f>0</f>
        <v>0</v>
      </c>
      <c r="Q15" s="3"/>
      <c r="R15" s="26"/>
      <c r="S15" s="3"/>
      <c r="T15" s="3">
        <f>--2207891.11</f>
        <v>2207891.11</v>
      </c>
      <c r="U15" s="3"/>
      <c r="V15" s="26"/>
      <c r="W15" s="3"/>
      <c r="X15" s="3">
        <f t="shared" si="2"/>
        <v>-2207891.11</v>
      </c>
      <c r="Y15" s="3"/>
      <c r="Z15" s="26">
        <f t="shared" si="3"/>
        <v>-1</v>
      </c>
    </row>
    <row r="16" spans="1:26" s="69" customFormat="1" ht="15" hidden="1" customHeight="1" outlineLevel="1" x14ac:dyDescent="0.3">
      <c r="A16" s="47"/>
      <c r="B16" s="9" t="str">
        <f>CONCATENATE("          ","4083"," - ","TAXABLE SALES-COMPUTER EQUIPME")</f>
        <v xml:space="preserve">          4083 - TAXABLE SALES-COMPUTER EQUIPME</v>
      </c>
      <c r="C16" s="9"/>
      <c r="D16" s="3">
        <f>0</f>
        <v>0</v>
      </c>
      <c r="E16" s="3"/>
      <c r="F16" s="26"/>
      <c r="G16" s="3"/>
      <c r="H16" s="3">
        <f>--3971.25</f>
        <v>3971.25</v>
      </c>
      <c r="I16" s="3"/>
      <c r="J16" s="26"/>
      <c r="K16" s="3"/>
      <c r="L16" s="3">
        <f t="shared" si="0"/>
        <v>-3971.25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f>--141108.24</f>
        <v>141108.24</v>
      </c>
      <c r="U16" s="3"/>
      <c r="V16" s="26"/>
      <c r="W16" s="3"/>
      <c r="X16" s="3">
        <f t="shared" si="2"/>
        <v>-141108.24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","4085"," - ","TAXABLE SALES-SOFTWARE")</f>
        <v xml:space="preserve">          4085 - TAXABLE SALES-SOFTWARE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--4870.79</f>
        <v>4870.79</v>
      </c>
      <c r="U17" s="3"/>
      <c r="V17" s="26"/>
      <c r="W17" s="3"/>
      <c r="X17" s="3">
        <f t="shared" si="2"/>
        <v>-4870.79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","4086"," - ","TAXABLE SALES-COMPUTER SUPPLIE")</f>
        <v xml:space="preserve">          4086 - TAXABLE SALES-COMPUTER SUPPLIE</v>
      </c>
      <c r="C18" s="9"/>
      <c r="D18" s="3">
        <f>0</f>
        <v>0</v>
      </c>
      <c r="E18" s="3"/>
      <c r="F18" s="26"/>
      <c r="G18" s="3"/>
      <c r="H18" s="3">
        <f>--850.72</f>
        <v>850.72</v>
      </c>
      <c r="I18" s="3"/>
      <c r="J18" s="26"/>
      <c r="K18" s="3"/>
      <c r="L18" s="3">
        <f t="shared" si="0"/>
        <v>-850.72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--67783.14</f>
        <v>67783.14</v>
      </c>
      <c r="U18" s="3"/>
      <c r="V18" s="26"/>
      <c r="W18" s="3"/>
      <c r="X18" s="3">
        <f t="shared" si="2"/>
        <v>-67783.14</v>
      </c>
      <c r="Y18" s="3"/>
      <c r="Z18" s="26">
        <f t="shared" si="3"/>
        <v>-1</v>
      </c>
    </row>
    <row r="19" spans="1:26" s="69" customFormat="1" ht="15" hidden="1" customHeight="1" outlineLevel="1" x14ac:dyDescent="0.3">
      <c r="A19" s="47"/>
      <c r="B19" s="9" t="str">
        <f>CONCATENATE("          ","4100"," - ","NON-TAXABLE SALES")</f>
        <v xml:space="preserve">          4100 - NON-TAXABLE SALES</v>
      </c>
      <c r="C19" s="9"/>
      <c r="D19" s="3">
        <f>--80447.08</f>
        <v>80447.08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80447.08</v>
      </c>
      <c r="M19" s="3"/>
      <c r="N19" s="26">
        <f t="shared" si="1"/>
        <v>0</v>
      </c>
      <c r="O19" s="9"/>
      <c r="P19" s="3">
        <f>--749033.87</f>
        <v>749033.87</v>
      </c>
      <c r="Q19" s="3"/>
      <c r="R19" s="26"/>
      <c r="S19" s="3"/>
      <c r="T19" s="3">
        <f>0</f>
        <v>0</v>
      </c>
      <c r="U19" s="3"/>
      <c r="V19" s="26"/>
      <c r="W19" s="3"/>
      <c r="X19" s="3">
        <f t="shared" si="2"/>
        <v>749033.87</v>
      </c>
      <c r="Y19" s="3"/>
      <c r="Z19" s="26">
        <f t="shared" si="3"/>
        <v>0</v>
      </c>
    </row>
    <row r="20" spans="1:26" s="69" customFormat="1" ht="15" hidden="1" customHeight="1" outlineLevel="1" x14ac:dyDescent="0.3">
      <c r="A20" s="47"/>
      <c r="B20" s="9" t="str">
        <f>CONCATENATE("          ","4181"," - ","NON-TAXABLE SALES-ELECTRONICS")</f>
        <v xml:space="preserve">          4181 - NON-TAXABLE SALES-ELECTRONICS</v>
      </c>
      <c r="C20" s="9"/>
      <c r="D20" s="3">
        <f>0</f>
        <v>0</v>
      </c>
      <c r="E20" s="3"/>
      <c r="F20" s="26"/>
      <c r="G20" s="3"/>
      <c r="H20" s="3">
        <f>--33.97</f>
        <v>33.97</v>
      </c>
      <c r="I20" s="3"/>
      <c r="J20" s="26"/>
      <c r="K20" s="3"/>
      <c r="L20" s="3">
        <f t="shared" si="0"/>
        <v>-33.97</v>
      </c>
      <c r="M20" s="3"/>
      <c r="N20" s="26">
        <f t="shared" si="1"/>
        <v>-1</v>
      </c>
      <c r="O20" s="9"/>
      <c r="P20" s="3">
        <f>0</f>
        <v>0</v>
      </c>
      <c r="Q20" s="3"/>
      <c r="R20" s="26"/>
      <c r="S20" s="3"/>
      <c r="T20" s="3">
        <f>--14322.55</f>
        <v>14322.55</v>
      </c>
      <c r="U20" s="3"/>
      <c r="V20" s="26"/>
      <c r="W20" s="3"/>
      <c r="X20" s="3">
        <f t="shared" si="2"/>
        <v>-14322.55</v>
      </c>
      <c r="Y20" s="3"/>
      <c r="Z20" s="26">
        <f t="shared" si="3"/>
        <v>-1</v>
      </c>
    </row>
    <row r="21" spans="1:26" s="69" customFormat="1" ht="15" hidden="1" customHeight="1" outlineLevel="1" x14ac:dyDescent="0.3">
      <c r="A21" s="47"/>
      <c r="B21" s="9" t="str">
        <f>CONCATENATE("          ","4182"," - ","NON-TAXABLE SALES-COMPUTER HAR")</f>
        <v xml:space="preserve">          4182 - NON-TAXABLE SALES-COMPUTER HAR</v>
      </c>
      <c r="C21" s="9"/>
      <c r="D21" s="3">
        <f>0</f>
        <v>0</v>
      </c>
      <c r="E21" s="3"/>
      <c r="F21" s="26"/>
      <c r="G21" s="3"/>
      <c r="H21" s="3">
        <f>--19892.86</f>
        <v>19892.86</v>
      </c>
      <c r="I21" s="3"/>
      <c r="J21" s="26"/>
      <c r="K21" s="3"/>
      <c r="L21" s="3">
        <f t="shared" si="0"/>
        <v>-19892.86</v>
      </c>
      <c r="M21" s="3"/>
      <c r="N21" s="26">
        <f t="shared" si="1"/>
        <v>-1</v>
      </c>
      <c r="O21" s="9"/>
      <c r="P21" s="3">
        <f>0</f>
        <v>0</v>
      </c>
      <c r="Q21" s="3"/>
      <c r="R21" s="26"/>
      <c r="S21" s="3"/>
      <c r="T21" s="3">
        <f>--367422.08</f>
        <v>367422.08</v>
      </c>
      <c r="U21" s="3"/>
      <c r="V21" s="26"/>
      <c r="W21" s="3"/>
      <c r="X21" s="3">
        <f t="shared" si="2"/>
        <v>-367422.08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","4183"," - ","NON-TAXABLE SALES-COMPUTER EQU")</f>
        <v xml:space="preserve">          4183 - NON-TAXABLE SALES-COMPUTER EQU</v>
      </c>
      <c r="C22" s="9"/>
      <c r="D22" s="3">
        <f>0</f>
        <v>0</v>
      </c>
      <c r="E22" s="3"/>
      <c r="F22" s="26"/>
      <c r="G22" s="3"/>
      <c r="H22" s="3">
        <f>--1441.27</f>
        <v>1441.27</v>
      </c>
      <c r="I22" s="3"/>
      <c r="J22" s="26"/>
      <c r="K22" s="3"/>
      <c r="L22" s="3">
        <f t="shared" si="0"/>
        <v>-1441.27</v>
      </c>
      <c r="M22" s="3"/>
      <c r="N22" s="26">
        <f t="shared" si="1"/>
        <v>-1</v>
      </c>
      <c r="O22" s="9"/>
      <c r="P22" s="3">
        <f>0</f>
        <v>0</v>
      </c>
      <c r="Q22" s="3"/>
      <c r="R22" s="26"/>
      <c r="S22" s="3"/>
      <c r="T22" s="3">
        <f>--23887.02</f>
        <v>23887.02</v>
      </c>
      <c r="U22" s="3"/>
      <c r="V22" s="26"/>
      <c r="W22" s="3"/>
      <c r="X22" s="3">
        <f t="shared" si="2"/>
        <v>-23887.02</v>
      </c>
      <c r="Y22" s="3"/>
      <c r="Z22" s="26">
        <f t="shared" si="3"/>
        <v>-1</v>
      </c>
    </row>
    <row r="23" spans="1:26" s="69" customFormat="1" ht="15" hidden="1" customHeight="1" outlineLevel="1" x14ac:dyDescent="0.3">
      <c r="A23" s="47"/>
      <c r="B23" s="9" t="str">
        <f>CONCATENATE("          ","4185"," - ","NON-TAXABLE SALES-SOFTWARE")</f>
        <v xml:space="preserve">          4185 - NON-TAXABLE SALES-SOFTWARE</v>
      </c>
      <c r="C23" s="9"/>
      <c r="D23" s="3">
        <f>0</f>
        <v>0</v>
      </c>
      <c r="E23" s="3"/>
      <c r="F23" s="26"/>
      <c r="G23" s="3"/>
      <c r="H23" s="3">
        <f>--3849.74</f>
        <v>3849.74</v>
      </c>
      <c r="I23" s="3"/>
      <c r="J23" s="26"/>
      <c r="K23" s="3"/>
      <c r="L23" s="3">
        <f t="shared" si="0"/>
        <v>-3849.74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--59807.35</f>
        <v>59807.35</v>
      </c>
      <c r="U23" s="3"/>
      <c r="V23" s="26"/>
      <c r="W23" s="3"/>
      <c r="X23" s="3">
        <f t="shared" si="2"/>
        <v>-59807.35</v>
      </c>
      <c r="Y23" s="3"/>
      <c r="Z23" s="26">
        <f t="shared" si="3"/>
        <v>-1</v>
      </c>
    </row>
    <row r="24" spans="1:26" s="69" customFormat="1" ht="15" hidden="1" customHeight="1" outlineLevel="1" x14ac:dyDescent="0.3">
      <c r="A24" s="47"/>
      <c r="B24" s="9" t="str">
        <f>CONCATENATE("          ","4186"," - ","NON-TAXABLE SALES-COMPUTER SUP")</f>
        <v xml:space="preserve">          4186 - NON-TAXABLE SALES-COMPUTER SUP</v>
      </c>
      <c r="C24" s="9"/>
      <c r="D24" s="3">
        <f>0</f>
        <v>0</v>
      </c>
      <c r="E24" s="3"/>
      <c r="F24" s="26"/>
      <c r="G24" s="3"/>
      <c r="H24" s="3">
        <f>--317.9</f>
        <v>317.89999999999998</v>
      </c>
      <c r="I24" s="3"/>
      <c r="J24" s="26"/>
      <c r="K24" s="3"/>
      <c r="L24" s="3">
        <f t="shared" si="0"/>
        <v>-317.89999999999998</v>
      </c>
      <c r="M24" s="3"/>
      <c r="N24" s="26">
        <f t="shared" si="1"/>
        <v>-1</v>
      </c>
      <c r="O24" s="9"/>
      <c r="P24" s="3">
        <f>0</f>
        <v>0</v>
      </c>
      <c r="Q24" s="3"/>
      <c r="R24" s="26"/>
      <c r="S24" s="3"/>
      <c r="T24" s="3">
        <f>--3797.04</f>
        <v>3797.04</v>
      </c>
      <c r="U24" s="3"/>
      <c r="V24" s="26"/>
      <c r="W24" s="3"/>
      <c r="X24" s="3">
        <f t="shared" si="2"/>
        <v>-3797.04</v>
      </c>
      <c r="Y24" s="3"/>
      <c r="Z24" s="26">
        <f t="shared" si="3"/>
        <v>-1</v>
      </c>
    </row>
    <row r="25" spans="1:26" s="69" customFormat="1" ht="15" hidden="1" customHeight="1" outlineLevel="1" x14ac:dyDescent="0.3">
      <c r="A25" s="47"/>
      <c r="B25" s="9" t="str">
        <f>CONCATENATE("          ","4200"," - ","TAXABLE RETURNS")</f>
        <v xml:space="preserve">          4200 - TAXABLE RETURNS</v>
      </c>
      <c r="C25" s="9"/>
      <c r="D25" s="3">
        <f>-215135.94</f>
        <v>-215135.94</v>
      </c>
      <c r="E25" s="3"/>
      <c r="F25" s="26"/>
      <c r="G25" s="3"/>
      <c r="H25" s="3">
        <f>0</f>
        <v>0</v>
      </c>
      <c r="I25" s="3"/>
      <c r="J25" s="26"/>
      <c r="K25" s="3"/>
      <c r="L25" s="3">
        <f t="shared" si="0"/>
        <v>-215135.94</v>
      </c>
      <c r="M25" s="3"/>
      <c r="N25" s="26">
        <f t="shared" si="1"/>
        <v>0</v>
      </c>
      <c r="O25" s="9"/>
      <c r="P25" s="3">
        <f>-747227.7</f>
        <v>-747227.7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-747227.7</v>
      </c>
      <c r="Y25" s="3"/>
      <c r="Z25" s="26">
        <f t="shared" si="3"/>
        <v>0</v>
      </c>
    </row>
    <row r="26" spans="1:26" s="69" customFormat="1" ht="15" hidden="1" customHeight="1" outlineLevel="1" x14ac:dyDescent="0.3">
      <c r="A26" s="47"/>
      <c r="B26" s="9" t="str">
        <f>CONCATENATE("          ","4281"," - ","SALES RETURN TAXABLE-ELECTRONI")</f>
        <v xml:space="preserve">          4281 - SALES RETURN TAXABLE-ELECTRONI</v>
      </c>
      <c r="C26" s="9"/>
      <c r="D26" s="3">
        <f>0</f>
        <v>0</v>
      </c>
      <c r="E26" s="3"/>
      <c r="F26" s="26"/>
      <c r="G26" s="3"/>
      <c r="H26" s="3">
        <f>-529.99</f>
        <v>-529.99</v>
      </c>
      <c r="I26" s="3"/>
      <c r="J26" s="26"/>
      <c r="K26" s="3"/>
      <c r="L26" s="3">
        <f t="shared" si="0"/>
        <v>529.99</v>
      </c>
      <c r="M26" s="3"/>
      <c r="N26" s="26">
        <f t="shared" si="1"/>
        <v>-1</v>
      </c>
      <c r="O26" s="9"/>
      <c r="P26" s="3">
        <f>0</f>
        <v>0</v>
      </c>
      <c r="Q26" s="3"/>
      <c r="R26" s="26"/>
      <c r="S26" s="3"/>
      <c r="T26" s="3">
        <f>-15372.12</f>
        <v>-15372.12</v>
      </c>
      <c r="U26" s="3"/>
      <c r="V26" s="26"/>
      <c r="W26" s="3"/>
      <c r="X26" s="3">
        <f t="shared" si="2"/>
        <v>15372.12</v>
      </c>
      <c r="Y26" s="3"/>
      <c r="Z26" s="26">
        <f t="shared" si="3"/>
        <v>-1</v>
      </c>
    </row>
    <row r="27" spans="1:26" s="69" customFormat="1" ht="15" hidden="1" customHeight="1" outlineLevel="1" x14ac:dyDescent="0.3">
      <c r="A27" s="47"/>
      <c r="B27" s="9" t="str">
        <f>CONCATENATE("          ","4282"," - ","SALES RETURN TAXABLE-COMPUTER")</f>
        <v xml:space="preserve">          4282 - SALES RETURN TAXABLE-COMPUTER</v>
      </c>
      <c r="C27" s="9"/>
      <c r="D27" s="3">
        <f>0</f>
        <v>0</v>
      </c>
      <c r="E27" s="3"/>
      <c r="F27" s="26"/>
      <c r="G27" s="3"/>
      <c r="H27" s="3">
        <f>-44973</f>
        <v>-44973</v>
      </c>
      <c r="I27" s="3"/>
      <c r="J27" s="26"/>
      <c r="K27" s="3"/>
      <c r="L27" s="3">
        <f t="shared" si="0"/>
        <v>44973</v>
      </c>
      <c r="M27" s="3"/>
      <c r="N27" s="26">
        <f t="shared" si="1"/>
        <v>-1</v>
      </c>
      <c r="O27" s="9"/>
      <c r="P27" s="3">
        <f>0</f>
        <v>0</v>
      </c>
      <c r="Q27" s="3"/>
      <c r="R27" s="26"/>
      <c r="S27" s="3"/>
      <c r="T27" s="3">
        <f>-285193.17</f>
        <v>-285193.17</v>
      </c>
      <c r="U27" s="3"/>
      <c r="V27" s="26"/>
      <c r="W27" s="3"/>
      <c r="X27" s="3">
        <f t="shared" si="2"/>
        <v>285193.17</v>
      </c>
      <c r="Y27" s="3"/>
      <c r="Z27" s="26">
        <f t="shared" si="3"/>
        <v>-1</v>
      </c>
    </row>
    <row r="28" spans="1:26" s="69" customFormat="1" ht="15" hidden="1" customHeight="1" outlineLevel="1" x14ac:dyDescent="0.3">
      <c r="A28" s="47"/>
      <c r="B28" s="9" t="str">
        <f>CONCATENATE("          ","4283"," - ","SALES RETURN TAXABLE-COMPUTER")</f>
        <v xml:space="preserve">          4283 - SALES RETURN TAXABLE-COMPUTER</v>
      </c>
      <c r="C28" s="9"/>
      <c r="D28" s="3">
        <f>0</f>
        <v>0</v>
      </c>
      <c r="E28" s="3"/>
      <c r="F28" s="26"/>
      <c r="G28" s="3"/>
      <c r="H28" s="3">
        <f>-23.47</f>
        <v>-23.47</v>
      </c>
      <c r="I28" s="3"/>
      <c r="J28" s="26"/>
      <c r="K28" s="3"/>
      <c r="L28" s="3">
        <f t="shared" si="0"/>
        <v>23.47</v>
      </c>
      <c r="M28" s="3"/>
      <c r="N28" s="26">
        <f t="shared" si="1"/>
        <v>-1</v>
      </c>
      <c r="O28" s="9"/>
      <c r="P28" s="3">
        <f>0</f>
        <v>0</v>
      </c>
      <c r="Q28" s="3"/>
      <c r="R28" s="26"/>
      <c r="S28" s="3"/>
      <c r="T28" s="3">
        <f>-4152.64</f>
        <v>-4152.6400000000003</v>
      </c>
      <c r="U28" s="3"/>
      <c r="V28" s="26"/>
      <c r="W28" s="3"/>
      <c r="X28" s="3">
        <f t="shared" si="2"/>
        <v>4152.6400000000003</v>
      </c>
      <c r="Y28" s="3"/>
      <c r="Z28" s="26">
        <f t="shared" si="3"/>
        <v>-1</v>
      </c>
    </row>
    <row r="29" spans="1:26" s="69" customFormat="1" ht="15" hidden="1" customHeight="1" outlineLevel="1" x14ac:dyDescent="0.3">
      <c r="A29" s="47"/>
      <c r="B29" s="9" t="str">
        <f>CONCATENATE("          ","4285"," - ","SALES RETURN TAXABLE-SOFTWARE")</f>
        <v xml:space="preserve">          4285 - SALES RETURN TAXABLE-SOFTWARE</v>
      </c>
      <c r="C29" s="9"/>
      <c r="D29" s="3">
        <f>0</f>
        <v>0</v>
      </c>
      <c r="E29" s="3"/>
      <c r="F29" s="26"/>
      <c r="G29" s="3"/>
      <c r="H29" s="3">
        <f>0</f>
        <v>0</v>
      </c>
      <c r="I29" s="3"/>
      <c r="J29" s="26"/>
      <c r="K29" s="3"/>
      <c r="L29" s="3">
        <f t="shared" si="0"/>
        <v>0</v>
      </c>
      <c r="M29" s="3"/>
      <c r="N29" s="26">
        <f t="shared" si="1"/>
        <v>0</v>
      </c>
      <c r="O29" s="9"/>
      <c r="P29" s="3">
        <f>0</f>
        <v>0</v>
      </c>
      <c r="Q29" s="3"/>
      <c r="R29" s="26"/>
      <c r="S29" s="3"/>
      <c r="T29" s="3">
        <f>-1091.79</f>
        <v>-1091.79</v>
      </c>
      <c r="U29" s="3"/>
      <c r="V29" s="26"/>
      <c r="W29" s="3"/>
      <c r="X29" s="3">
        <f t="shared" si="2"/>
        <v>1091.79</v>
      </c>
      <c r="Y29" s="3"/>
      <c r="Z29" s="26">
        <f t="shared" si="3"/>
        <v>-1</v>
      </c>
    </row>
    <row r="30" spans="1:26" s="69" customFormat="1" ht="15" hidden="1" customHeight="1" outlineLevel="1" x14ac:dyDescent="0.3">
      <c r="A30" s="47"/>
      <c r="B30" s="9" t="str">
        <f>CONCATENATE("          ","4286"," - ","SALES RETURN TAXABLE-COMPUTER")</f>
        <v xml:space="preserve">          4286 - SALES RETURN TAXABLE-COMPUTER</v>
      </c>
      <c r="C30" s="9"/>
      <c r="D30" s="3">
        <f>0</f>
        <v>0</v>
      </c>
      <c r="E30" s="3"/>
      <c r="F30" s="26"/>
      <c r="G30" s="3"/>
      <c r="H30" s="3">
        <f>-9.99</f>
        <v>-9.99</v>
      </c>
      <c r="I30" s="3"/>
      <c r="J30" s="26"/>
      <c r="K30" s="3"/>
      <c r="L30" s="3">
        <f t="shared" si="0"/>
        <v>9.99</v>
      </c>
      <c r="M30" s="3"/>
      <c r="N30" s="26">
        <f t="shared" si="1"/>
        <v>-1</v>
      </c>
      <c r="O30" s="9"/>
      <c r="P30" s="3">
        <f>0</f>
        <v>0</v>
      </c>
      <c r="Q30" s="3"/>
      <c r="R30" s="26"/>
      <c r="S30" s="3"/>
      <c r="T30" s="3">
        <f>-4812.28</f>
        <v>-4812.28</v>
      </c>
      <c r="U30" s="3"/>
      <c r="V30" s="26"/>
      <c r="W30" s="3"/>
      <c r="X30" s="3">
        <f t="shared" si="2"/>
        <v>4812.28</v>
      </c>
      <c r="Y30" s="3"/>
      <c r="Z30" s="26">
        <f t="shared" si="3"/>
        <v>-1</v>
      </c>
    </row>
    <row r="31" spans="1:26" s="69" customFormat="1" ht="15" hidden="1" customHeight="1" outlineLevel="1" x14ac:dyDescent="0.3">
      <c r="A31" s="47"/>
      <c r="B31" s="9" t="str">
        <f>CONCATENATE("          ","4300"," - ","NON-TAX RETURNS")</f>
        <v xml:space="preserve">          4300 - NON-TAX RETURNS</v>
      </c>
      <c r="C31" s="9"/>
      <c r="D31" s="3">
        <f>0</f>
        <v>0</v>
      </c>
      <c r="E31" s="3"/>
      <c r="F31" s="26"/>
      <c r="G31" s="3"/>
      <c r="H31" s="3">
        <f>0</f>
        <v>0</v>
      </c>
      <c r="I31" s="3"/>
      <c r="J31" s="26"/>
      <c r="K31" s="3"/>
      <c r="L31" s="3">
        <f t="shared" si="0"/>
        <v>0</v>
      </c>
      <c r="M31" s="3"/>
      <c r="N31" s="26">
        <f t="shared" si="1"/>
        <v>0</v>
      </c>
      <c r="O31" s="9"/>
      <c r="P31" s="3">
        <f>-1114.52</f>
        <v>-1114.52</v>
      </c>
      <c r="Q31" s="3"/>
      <c r="R31" s="26"/>
      <c r="S31" s="3"/>
      <c r="T31" s="3">
        <f>0</f>
        <v>0</v>
      </c>
      <c r="U31" s="3"/>
      <c r="V31" s="26"/>
      <c r="W31" s="3"/>
      <c r="X31" s="3">
        <f t="shared" si="2"/>
        <v>-1114.52</v>
      </c>
      <c r="Y31" s="3"/>
      <c r="Z31" s="26">
        <f t="shared" si="3"/>
        <v>0</v>
      </c>
    </row>
    <row r="32" spans="1:26" s="69" customFormat="1" ht="15" hidden="1" customHeight="1" outlineLevel="1" x14ac:dyDescent="0.3">
      <c r="A32" s="47"/>
      <c r="B32" s="9" t="str">
        <f>CONCATENATE("          ","4381"," - ","SALES RETURN NON TAXABLE-ELECT")</f>
        <v xml:space="preserve">          4381 - SALES RETURN NON TAXABLE-ELECT</v>
      </c>
      <c r="C32" s="9"/>
      <c r="D32" s="3">
        <f>0</f>
        <v>0</v>
      </c>
      <c r="E32" s="3"/>
      <c r="F32" s="26"/>
      <c r="G32" s="3"/>
      <c r="H32" s="3">
        <f>-1.99</f>
        <v>-1.99</v>
      </c>
      <c r="I32" s="3"/>
      <c r="J32" s="26"/>
      <c r="K32" s="3"/>
      <c r="L32" s="3">
        <f t="shared" si="0"/>
        <v>1.99</v>
      </c>
      <c r="M32" s="3"/>
      <c r="N32" s="26">
        <f t="shared" si="1"/>
        <v>-1</v>
      </c>
      <c r="O32" s="9"/>
      <c r="P32" s="3">
        <f>0</f>
        <v>0</v>
      </c>
      <c r="Q32" s="3"/>
      <c r="R32" s="26"/>
      <c r="S32" s="3"/>
      <c r="T32" s="3">
        <f>-5626.14</f>
        <v>-5626.14</v>
      </c>
      <c r="U32" s="3"/>
      <c r="V32" s="26"/>
      <c r="W32" s="3"/>
      <c r="X32" s="3">
        <f t="shared" si="2"/>
        <v>5626.14</v>
      </c>
      <c r="Y32" s="3"/>
      <c r="Z32" s="26">
        <f t="shared" si="3"/>
        <v>-1</v>
      </c>
    </row>
    <row r="33" spans="1:26" s="69" customFormat="1" ht="15" hidden="1" customHeight="1" outlineLevel="1" x14ac:dyDescent="0.3">
      <c r="A33" s="47"/>
      <c r="B33" s="9" t="str">
        <f>CONCATENATE("          ","4383"," - ","SALES RETURN NON TAXABLE-COMPU")</f>
        <v xml:space="preserve">          4383 - SALES RETURN NON TAXABLE-COMPU</v>
      </c>
      <c r="C33" s="9"/>
      <c r="D33" s="3">
        <f>0</f>
        <v>0</v>
      </c>
      <c r="E33" s="3"/>
      <c r="F33" s="26"/>
      <c r="G33" s="3"/>
      <c r="H33" s="3">
        <f>0</f>
        <v>0</v>
      </c>
      <c r="I33" s="3"/>
      <c r="J33" s="26"/>
      <c r="K33" s="3"/>
      <c r="L33" s="3">
        <f t="shared" si="0"/>
        <v>0</v>
      </c>
      <c r="M33" s="3"/>
      <c r="N33" s="26">
        <f t="shared" si="1"/>
        <v>0</v>
      </c>
      <c r="O33" s="9"/>
      <c r="P33" s="3">
        <f>0</f>
        <v>0</v>
      </c>
      <c r="Q33" s="3"/>
      <c r="R33" s="26"/>
      <c r="S33" s="3"/>
      <c r="T33" s="3">
        <f>-14.99</f>
        <v>-14.99</v>
      </c>
      <c r="U33" s="3"/>
      <c r="V33" s="26"/>
      <c r="W33" s="3"/>
      <c r="X33" s="3">
        <f t="shared" si="2"/>
        <v>14.99</v>
      </c>
      <c r="Y33" s="3"/>
      <c r="Z33" s="26">
        <f t="shared" si="3"/>
        <v>-1</v>
      </c>
    </row>
    <row r="34" spans="1:26" s="69" customFormat="1" ht="15" hidden="1" customHeight="1" outlineLevel="1" x14ac:dyDescent="0.3">
      <c r="A34" s="47"/>
      <c r="B34" s="9" t="str">
        <f>CONCATENATE("          ","4500"," - ","SALES DISCOUNT")</f>
        <v xml:space="preserve">          4500 - SALES DISCOUNT</v>
      </c>
      <c r="C34" s="9"/>
      <c r="D34" s="3">
        <f>-816.28</f>
        <v>-816.28</v>
      </c>
      <c r="E34" s="3"/>
      <c r="F34" s="26"/>
      <c r="G34" s="3"/>
      <c r="H34" s="3">
        <f>0</f>
        <v>0</v>
      </c>
      <c r="I34" s="3"/>
      <c r="J34" s="26"/>
      <c r="K34" s="3"/>
      <c r="L34" s="3">
        <f t="shared" si="0"/>
        <v>-816.28</v>
      </c>
      <c r="M34" s="3"/>
      <c r="N34" s="26">
        <f t="shared" si="1"/>
        <v>0</v>
      </c>
      <c r="O34" s="9"/>
      <c r="P34" s="3">
        <f>-2251.09</f>
        <v>-2251.09</v>
      </c>
      <c r="Q34" s="3"/>
      <c r="R34" s="26"/>
      <c r="S34" s="3"/>
      <c r="T34" s="3">
        <f>0</f>
        <v>0</v>
      </c>
      <c r="U34" s="3"/>
      <c r="V34" s="26"/>
      <c r="W34" s="3"/>
      <c r="X34" s="3">
        <f t="shared" si="2"/>
        <v>-2251.09</v>
      </c>
      <c r="Y34" s="3"/>
      <c r="Z34" s="26">
        <f t="shared" si="3"/>
        <v>0</v>
      </c>
    </row>
    <row r="35" spans="1:26" ht="15" customHeight="1" x14ac:dyDescent="0.3">
      <c r="A35" s="12"/>
      <c r="B35" s="13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collapsed="1" x14ac:dyDescent="0.3">
      <c r="A36" s="13"/>
      <c r="B36" s="27" t="s">
        <v>287</v>
      </c>
      <c r="C36" s="13"/>
      <c r="D36" s="8">
        <f>SUM(OSRRefD16x_0)</f>
        <v>286197.05</v>
      </c>
      <c r="E36" s="8"/>
      <c r="F36" s="14">
        <f t="shared" ref="F36:F51" si="4">IF(D$12=0,0,D36/D$12)</f>
        <v>0.71702715273524764</v>
      </c>
      <c r="G36" s="8"/>
      <c r="H36" s="8">
        <f>SUM(OSRRefH16x_0)</f>
        <v>25290.510000000009</v>
      </c>
      <c r="I36" s="8"/>
      <c r="J36" s="14">
        <f t="shared" ref="J36:J51" si="5">IF(H$12=0,0,H36/H$12)</f>
        <v>0.39099819408548708</v>
      </c>
      <c r="K36" s="8"/>
      <c r="L36" s="8">
        <f t="shared" ref="L36:L51" si="6">+D36-H36</f>
        <v>260906.53999999998</v>
      </c>
      <c r="M36" s="8"/>
      <c r="N36" s="14">
        <f t="shared" ref="N36:N51" si="7">IF(H36=0,0,L36/H36)</f>
        <v>10.31638112477763</v>
      </c>
      <c r="O36" s="13"/>
      <c r="P36" s="8">
        <f>SUM(OSRRefP16x_0)</f>
        <v>2395587.1300000004</v>
      </c>
      <c r="Q36" s="8"/>
      <c r="R36" s="14">
        <f t="shared" ref="R36:R51" si="8">IF(P$12=0,0,P36/P$12)</f>
        <v>0.83077760917607346</v>
      </c>
      <c r="S36" s="8"/>
      <c r="T36" s="8">
        <f>SUM(OSRRefT16x_0)</f>
        <v>2315780.3500000006</v>
      </c>
      <c r="U36" s="8"/>
      <c r="V36" s="14">
        <f t="shared" ref="V36:V51" si="9">IF(T$12=0,0,T36/T$12)</f>
        <v>0.87810541374478557</v>
      </c>
      <c r="W36" s="8"/>
      <c r="X36" s="8">
        <f t="shared" ref="X36:X51" si="10">+P36-T36</f>
        <v>79806.779999999795</v>
      </c>
      <c r="Y36" s="8"/>
      <c r="Z36" s="14">
        <f t="shared" ref="Z36:Z51" si="11">IF(T36=0,0,X36/T36)</f>
        <v>3.4462154409419604E-2</v>
      </c>
    </row>
    <row r="37" spans="1:26" s="69" customFormat="1" ht="15" hidden="1" customHeight="1" outlineLevel="1" x14ac:dyDescent="0.3">
      <c r="A37" s="47"/>
      <c r="B37" s="9" t="str">
        <f>CONCATENATE("          ","5000"," - ","PURCHASES @ COST")</f>
        <v xml:space="preserve">          5000 - PURCHASES @ COST</v>
      </c>
      <c r="C37" s="9"/>
      <c r="D37" s="3">
        <v>274575.13</v>
      </c>
      <c r="E37" s="3"/>
      <c r="F37" s="26">
        <f t="shared" si="4"/>
        <v>0.68791003847108312</v>
      </c>
      <c r="G37" s="3"/>
      <c r="H37" s="3"/>
      <c r="I37" s="3"/>
      <c r="J37" s="26">
        <f t="shared" si="5"/>
        <v>0</v>
      </c>
      <c r="K37" s="3"/>
      <c r="L37" s="3">
        <f t="shared" si="6"/>
        <v>274575.13</v>
      </c>
      <c r="M37" s="3"/>
      <c r="N37" s="26">
        <f t="shared" si="7"/>
        <v>0</v>
      </c>
      <c r="O37" s="9"/>
      <c r="P37" s="3">
        <v>2498333.89</v>
      </c>
      <c r="Q37" s="3"/>
      <c r="R37" s="26">
        <f t="shared" si="8"/>
        <v>0.86640967054191809</v>
      </c>
      <c r="S37" s="3"/>
      <c r="T37" s="3">
        <v>0</v>
      </c>
      <c r="U37" s="3"/>
      <c r="V37" s="26">
        <f t="shared" si="9"/>
        <v>0</v>
      </c>
      <c r="W37" s="3"/>
      <c r="X37" s="3">
        <f t="shared" si="10"/>
        <v>2498333.89</v>
      </c>
      <c r="Y37" s="3"/>
      <c r="Z37" s="26">
        <f t="shared" si="11"/>
        <v>0</v>
      </c>
    </row>
    <row r="38" spans="1:26" s="69" customFormat="1" ht="15" hidden="1" customHeight="1" outlineLevel="1" x14ac:dyDescent="0.3">
      <c r="A38" s="47"/>
      <c r="B38" s="9" t="str">
        <f>CONCATENATE("          ","5081"," - ","PURCHASES @ COST-ELECTRONICS")</f>
        <v xml:space="preserve">          5081 - PURCHASES @ COST-ELECTRONICS</v>
      </c>
      <c r="C38" s="9"/>
      <c r="D38" s="3"/>
      <c r="E38" s="3"/>
      <c r="F38" s="26">
        <f t="shared" si="4"/>
        <v>0</v>
      </c>
      <c r="G38" s="3"/>
      <c r="H38" s="3">
        <v>-5028.84</v>
      </c>
      <c r="I38" s="3"/>
      <c r="J38" s="26">
        <f t="shared" si="5"/>
        <v>-7.7747240302582288E-2</v>
      </c>
      <c r="K38" s="3"/>
      <c r="L38" s="3">
        <f t="shared" si="6"/>
        <v>5028.84</v>
      </c>
      <c r="M38" s="3"/>
      <c r="N38" s="26">
        <f t="shared" si="7"/>
        <v>-1</v>
      </c>
      <c r="O38" s="9"/>
      <c r="P38" s="3">
        <v>0</v>
      </c>
      <c r="Q38" s="3"/>
      <c r="R38" s="26">
        <f t="shared" si="8"/>
        <v>0</v>
      </c>
      <c r="S38" s="3"/>
      <c r="T38" s="3">
        <v>27390.62</v>
      </c>
      <c r="U38" s="3"/>
      <c r="V38" s="26">
        <f t="shared" si="9"/>
        <v>1.038606779258067E-2</v>
      </c>
      <c r="W38" s="3"/>
      <c r="X38" s="3">
        <f t="shared" si="10"/>
        <v>-27390.62</v>
      </c>
      <c r="Y38" s="3"/>
      <c r="Z38" s="26">
        <f t="shared" si="11"/>
        <v>-1</v>
      </c>
    </row>
    <row r="39" spans="1:26" s="69" customFormat="1" ht="15" hidden="1" customHeight="1" outlineLevel="1" x14ac:dyDescent="0.3">
      <c r="A39" s="47"/>
      <c r="B39" s="9" t="str">
        <f>CONCATENATE("          ","5082"," - ","PURCHASES @ COST-COMPUTER HARD")</f>
        <v xml:space="preserve">          5082 - PURCHASES @ COST-COMPUTER HARD</v>
      </c>
      <c r="C39" s="9"/>
      <c r="D39" s="3">
        <v>-29693.58</v>
      </c>
      <c r="E39" s="3"/>
      <c r="F39" s="26">
        <f t="shared" si="4"/>
        <v>-7.439316066296385E-2</v>
      </c>
      <c r="G39" s="3"/>
      <c r="H39" s="3">
        <v>152090.79</v>
      </c>
      <c r="I39" s="3"/>
      <c r="J39" s="26">
        <f t="shared" si="5"/>
        <v>2.3513651653143826</v>
      </c>
      <c r="K39" s="3"/>
      <c r="L39" s="3">
        <f t="shared" si="6"/>
        <v>-181784.37</v>
      </c>
      <c r="M39" s="3"/>
      <c r="N39" s="26">
        <f t="shared" si="7"/>
        <v>-1.1952358850920557</v>
      </c>
      <c r="O39" s="9"/>
      <c r="P39" s="3">
        <v>-150076.54999999999</v>
      </c>
      <c r="Q39" s="3"/>
      <c r="R39" s="26">
        <f t="shared" si="8"/>
        <v>-5.2045795304633068E-2</v>
      </c>
      <c r="S39" s="3"/>
      <c r="T39" s="3">
        <v>1954625.66</v>
      </c>
      <c r="U39" s="3"/>
      <c r="V39" s="26">
        <f t="shared" si="9"/>
        <v>0.74116155873352763</v>
      </c>
      <c r="W39" s="3"/>
      <c r="X39" s="3">
        <f t="shared" si="10"/>
        <v>-2104702.21</v>
      </c>
      <c r="Y39" s="3"/>
      <c r="Z39" s="26">
        <f t="shared" si="11"/>
        <v>-1.076780200460481</v>
      </c>
    </row>
    <row r="40" spans="1:26" s="69" customFormat="1" ht="15" hidden="1" customHeight="1" outlineLevel="1" x14ac:dyDescent="0.3">
      <c r="A40" s="47"/>
      <c r="B40" s="9" t="str">
        <f>CONCATENATE("          ","5083"," - ","PURCHASES @ COST-COMPUTER EQUI")</f>
        <v xml:space="preserve">          5083 - PURCHASES @ COST-COMPUTER EQUI</v>
      </c>
      <c r="C40" s="9"/>
      <c r="D40" s="3"/>
      <c r="E40" s="3"/>
      <c r="F40" s="26">
        <f t="shared" si="4"/>
        <v>0</v>
      </c>
      <c r="G40" s="3"/>
      <c r="H40" s="3">
        <v>24621.69</v>
      </c>
      <c r="I40" s="3"/>
      <c r="J40" s="26">
        <f t="shared" si="5"/>
        <v>0.38065805416073828</v>
      </c>
      <c r="K40" s="3"/>
      <c r="L40" s="3">
        <f t="shared" si="6"/>
        <v>-24621.69</v>
      </c>
      <c r="M40" s="3"/>
      <c r="N40" s="26">
        <f t="shared" si="7"/>
        <v>-1</v>
      </c>
      <c r="O40" s="9"/>
      <c r="P40" s="3">
        <v>0</v>
      </c>
      <c r="Q40" s="3"/>
      <c r="R40" s="26">
        <f t="shared" si="8"/>
        <v>0</v>
      </c>
      <c r="S40" s="3"/>
      <c r="T40" s="3">
        <v>151651.63</v>
      </c>
      <c r="U40" s="3"/>
      <c r="V40" s="26">
        <f t="shared" si="9"/>
        <v>5.7503777206772272E-2</v>
      </c>
      <c r="W40" s="3"/>
      <c r="X40" s="3">
        <f t="shared" si="10"/>
        <v>-151651.63</v>
      </c>
      <c r="Y40" s="3"/>
      <c r="Z40" s="26">
        <f t="shared" si="11"/>
        <v>-1</v>
      </c>
    </row>
    <row r="41" spans="1:26" s="69" customFormat="1" ht="15" hidden="1" customHeight="1" outlineLevel="1" x14ac:dyDescent="0.3">
      <c r="A41" s="47"/>
      <c r="B41" s="9" t="str">
        <f>CONCATENATE("          ","5084"," - ","PURCHASES @ COST-SOFTWARE LICE")</f>
        <v xml:space="preserve">          5084 - PURCHASES @ COST-SOFTWARE LICE</v>
      </c>
      <c r="C41" s="9"/>
      <c r="D41" s="3"/>
      <c r="E41" s="3"/>
      <c r="F41" s="26">
        <f t="shared" si="4"/>
        <v>0</v>
      </c>
      <c r="G41" s="3"/>
      <c r="H41" s="3">
        <v>2421</v>
      </c>
      <c r="I41" s="3"/>
      <c r="J41" s="26">
        <f t="shared" si="5"/>
        <v>3.7429321428510687E-2</v>
      </c>
      <c r="K41" s="3"/>
      <c r="L41" s="3">
        <f t="shared" si="6"/>
        <v>-2421</v>
      </c>
      <c r="M41" s="3"/>
      <c r="N41" s="26">
        <f t="shared" si="7"/>
        <v>-1</v>
      </c>
      <c r="O41" s="9"/>
      <c r="P41" s="3"/>
      <c r="Q41" s="3"/>
      <c r="R41" s="26">
        <f t="shared" si="8"/>
        <v>0</v>
      </c>
      <c r="S41" s="3"/>
      <c r="T41" s="3">
        <v>2421</v>
      </c>
      <c r="U41" s="3"/>
      <c r="V41" s="26">
        <f t="shared" si="9"/>
        <v>9.1800295596951818E-4</v>
      </c>
      <c r="W41" s="3"/>
      <c r="X41" s="3">
        <f t="shared" si="10"/>
        <v>-2421</v>
      </c>
      <c r="Y41" s="3"/>
      <c r="Z41" s="26">
        <f t="shared" si="11"/>
        <v>-1</v>
      </c>
    </row>
    <row r="42" spans="1:26" s="69" customFormat="1" ht="15" hidden="1" customHeight="1" outlineLevel="1" x14ac:dyDescent="0.3">
      <c r="A42" s="47"/>
      <c r="B42" s="9" t="str">
        <f>CONCATENATE("          ","5085"," - ","PURCHASES @ COST-SOFTWARE")</f>
        <v xml:space="preserve">          5085 - PURCHASES @ COST-SOFTWARE</v>
      </c>
      <c r="C42" s="9"/>
      <c r="D42" s="3"/>
      <c r="E42" s="3"/>
      <c r="F42" s="26">
        <f t="shared" si="4"/>
        <v>0</v>
      </c>
      <c r="G42" s="3"/>
      <c r="H42" s="3">
        <v>10694.79</v>
      </c>
      <c r="I42" s="3"/>
      <c r="J42" s="26">
        <f t="shared" si="5"/>
        <v>0.1653443752665931</v>
      </c>
      <c r="K42" s="3"/>
      <c r="L42" s="3">
        <f t="shared" si="6"/>
        <v>-10694.79</v>
      </c>
      <c r="M42" s="3"/>
      <c r="N42" s="26">
        <f t="shared" si="7"/>
        <v>-1</v>
      </c>
      <c r="O42" s="9"/>
      <c r="P42" s="3">
        <v>0</v>
      </c>
      <c r="Q42" s="3"/>
      <c r="R42" s="26">
        <f t="shared" si="8"/>
        <v>0</v>
      </c>
      <c r="S42" s="3"/>
      <c r="T42" s="3">
        <v>56981.16</v>
      </c>
      <c r="U42" s="3"/>
      <c r="V42" s="26">
        <f t="shared" si="9"/>
        <v>2.1606308680120642E-2</v>
      </c>
      <c r="W42" s="3"/>
      <c r="X42" s="3">
        <f t="shared" si="10"/>
        <v>-56981.16</v>
      </c>
      <c r="Y42" s="3"/>
      <c r="Z42" s="26">
        <f t="shared" si="11"/>
        <v>-1</v>
      </c>
    </row>
    <row r="43" spans="1:26" s="69" customFormat="1" ht="15" hidden="1" customHeight="1" outlineLevel="1" x14ac:dyDescent="0.3">
      <c r="A43" s="47"/>
      <c r="B43" s="9" t="str">
        <f>CONCATENATE("          ","5086"," - ","PURCHASES @ COST-COMPUTER SUPP")</f>
        <v xml:space="preserve">          5086 - PURCHASES @ COST-COMPUTER SUPP</v>
      </c>
      <c r="C43" s="9"/>
      <c r="D43" s="3"/>
      <c r="E43" s="3"/>
      <c r="F43" s="26">
        <f t="shared" si="4"/>
        <v>0</v>
      </c>
      <c r="G43" s="3"/>
      <c r="H43" s="3">
        <v>697.28</v>
      </c>
      <c r="I43" s="3"/>
      <c r="J43" s="26">
        <f t="shared" si="5"/>
        <v>1.0780139300153627E-2</v>
      </c>
      <c r="K43" s="3"/>
      <c r="L43" s="3">
        <f t="shared" si="6"/>
        <v>-697.28</v>
      </c>
      <c r="M43" s="3"/>
      <c r="N43" s="26">
        <f t="shared" si="7"/>
        <v>-1</v>
      </c>
      <c r="O43" s="9"/>
      <c r="P43" s="3">
        <v>0</v>
      </c>
      <c r="Q43" s="3"/>
      <c r="R43" s="26">
        <f t="shared" si="8"/>
        <v>0</v>
      </c>
      <c r="S43" s="3"/>
      <c r="T43" s="3">
        <v>24460.29</v>
      </c>
      <c r="U43" s="3"/>
      <c r="V43" s="26">
        <f t="shared" si="9"/>
        <v>9.2749353671506187E-3</v>
      </c>
      <c r="W43" s="3"/>
      <c r="X43" s="3">
        <f t="shared" si="10"/>
        <v>-24460.29</v>
      </c>
      <c r="Y43" s="3"/>
      <c r="Z43" s="26">
        <f t="shared" si="11"/>
        <v>-1</v>
      </c>
    </row>
    <row r="44" spans="1:26" s="69" customFormat="1" ht="15" hidden="1" customHeight="1" outlineLevel="1" x14ac:dyDescent="0.3">
      <c r="A44" s="47"/>
      <c r="B44" s="9" t="str">
        <f>CONCATENATE("          ","5200"," - ","PURCHASES OFFSET")</f>
        <v xml:space="preserve">          5200 - PURCHASES OFFSET</v>
      </c>
      <c r="C44" s="9"/>
      <c r="D44" s="3">
        <v>-340883.54</v>
      </c>
      <c r="E44" s="3"/>
      <c r="F44" s="26">
        <f t="shared" si="4"/>
        <v>-0.8540365950680201</v>
      </c>
      <c r="G44" s="3"/>
      <c r="H44" s="3">
        <v>-228321.2</v>
      </c>
      <c r="I44" s="3"/>
      <c r="J44" s="26">
        <f t="shared" si="5"/>
        <v>-3.5299081304185358</v>
      </c>
      <c r="K44" s="3"/>
      <c r="L44" s="3">
        <f t="shared" si="6"/>
        <v>-112562.33999999997</v>
      </c>
      <c r="M44" s="3"/>
      <c r="N44" s="26">
        <f t="shared" si="7"/>
        <v>0.49299994919438039</v>
      </c>
      <c r="O44" s="9"/>
      <c r="P44" s="3">
        <v>-2564845.42</v>
      </c>
      <c r="Q44" s="3"/>
      <c r="R44" s="26">
        <f t="shared" si="8"/>
        <v>-0.88947553576721772</v>
      </c>
      <c r="S44" s="3"/>
      <c r="T44" s="3">
        <v>-2256861</v>
      </c>
      <c r="U44" s="3"/>
      <c r="V44" s="26">
        <f t="shared" si="9"/>
        <v>-0.85576417563499496</v>
      </c>
      <c r="W44" s="3"/>
      <c r="X44" s="3">
        <f t="shared" si="10"/>
        <v>-307984.41999999993</v>
      </c>
      <c r="Y44" s="3"/>
      <c r="Z44" s="26">
        <f t="shared" si="11"/>
        <v>0.13646583462605802</v>
      </c>
    </row>
    <row r="45" spans="1:26" s="69" customFormat="1" ht="15" hidden="1" customHeight="1" outlineLevel="1" x14ac:dyDescent="0.3">
      <c r="A45" s="47"/>
      <c r="B45" s="9" t="str">
        <f>CONCATENATE("          ","5300"," - ","COG$ OFFSET")</f>
        <v xml:space="preserve">          5300 - COG$ OFFSET</v>
      </c>
      <c r="C45" s="9"/>
      <c r="D45" s="3">
        <v>382194.36</v>
      </c>
      <c r="E45" s="3"/>
      <c r="F45" s="26">
        <f t="shared" si="4"/>
        <v>0.95753514490198355</v>
      </c>
      <c r="G45" s="3"/>
      <c r="H45" s="3">
        <v>68115</v>
      </c>
      <c r="I45" s="3"/>
      <c r="J45" s="26">
        <f t="shared" si="5"/>
        <v>1.0530765093362271</v>
      </c>
      <c r="K45" s="3"/>
      <c r="L45" s="3">
        <f t="shared" si="6"/>
        <v>314079.35999999999</v>
      </c>
      <c r="M45" s="3"/>
      <c r="N45" s="26">
        <f t="shared" si="7"/>
        <v>4.6110160757542387</v>
      </c>
      <c r="O45" s="9"/>
      <c r="P45" s="3">
        <v>2611967.41</v>
      </c>
      <c r="Q45" s="3"/>
      <c r="R45" s="26">
        <f t="shared" si="8"/>
        <v>0.9058172057075714</v>
      </c>
      <c r="S45" s="3"/>
      <c r="T45" s="3">
        <v>2354659</v>
      </c>
      <c r="U45" s="3"/>
      <c r="V45" s="26">
        <f t="shared" si="9"/>
        <v>0.89284755154904161</v>
      </c>
      <c r="W45" s="3"/>
      <c r="X45" s="3">
        <f t="shared" si="10"/>
        <v>257308.41000000015</v>
      </c>
      <c r="Y45" s="3"/>
      <c r="Z45" s="26">
        <f t="shared" si="11"/>
        <v>0.10927629435939563</v>
      </c>
    </row>
    <row r="46" spans="1:26" s="69" customFormat="1" ht="15" hidden="1" customHeight="1" outlineLevel="1" x14ac:dyDescent="0.3">
      <c r="A46" s="47"/>
      <c r="B46" s="9" t="str">
        <f>CONCATENATE("          ","5500"," - ","FREIGHT-IN")</f>
        <v xml:space="preserve">          5500 - FREIGHT-IN</v>
      </c>
      <c r="C46" s="9"/>
      <c r="D46" s="3">
        <v>4.68</v>
      </c>
      <c r="E46" s="3"/>
      <c r="F46" s="26">
        <f t="shared" si="4"/>
        <v>1.1725093165009768E-5</v>
      </c>
      <c r="G46" s="3"/>
      <c r="H46" s="3"/>
      <c r="I46" s="3"/>
      <c r="J46" s="26">
        <f t="shared" si="5"/>
        <v>0</v>
      </c>
      <c r="K46" s="3"/>
      <c r="L46" s="3">
        <f t="shared" si="6"/>
        <v>4.68</v>
      </c>
      <c r="M46" s="3"/>
      <c r="N46" s="26">
        <f t="shared" si="7"/>
        <v>0</v>
      </c>
      <c r="O46" s="9"/>
      <c r="P46" s="3">
        <v>207.8</v>
      </c>
      <c r="Q46" s="3"/>
      <c r="R46" s="26">
        <f t="shared" si="8"/>
        <v>7.2063998434817127E-5</v>
      </c>
      <c r="S46" s="3"/>
      <c r="T46" s="3">
        <v>0</v>
      </c>
      <c r="U46" s="3"/>
      <c r="V46" s="26">
        <f t="shared" si="9"/>
        <v>0</v>
      </c>
      <c r="W46" s="3"/>
      <c r="X46" s="3">
        <f t="shared" si="10"/>
        <v>207.8</v>
      </c>
      <c r="Y46" s="3"/>
      <c r="Z46" s="26">
        <f t="shared" si="11"/>
        <v>0</v>
      </c>
    </row>
    <row r="47" spans="1:26" s="69" customFormat="1" ht="15" hidden="1" customHeight="1" outlineLevel="1" x14ac:dyDescent="0.3">
      <c r="A47" s="47"/>
      <c r="B47" s="9" t="str">
        <f>CONCATENATE("          ","5581"," - ","FREIGHT-IN-ELECTRONICS")</f>
        <v xml:space="preserve">          5581 - FREIGHT-IN-ELECTRONICS</v>
      </c>
      <c r="C47" s="9"/>
      <c r="D47" s="3"/>
      <c r="E47" s="3"/>
      <c r="F47" s="26">
        <f t="shared" si="4"/>
        <v>0</v>
      </c>
      <c r="G47" s="3"/>
      <c r="H47" s="3">
        <v>0</v>
      </c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/>
      <c r="Q47" s="3"/>
      <c r="R47" s="26">
        <f t="shared" si="8"/>
        <v>0</v>
      </c>
      <c r="S47" s="3"/>
      <c r="T47" s="3">
        <v>31</v>
      </c>
      <c r="U47" s="3"/>
      <c r="V47" s="26">
        <f t="shared" si="9"/>
        <v>1.17546846902334E-5</v>
      </c>
      <c r="W47" s="3"/>
      <c r="X47" s="3">
        <f t="shared" si="10"/>
        <v>-31</v>
      </c>
      <c r="Y47" s="3"/>
      <c r="Z47" s="26">
        <f t="shared" si="11"/>
        <v>-1</v>
      </c>
    </row>
    <row r="48" spans="1:26" s="69" customFormat="1" ht="15" hidden="1" customHeight="1" outlineLevel="1" x14ac:dyDescent="0.3">
      <c r="A48" s="47"/>
      <c r="B48" s="9" t="str">
        <f>CONCATENATE("          ","5582"," - ","FREIGHT-IN-COMPUTER HARDWARE")</f>
        <v xml:space="preserve">          5582 - FREIGHT-IN-COMPUTER HARDWARE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/>
      <c r="Q48" s="3"/>
      <c r="R48" s="26">
        <f t="shared" si="8"/>
        <v>0</v>
      </c>
      <c r="S48" s="3"/>
      <c r="T48" s="3">
        <v>145</v>
      </c>
      <c r="U48" s="3"/>
      <c r="V48" s="26">
        <f t="shared" si="9"/>
        <v>5.4981589680123972E-5</v>
      </c>
      <c r="W48" s="3"/>
      <c r="X48" s="3">
        <f t="shared" si="10"/>
        <v>-145</v>
      </c>
      <c r="Y48" s="3"/>
      <c r="Z48" s="26">
        <f t="shared" si="11"/>
        <v>-1</v>
      </c>
    </row>
    <row r="49" spans="1:26" s="69" customFormat="1" ht="15" hidden="1" customHeight="1" outlineLevel="1" x14ac:dyDescent="0.3">
      <c r="A49" s="47"/>
      <c r="B49" s="9" t="str">
        <f>CONCATENATE("          ","5583"," - ","FREIGHT-IN-COMPUTER EQUIPMENT")</f>
        <v xml:space="preserve">          5583 - FREIGHT-IN-COMPUTER EQUIPMENT</v>
      </c>
      <c r="C49" s="9"/>
      <c r="D49" s="3"/>
      <c r="E49" s="3"/>
      <c r="F49" s="26">
        <f t="shared" si="4"/>
        <v>0</v>
      </c>
      <c r="G49" s="3"/>
      <c r="H49" s="3"/>
      <c r="I49" s="3"/>
      <c r="J49" s="26">
        <f t="shared" si="5"/>
        <v>0</v>
      </c>
      <c r="K49" s="3"/>
      <c r="L49" s="3">
        <f t="shared" si="6"/>
        <v>0</v>
      </c>
      <c r="M49" s="3"/>
      <c r="N49" s="26">
        <f t="shared" si="7"/>
        <v>0</v>
      </c>
      <c r="O49" s="9"/>
      <c r="P49" s="3">
        <v>0</v>
      </c>
      <c r="Q49" s="3"/>
      <c r="R49" s="26">
        <f t="shared" si="8"/>
        <v>0</v>
      </c>
      <c r="S49" s="3"/>
      <c r="T49" s="3">
        <v>242.46</v>
      </c>
      <c r="U49" s="3"/>
      <c r="V49" s="26">
        <f t="shared" si="9"/>
        <v>9.1936801612709366E-5</v>
      </c>
      <c r="W49" s="3"/>
      <c r="X49" s="3">
        <f t="shared" si="10"/>
        <v>-242.46</v>
      </c>
      <c r="Y49" s="3"/>
      <c r="Z49" s="26">
        <f t="shared" si="11"/>
        <v>-1</v>
      </c>
    </row>
    <row r="50" spans="1:26" s="69" customFormat="1" ht="15" hidden="1" customHeight="1" outlineLevel="1" x14ac:dyDescent="0.3">
      <c r="A50" s="47"/>
      <c r="B50" s="9" t="str">
        <f>CONCATENATE("          ","5585"," - ","FREIGHT-IN-SOFTWARE")</f>
        <v xml:space="preserve">          5585 - FREIGHT-IN-SOFTWARE</v>
      </c>
      <c r="C50" s="9"/>
      <c r="D50" s="3"/>
      <c r="E50" s="3"/>
      <c r="F50" s="26">
        <f t="shared" si="4"/>
        <v>0</v>
      </c>
      <c r="G50" s="3"/>
      <c r="H50" s="3"/>
      <c r="I50" s="3"/>
      <c r="J50" s="26">
        <f t="shared" si="5"/>
        <v>0</v>
      </c>
      <c r="K50" s="3"/>
      <c r="L50" s="3">
        <f t="shared" si="6"/>
        <v>0</v>
      </c>
      <c r="M50" s="3"/>
      <c r="N50" s="26">
        <f t="shared" si="7"/>
        <v>0</v>
      </c>
      <c r="O50" s="9"/>
      <c r="P50" s="3"/>
      <c r="Q50" s="3"/>
      <c r="R50" s="26">
        <f t="shared" si="8"/>
        <v>0</v>
      </c>
      <c r="S50" s="3"/>
      <c r="T50" s="3">
        <v>9.41</v>
      </c>
      <c r="U50" s="3"/>
      <c r="V50" s="26">
        <f t="shared" si="9"/>
        <v>3.5681155785514936E-6</v>
      </c>
      <c r="W50" s="3"/>
      <c r="X50" s="3">
        <f t="shared" si="10"/>
        <v>-9.41</v>
      </c>
      <c r="Y50" s="3"/>
      <c r="Z50" s="26">
        <f t="shared" si="11"/>
        <v>-1</v>
      </c>
    </row>
    <row r="51" spans="1:26" s="69" customFormat="1" ht="15" hidden="1" customHeight="1" outlineLevel="1" x14ac:dyDescent="0.3">
      <c r="A51" s="47"/>
      <c r="B51" s="9" t="str">
        <f>CONCATENATE("          ","5586"," - ","FREIGHT-IN-COMPUTER SUPPLIES")</f>
        <v xml:space="preserve">          5586 - FREIGHT-IN-COMPUTER SUPPLIES</v>
      </c>
      <c r="C51" s="9"/>
      <c r="D51" s="3"/>
      <c r="E51" s="3"/>
      <c r="F51" s="26">
        <f t="shared" si="4"/>
        <v>0</v>
      </c>
      <c r="G51" s="3"/>
      <c r="H51" s="3"/>
      <c r="I51" s="3"/>
      <c r="J51" s="26">
        <f t="shared" si="5"/>
        <v>0</v>
      </c>
      <c r="K51" s="3"/>
      <c r="L51" s="3">
        <f t="shared" si="6"/>
        <v>0</v>
      </c>
      <c r="M51" s="3"/>
      <c r="N51" s="26">
        <f t="shared" si="7"/>
        <v>0</v>
      </c>
      <c r="O51" s="9"/>
      <c r="P51" s="3"/>
      <c r="Q51" s="3"/>
      <c r="R51" s="26">
        <f t="shared" si="8"/>
        <v>0</v>
      </c>
      <c r="S51" s="3"/>
      <c r="T51" s="3">
        <v>24.12</v>
      </c>
      <c r="U51" s="3"/>
      <c r="V51" s="26">
        <f t="shared" si="9"/>
        <v>9.1459030557557945E-6</v>
      </c>
      <c r="W51" s="3"/>
      <c r="X51" s="3">
        <f t="shared" si="10"/>
        <v>-24.12</v>
      </c>
      <c r="Y51" s="3"/>
      <c r="Z51" s="26">
        <f t="shared" si="11"/>
        <v>-1</v>
      </c>
    </row>
    <row r="52" spans="1:26" ht="15" customHeight="1" x14ac:dyDescent="0.3">
      <c r="A52" s="12"/>
      <c r="B52" s="13"/>
      <c r="C52" s="13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O52" s="13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2" customFormat="1" ht="15" customHeight="1" x14ac:dyDescent="0.3">
      <c r="A53" s="13"/>
      <c r="B53" s="28" t="s">
        <v>288</v>
      </c>
      <c r="C53" s="28"/>
      <c r="D53" s="22">
        <f>D12-D36</f>
        <v>112946.89999999991</v>
      </c>
      <c r="E53" s="15"/>
      <c r="F53" s="24">
        <f>IF(D$12=0,0,D53/D$12)</f>
        <v>0.2829728472647523</v>
      </c>
      <c r="G53" s="15"/>
      <c r="H53" s="22">
        <f>H12-H36</f>
        <v>39391.399999999994</v>
      </c>
      <c r="I53" s="15"/>
      <c r="J53" s="24">
        <f>IF(H$12=0,0,H53/H$12)</f>
        <v>0.60900180591451292</v>
      </c>
      <c r="K53" s="17"/>
      <c r="L53" s="22">
        <f>+D53-H53</f>
        <v>73555.499999999913</v>
      </c>
      <c r="M53" s="17"/>
      <c r="N53" s="24">
        <f>IF(H53=0,0,L53/H53)</f>
        <v>1.8672984458536614</v>
      </c>
      <c r="O53" s="27"/>
      <c r="P53" s="22">
        <f>P12-P36</f>
        <v>487960.88999999966</v>
      </c>
      <c r="Q53" s="15"/>
      <c r="R53" s="24">
        <f>IF(P$12=0,0,P53/P$12)</f>
        <v>0.16922239082392659</v>
      </c>
      <c r="S53" s="15"/>
      <c r="T53" s="22">
        <f>T12-T36</f>
        <v>321466.05999999959</v>
      </c>
      <c r="U53" s="15"/>
      <c r="V53" s="24">
        <f>IF(T$12=0,0,T53/T$12)</f>
        <v>0.12189458625521442</v>
      </c>
      <c r="W53" s="17"/>
      <c r="X53" s="22">
        <f>+P53-T53</f>
        <v>166494.83000000007</v>
      </c>
      <c r="Y53" s="17"/>
      <c r="Z53" s="24">
        <f>IF(T53=0,0,X53/T53)</f>
        <v>0.51792350956116573</v>
      </c>
    </row>
    <row r="54" spans="1:26" ht="15" customHeight="1" x14ac:dyDescent="0.3">
      <c r="A54" s="12"/>
      <c r="B54" s="13"/>
      <c r="C54" s="12"/>
      <c r="D54" s="2"/>
      <c r="E54" s="2"/>
      <c r="F54" s="5"/>
      <c r="G54" s="2"/>
      <c r="H54" s="2"/>
      <c r="I54" s="2"/>
      <c r="J54" s="5"/>
      <c r="K54" s="2"/>
      <c r="L54" s="2"/>
      <c r="M54" s="2"/>
      <c r="N54" s="5"/>
      <c r="O54" s="37"/>
      <c r="P54" s="2"/>
      <c r="Q54" s="2"/>
      <c r="R54" s="5"/>
      <c r="S54" s="2"/>
      <c r="T54" s="2"/>
      <c r="U54" s="2"/>
      <c r="V54" s="5"/>
      <c r="W54" s="2"/>
      <c r="X54" s="2"/>
      <c r="Y54" s="2"/>
      <c r="Z54" s="5"/>
    </row>
    <row r="55" spans="1:26" s="62" customFormat="1" ht="15" customHeight="1" x14ac:dyDescent="0.3">
      <c r="A55" s="13"/>
      <c r="B55" s="27" t="s">
        <v>289</v>
      </c>
      <c r="C55" s="13"/>
      <c r="D55" s="23" cm="1">
        <f t="array" ref="D55">SUM(OSRRefD22x_0)</f>
        <v>3329.8900000000003</v>
      </c>
      <c r="E55" s="23"/>
      <c r="F55" s="34">
        <f t="shared" ref="F55:F98" si="12">IF(D$12=0,0,D55/D$12)</f>
        <v>8.3425791622295693E-3</v>
      </c>
      <c r="G55" s="23"/>
      <c r="H55" s="23" cm="1">
        <f t="array" ref="H55">SUM(OSRRefH22x_0)</f>
        <v>-995.91999999999894</v>
      </c>
      <c r="I55" s="23"/>
      <c r="J55" s="34">
        <f t="shared" ref="J55:J98" si="13">IF(H$12=0,0,H55/H$12)</f>
        <v>-1.5397195289996831E-2</v>
      </c>
      <c r="K55" s="8"/>
      <c r="L55" s="23">
        <f t="shared" ref="L55:L98" si="14">+D55-H55</f>
        <v>4325.8099999999995</v>
      </c>
      <c r="M55" s="8"/>
      <c r="N55" s="34">
        <f t="shared" ref="N55:N98" si="15">IF(H55=0,0,L55/H55)</f>
        <v>-4.3435316089645797</v>
      </c>
      <c r="O55" s="13"/>
      <c r="P55" s="23" cm="1">
        <f t="array" ref="P55">SUM(OSRRefP22x_0)</f>
        <v>174633.16999999995</v>
      </c>
      <c r="Q55" s="23"/>
      <c r="R55" s="34">
        <f t="shared" ref="R55:R98" si="16">IF(P$12=0,0,P55/P$12)</f>
        <v>6.056190803439436E-2</v>
      </c>
      <c r="S55" s="23"/>
      <c r="T55" s="23" cm="1">
        <f t="array" ref="T55">SUM(OSRRefT22x_0)</f>
        <v>150448.5</v>
      </c>
      <c r="U55" s="23"/>
      <c r="V55" s="34">
        <f t="shared" ref="V55:V98" si="17">IF(T$12=0,0,T55/T$12)</f>
        <v>5.7047570310276768E-2</v>
      </c>
      <c r="W55" s="8"/>
      <c r="X55" s="23">
        <f t="shared" ref="X55:X98" si="18">+P55-T55</f>
        <v>24184.669999999955</v>
      </c>
      <c r="Y55" s="8"/>
      <c r="Z55" s="34">
        <f t="shared" ref="Z55:Z98" si="19">IF(T55=0,0,X55/T55)</f>
        <v>0.16075048937011638</v>
      </c>
    </row>
    <row r="56" spans="1:26" s="68" customFormat="1" ht="15" customHeight="1" outlineLevel="1" collapsed="1" x14ac:dyDescent="0.3">
      <c r="A56" s="20"/>
      <c r="B56" s="11" t="str">
        <f>CONCATENATE("     ","*Benefits                                         ")</f>
        <v xml:space="preserve">     *Benefits                                         </v>
      </c>
      <c r="C56" s="11"/>
      <c r="D56" s="2">
        <f>SUM(OSRRefD22_0x_0)</f>
        <v>846.68999999999994</v>
      </c>
      <c r="E56" s="2"/>
      <c r="F56" s="5">
        <f t="shared" si="12"/>
        <v>2.1212647717696841E-3</v>
      </c>
      <c r="G56" s="2"/>
      <c r="H56" s="2">
        <f>SUM(OSRRefH22_0x_0)</f>
        <v>3035.8100000000004</v>
      </c>
      <c r="I56" s="2"/>
      <c r="J56" s="5">
        <f t="shared" si="13"/>
        <v>4.6934451997475035E-2</v>
      </c>
      <c r="K56" s="2"/>
      <c r="L56" s="2">
        <f t="shared" si="14"/>
        <v>-2189.1200000000003</v>
      </c>
      <c r="M56" s="2"/>
      <c r="N56" s="5">
        <f t="shared" si="15"/>
        <v>-0.72109914652102736</v>
      </c>
      <c r="O56" s="11"/>
      <c r="P56" s="2">
        <f>SUM(OSRRefP22_0x_0)</f>
        <v>31634.639999999999</v>
      </c>
      <c r="Q56" s="2"/>
      <c r="R56" s="5">
        <f t="shared" si="16"/>
        <v>1.0970734588286828E-2</v>
      </c>
      <c r="S56" s="2"/>
      <c r="T56" s="2">
        <f>SUM(OSRRefT22_0x_0)</f>
        <v>35524.879999999997</v>
      </c>
      <c r="U56" s="2"/>
      <c r="V56" s="5">
        <f t="shared" si="17"/>
        <v>1.347044396962512E-2</v>
      </c>
      <c r="W56" s="2"/>
      <c r="X56" s="2">
        <f t="shared" si="18"/>
        <v>-3890.239999999998</v>
      </c>
      <c r="Y56" s="2"/>
      <c r="Z56" s="5">
        <f t="shared" si="19"/>
        <v>-0.10950747757627889</v>
      </c>
    </row>
    <row r="57" spans="1:26" s="69" customFormat="1" ht="15" hidden="1" customHeight="1" outlineLevel="2" x14ac:dyDescent="0.3">
      <c r="A57" s="21"/>
      <c r="B57" s="9" t="str">
        <f>CONCATENATE("          ","6111"," - ","F.I.C.A.")</f>
        <v xml:space="preserve">          6111 - F.I.C.A.</v>
      </c>
      <c r="C57" s="9"/>
      <c r="D57" s="6">
        <v>804.82</v>
      </c>
      <c r="E57" s="3"/>
      <c r="F57" s="7">
        <f t="shared" si="12"/>
        <v>2.0163652737314451E-3</v>
      </c>
      <c r="G57" s="3"/>
      <c r="H57" s="6">
        <v>622.99</v>
      </c>
      <c r="I57" s="3"/>
      <c r="J57" s="7">
        <f t="shared" si="13"/>
        <v>9.6315956037785529E-3</v>
      </c>
      <c r="K57" s="3"/>
      <c r="L57" s="6">
        <f t="shared" si="14"/>
        <v>181.83000000000004</v>
      </c>
      <c r="M57" s="3"/>
      <c r="N57" s="7">
        <f t="shared" si="15"/>
        <v>0.29186664312428778</v>
      </c>
      <c r="O57" s="9"/>
      <c r="P57" s="6">
        <v>7299.12</v>
      </c>
      <c r="Q57" s="3"/>
      <c r="R57" s="7">
        <f t="shared" si="16"/>
        <v>2.5312982302961614E-3</v>
      </c>
      <c r="S57" s="3"/>
      <c r="T57" s="6">
        <v>6560.19</v>
      </c>
      <c r="U57" s="3"/>
      <c r="V57" s="7">
        <f t="shared" si="17"/>
        <v>2.4875149986458788E-3</v>
      </c>
      <c r="W57" s="3"/>
      <c r="X57" s="6">
        <f t="shared" si="18"/>
        <v>738.93000000000029</v>
      </c>
      <c r="Y57" s="3"/>
      <c r="Z57" s="7">
        <f t="shared" si="19"/>
        <v>0.11263850589693292</v>
      </c>
    </row>
    <row r="58" spans="1:26" s="69" customFormat="1" ht="15" hidden="1" customHeight="1" outlineLevel="2" x14ac:dyDescent="0.3">
      <c r="A58" s="21"/>
      <c r="B58" s="9" t="str">
        <f>CONCATENATE("          ","6112"," - ","COMPENSATION INSURANCE")</f>
        <v xml:space="preserve">          6112 - COMPENSATION INSURANCE</v>
      </c>
      <c r="C58" s="9"/>
      <c r="D58" s="6">
        <v>-1175.6300000000001</v>
      </c>
      <c r="E58" s="3"/>
      <c r="F58" s="7">
        <f t="shared" si="12"/>
        <v>-2.945378478115478E-3</v>
      </c>
      <c r="G58" s="3"/>
      <c r="H58" s="6">
        <v>132.6</v>
      </c>
      <c r="I58" s="3"/>
      <c r="J58" s="7">
        <f t="shared" si="13"/>
        <v>2.0500322269394948E-3</v>
      </c>
      <c r="K58" s="3"/>
      <c r="L58" s="6">
        <f t="shared" si="14"/>
        <v>-1308.23</v>
      </c>
      <c r="M58" s="3"/>
      <c r="N58" s="7">
        <f t="shared" si="15"/>
        <v>-9.8659879336349938</v>
      </c>
      <c r="O58" s="9"/>
      <c r="P58" s="6">
        <v>536.69000000000005</v>
      </c>
      <c r="Q58" s="3"/>
      <c r="R58" s="7">
        <f t="shared" si="16"/>
        <v>1.861214019248412E-4</v>
      </c>
      <c r="S58" s="3"/>
      <c r="T58" s="6">
        <v>1867.88</v>
      </c>
      <c r="U58" s="3"/>
      <c r="V58" s="7">
        <f t="shared" si="17"/>
        <v>7.0826904642558601E-4</v>
      </c>
      <c r="W58" s="3"/>
      <c r="X58" s="6">
        <f t="shared" si="18"/>
        <v>-1331.19</v>
      </c>
      <c r="Y58" s="3"/>
      <c r="Z58" s="7">
        <f t="shared" si="19"/>
        <v>-0.71267426172987558</v>
      </c>
    </row>
    <row r="59" spans="1:26" s="69" customFormat="1" ht="15" hidden="1" customHeight="1" outlineLevel="2" x14ac:dyDescent="0.3">
      <c r="A59" s="21"/>
      <c r="B59" s="9" t="str">
        <f>CONCATENATE("          ","6113"," - ","GROUP INSURANCE")</f>
        <v xml:space="preserve">          6113 - GROUP INSURANCE</v>
      </c>
      <c r="C59" s="9"/>
      <c r="D59" s="6">
        <v>179.83</v>
      </c>
      <c r="E59" s="3"/>
      <c r="F59" s="7">
        <f t="shared" si="12"/>
        <v>4.505392102272878E-4</v>
      </c>
      <c r="G59" s="3"/>
      <c r="H59" s="6">
        <v>1053.8499999999999</v>
      </c>
      <c r="I59" s="3"/>
      <c r="J59" s="7">
        <f t="shared" si="13"/>
        <v>1.6292808916743489E-2</v>
      </c>
      <c r="K59" s="3"/>
      <c r="L59" s="6">
        <f t="shared" si="14"/>
        <v>-874.01999999999987</v>
      </c>
      <c r="M59" s="3"/>
      <c r="N59" s="7">
        <f t="shared" si="15"/>
        <v>-0.82935901693789438</v>
      </c>
      <c r="O59" s="9"/>
      <c r="P59" s="6">
        <v>11627.15</v>
      </c>
      <c r="Q59" s="3"/>
      <c r="R59" s="7">
        <f t="shared" si="16"/>
        <v>4.0322373407188829E-3</v>
      </c>
      <c r="S59" s="3"/>
      <c r="T59" s="6">
        <v>12537.88</v>
      </c>
      <c r="U59" s="3"/>
      <c r="V59" s="7">
        <f t="shared" si="17"/>
        <v>4.7541556801285016E-3</v>
      </c>
      <c r="W59" s="3"/>
      <c r="X59" s="6">
        <f t="shared" si="18"/>
        <v>-910.72999999999956</v>
      </c>
      <c r="Y59" s="3"/>
      <c r="Z59" s="7">
        <f t="shared" si="19"/>
        <v>-7.2638276965483764E-2</v>
      </c>
    </row>
    <row r="60" spans="1:26" s="69" customFormat="1" ht="15" hidden="1" customHeight="1" outlineLevel="2" x14ac:dyDescent="0.3">
      <c r="A60" s="21"/>
      <c r="B60" s="9" t="str">
        <f>CONCATENATE("          ","6114"," - ","STATE UNEMPLOYMENT INSURANCE")</f>
        <v xml:space="preserve">          6114 - STATE UNEMPLOYMENT INSURANCE</v>
      </c>
      <c r="C60" s="9"/>
      <c r="D60" s="6"/>
      <c r="E60" s="3"/>
      <c r="F60" s="7">
        <f t="shared" si="12"/>
        <v>0</v>
      </c>
      <c r="G60" s="3"/>
      <c r="H60" s="6">
        <v>18.63</v>
      </c>
      <c r="I60" s="3"/>
      <c r="J60" s="7">
        <f t="shared" si="13"/>
        <v>2.8802488980303763E-4</v>
      </c>
      <c r="K60" s="3"/>
      <c r="L60" s="6">
        <f t="shared" si="14"/>
        <v>-18.63</v>
      </c>
      <c r="M60" s="3"/>
      <c r="N60" s="7">
        <f t="shared" si="15"/>
        <v>-1</v>
      </c>
      <c r="O60" s="9"/>
      <c r="P60" s="6">
        <v>301.5</v>
      </c>
      <c r="Q60" s="3"/>
      <c r="R60" s="7">
        <f t="shared" si="16"/>
        <v>1.0455868877813937E-4</v>
      </c>
      <c r="S60" s="3"/>
      <c r="T60" s="6">
        <v>277.20999999999998</v>
      </c>
      <c r="U60" s="3"/>
      <c r="V60" s="7">
        <f t="shared" si="17"/>
        <v>1.051134239670839E-4</v>
      </c>
      <c r="W60" s="3"/>
      <c r="X60" s="6">
        <f t="shared" si="18"/>
        <v>24.29000000000002</v>
      </c>
      <c r="Y60" s="3"/>
      <c r="Z60" s="7">
        <f t="shared" si="19"/>
        <v>8.7623101619710764E-2</v>
      </c>
    </row>
    <row r="61" spans="1:26" s="69" customFormat="1" ht="15" hidden="1" customHeight="1" outlineLevel="2" x14ac:dyDescent="0.3">
      <c r="A61" s="21"/>
      <c r="B61" s="9" t="str">
        <f>CONCATENATE("          ","6115"," - ","P.E.R.S.")</f>
        <v xml:space="preserve">          6115 - P.E.R.S.</v>
      </c>
      <c r="C61" s="9"/>
      <c r="D61" s="6">
        <v>111.48</v>
      </c>
      <c r="E61" s="3"/>
      <c r="F61" s="7">
        <f t="shared" si="12"/>
        <v>2.7929773205882249E-4</v>
      </c>
      <c r="G61" s="3"/>
      <c r="H61" s="6">
        <v>287.82</v>
      </c>
      <c r="I61" s="3"/>
      <c r="J61" s="7">
        <f t="shared" si="13"/>
        <v>4.4497758337686683E-3</v>
      </c>
      <c r="K61" s="3"/>
      <c r="L61" s="6">
        <f t="shared" si="14"/>
        <v>-176.33999999999997</v>
      </c>
      <c r="M61" s="3"/>
      <c r="N61" s="7">
        <f t="shared" si="15"/>
        <v>-0.61267458828434429</v>
      </c>
      <c r="O61" s="9"/>
      <c r="P61" s="6">
        <v>1453.64</v>
      </c>
      <c r="Q61" s="3"/>
      <c r="R61" s="7">
        <f t="shared" si="16"/>
        <v>5.0411506585557053E-4</v>
      </c>
      <c r="S61" s="3"/>
      <c r="T61" s="6">
        <v>2404.86</v>
      </c>
      <c r="U61" s="3"/>
      <c r="V61" s="7">
        <f t="shared" si="17"/>
        <v>9.1188293626305475E-4</v>
      </c>
      <c r="W61" s="3"/>
      <c r="X61" s="6">
        <f t="shared" si="18"/>
        <v>-951.22</v>
      </c>
      <c r="Y61" s="3"/>
      <c r="Z61" s="7">
        <f t="shared" si="19"/>
        <v>-0.39554069675573628</v>
      </c>
    </row>
    <row r="62" spans="1:26" s="69" customFormat="1" ht="15" hidden="1" customHeight="1" outlineLevel="2" x14ac:dyDescent="0.3">
      <c r="A62" s="21"/>
      <c r="B62" s="9" t="str">
        <f>CONCATENATE("          ","6117"," - ","RETIREMENT STAFF HOURLY")</f>
        <v xml:space="preserve">          6117 - RETIREMENT STAFF HOURLY</v>
      </c>
      <c r="C62" s="9"/>
      <c r="D62" s="6">
        <v>195.63</v>
      </c>
      <c r="E62" s="3"/>
      <c r="F62" s="7">
        <f t="shared" si="12"/>
        <v>4.9012392646813276E-4</v>
      </c>
      <c r="G62" s="3"/>
      <c r="H62" s="6">
        <v>169.75</v>
      </c>
      <c r="I62" s="3"/>
      <c r="J62" s="7">
        <f t="shared" si="13"/>
        <v>2.6243813764930566E-3</v>
      </c>
      <c r="K62" s="3"/>
      <c r="L62" s="6">
        <f t="shared" si="14"/>
        <v>25.879999999999995</v>
      </c>
      <c r="M62" s="3"/>
      <c r="N62" s="7">
        <f t="shared" si="15"/>
        <v>0.15245949926362296</v>
      </c>
      <c r="O62" s="9"/>
      <c r="P62" s="6">
        <v>562.08000000000004</v>
      </c>
      <c r="Q62" s="3"/>
      <c r="R62" s="7">
        <f t="shared" si="16"/>
        <v>1.9492652666141486E-4</v>
      </c>
      <c r="S62" s="3"/>
      <c r="T62" s="6">
        <v>2242.48</v>
      </c>
      <c r="U62" s="3"/>
      <c r="V62" s="7">
        <f t="shared" si="17"/>
        <v>8.5031113948885793E-4</v>
      </c>
      <c r="W62" s="3"/>
      <c r="X62" s="6">
        <f t="shared" si="18"/>
        <v>-1680.4</v>
      </c>
      <c r="Y62" s="3"/>
      <c r="Z62" s="7">
        <f t="shared" si="19"/>
        <v>-0.74934893510755951</v>
      </c>
    </row>
    <row r="63" spans="1:26" s="69" customFormat="1" ht="15" hidden="1" customHeight="1" outlineLevel="2" x14ac:dyDescent="0.3">
      <c r="A63" s="21"/>
      <c r="B63" s="9" t="str">
        <f>CONCATENATE("          ","6118"," - ","VACATION")</f>
        <v xml:space="preserve">          6118 - VACATION</v>
      </c>
      <c r="C63" s="9"/>
      <c r="D63" s="6">
        <v>229.44</v>
      </c>
      <c r="E63" s="3"/>
      <c r="F63" s="7">
        <f t="shared" si="12"/>
        <v>5.7483020849996612E-4</v>
      </c>
      <c r="G63" s="3"/>
      <c r="H63" s="6">
        <v>267.04000000000002</v>
      </c>
      <c r="I63" s="3"/>
      <c r="J63" s="7">
        <f t="shared" si="13"/>
        <v>4.1285113565755864E-3</v>
      </c>
      <c r="K63" s="3"/>
      <c r="L63" s="6">
        <f t="shared" si="14"/>
        <v>-37.600000000000023</v>
      </c>
      <c r="M63" s="3"/>
      <c r="N63" s="7">
        <f t="shared" si="15"/>
        <v>-0.14080287597363697</v>
      </c>
      <c r="O63" s="9"/>
      <c r="P63" s="6">
        <v>3358.39</v>
      </c>
      <c r="Q63" s="3"/>
      <c r="R63" s="7">
        <f t="shared" si="16"/>
        <v>1.1646728185924229E-3</v>
      </c>
      <c r="S63" s="3"/>
      <c r="T63" s="6">
        <v>3425.3</v>
      </c>
      <c r="U63" s="3"/>
      <c r="V63" s="7">
        <f t="shared" si="17"/>
        <v>1.29881682159537E-3</v>
      </c>
      <c r="W63" s="3"/>
      <c r="X63" s="6">
        <f t="shared" si="18"/>
        <v>-66.910000000000309</v>
      </c>
      <c r="Y63" s="3"/>
      <c r="Z63" s="7">
        <f t="shared" si="19"/>
        <v>-1.9534055411204947E-2</v>
      </c>
    </row>
    <row r="64" spans="1:26" s="69" customFormat="1" ht="15" hidden="1" customHeight="1" outlineLevel="2" x14ac:dyDescent="0.3">
      <c r="A64" s="21"/>
      <c r="B64" s="9" t="str">
        <f>CONCATENATE("          ","6119"," - ","SICK LEAVE")</f>
        <v xml:space="preserve">          6119 - SICK LEAVE</v>
      </c>
      <c r="C64" s="9"/>
      <c r="D64" s="6">
        <v>252.39</v>
      </c>
      <c r="E64" s="3"/>
      <c r="F64" s="7">
        <f t="shared" si="12"/>
        <v>6.3232826152068709E-4</v>
      </c>
      <c r="G64" s="3"/>
      <c r="H64" s="6">
        <v>267.63</v>
      </c>
      <c r="I64" s="3"/>
      <c r="J64" s="7">
        <f t="shared" si="13"/>
        <v>4.1376329177663426E-3</v>
      </c>
      <c r="K64" s="3"/>
      <c r="L64" s="6">
        <f t="shared" si="14"/>
        <v>-15.240000000000009</v>
      </c>
      <c r="M64" s="3"/>
      <c r="N64" s="7">
        <f t="shared" si="15"/>
        <v>-5.6944288756865857E-2</v>
      </c>
      <c r="O64" s="9"/>
      <c r="P64" s="6">
        <v>4174.7700000000004</v>
      </c>
      <c r="Q64" s="3"/>
      <c r="R64" s="7">
        <f t="shared" si="16"/>
        <v>1.4477893106146365E-3</v>
      </c>
      <c r="S64" s="3"/>
      <c r="T64" s="6">
        <v>3423.89</v>
      </c>
      <c r="U64" s="3"/>
      <c r="V64" s="7">
        <f t="shared" si="17"/>
        <v>1.2982821730336527E-3</v>
      </c>
      <c r="W64" s="3"/>
      <c r="X64" s="6">
        <f t="shared" si="18"/>
        <v>750.88000000000056</v>
      </c>
      <c r="Y64" s="3"/>
      <c r="Z64" s="7">
        <f t="shared" si="19"/>
        <v>0.21930611088557184</v>
      </c>
    </row>
    <row r="65" spans="1:26" s="69" customFormat="1" ht="15" hidden="1" customHeight="1" outlineLevel="2" x14ac:dyDescent="0.3">
      <c r="A65" s="21"/>
      <c r="B65" s="9" t="str">
        <f>CONCATENATE("          ","6156"," - ","EMPLOYEE MEALS")</f>
        <v xml:space="preserve">          6156 - EMPLOYEE MEALS</v>
      </c>
      <c r="C65" s="9"/>
      <c r="D65" s="6">
        <v>248.73</v>
      </c>
      <c r="E65" s="3"/>
      <c r="F65" s="7">
        <f t="shared" si="12"/>
        <v>6.2315863737882047E-4</v>
      </c>
      <c r="G65" s="3"/>
      <c r="H65" s="6">
        <v>215.5</v>
      </c>
      <c r="I65" s="3"/>
      <c r="J65" s="7">
        <f t="shared" si="13"/>
        <v>3.331688875606796E-3</v>
      </c>
      <c r="K65" s="3"/>
      <c r="L65" s="6">
        <f t="shared" si="14"/>
        <v>33.22999999999999</v>
      </c>
      <c r="M65" s="3"/>
      <c r="N65" s="7">
        <f t="shared" si="15"/>
        <v>0.15419953596287697</v>
      </c>
      <c r="O65" s="9"/>
      <c r="P65" s="6">
        <v>2321.3000000000002</v>
      </c>
      <c r="Q65" s="3"/>
      <c r="R65" s="7">
        <f t="shared" si="16"/>
        <v>8.0501520484475928E-4</v>
      </c>
      <c r="S65" s="3"/>
      <c r="T65" s="6">
        <v>2785.19</v>
      </c>
      <c r="U65" s="3"/>
      <c r="V65" s="7">
        <f t="shared" si="17"/>
        <v>1.0560977500771343E-3</v>
      </c>
      <c r="W65" s="3"/>
      <c r="X65" s="6">
        <f t="shared" si="18"/>
        <v>-463.88999999999987</v>
      </c>
      <c r="Y65" s="3"/>
      <c r="Z65" s="7">
        <f t="shared" si="19"/>
        <v>-0.16655596207081019</v>
      </c>
    </row>
    <row r="66" spans="1:26" s="68" customFormat="1" ht="15" customHeight="1" outlineLevel="1" collapsed="1" x14ac:dyDescent="0.3">
      <c r="A66" s="20"/>
      <c r="B66" s="11" t="str">
        <f>CONCATENATE("     ","*Payroll                                          ")</f>
        <v xml:space="preserve">     *Payroll                                          </v>
      </c>
      <c r="C66" s="11"/>
      <c r="D66" s="2">
        <f>SUM(OSRRefD22_1x_0)</f>
        <v>10438.880000000001</v>
      </c>
      <c r="E66" s="2"/>
      <c r="F66" s="5">
        <f t="shared" si="12"/>
        <v>2.6153171055204528E-2</v>
      </c>
      <c r="G66" s="2"/>
      <c r="H66" s="2">
        <f>SUM(OSRRefH22_1x_0)</f>
        <v>7568.11</v>
      </c>
      <c r="I66" s="2"/>
      <c r="J66" s="5">
        <f t="shared" si="13"/>
        <v>0.11700504824300952</v>
      </c>
      <c r="K66" s="2"/>
      <c r="L66" s="2">
        <f t="shared" si="14"/>
        <v>2870.7700000000013</v>
      </c>
      <c r="M66" s="2"/>
      <c r="N66" s="5">
        <f t="shared" si="15"/>
        <v>0.37932456055739167</v>
      </c>
      <c r="O66" s="11"/>
      <c r="P66" s="2">
        <f>SUM(OSRRefP22_1x_0)</f>
        <v>127833.33</v>
      </c>
      <c r="Q66" s="2"/>
      <c r="R66" s="5">
        <f t="shared" si="16"/>
        <v>4.4331958099314055E-2</v>
      </c>
      <c r="S66" s="2"/>
      <c r="T66" s="2">
        <f>SUM(OSRRefT22_1x_0)</f>
        <v>96957.290000000008</v>
      </c>
      <c r="U66" s="2"/>
      <c r="V66" s="5">
        <f t="shared" si="17"/>
        <v>3.6764592657081291E-2</v>
      </c>
      <c r="W66" s="2"/>
      <c r="X66" s="2">
        <f t="shared" si="18"/>
        <v>30876.039999999994</v>
      </c>
      <c r="Y66" s="2"/>
      <c r="Z66" s="5">
        <f t="shared" si="19"/>
        <v>0.3184499071704664</v>
      </c>
    </row>
    <row r="67" spans="1:26" s="69" customFormat="1" ht="15" hidden="1" customHeight="1" outlineLevel="2" x14ac:dyDescent="0.3">
      <c r="A67" s="21"/>
      <c r="B67" s="9" t="str">
        <f>CONCATENATE("          ","6002"," - ","STAFF SALARIES")</f>
        <v xml:space="preserve">          6002 - STAFF SALARIES</v>
      </c>
      <c r="C67" s="9"/>
      <c r="D67" s="6">
        <v>1550.4</v>
      </c>
      <c r="E67" s="3"/>
      <c r="F67" s="7">
        <f t="shared" si="12"/>
        <v>3.8843129151775956E-3</v>
      </c>
      <c r="G67" s="3"/>
      <c r="H67" s="6">
        <v>2354.0700000000002</v>
      </c>
      <c r="I67" s="3"/>
      <c r="J67" s="7">
        <f t="shared" si="13"/>
        <v>3.6394565342922E-2</v>
      </c>
      <c r="K67" s="3"/>
      <c r="L67" s="6">
        <f t="shared" si="14"/>
        <v>-803.67000000000007</v>
      </c>
      <c r="M67" s="3"/>
      <c r="N67" s="7">
        <f t="shared" si="15"/>
        <v>-0.34139596528565419</v>
      </c>
      <c r="O67" s="9"/>
      <c r="P67" s="6">
        <v>21807.34</v>
      </c>
      <c r="Q67" s="3"/>
      <c r="R67" s="7">
        <f t="shared" si="16"/>
        <v>7.5626762060997344E-3</v>
      </c>
      <c r="S67" s="3"/>
      <c r="T67" s="6">
        <v>27912.61</v>
      </c>
      <c r="U67" s="3"/>
      <c r="V67" s="7">
        <f t="shared" si="17"/>
        <v>1.0583997723595346E-2</v>
      </c>
      <c r="W67" s="3"/>
      <c r="X67" s="6">
        <f t="shared" si="18"/>
        <v>-6105.27</v>
      </c>
      <c r="Y67" s="3"/>
      <c r="Z67" s="7">
        <f t="shared" si="19"/>
        <v>-0.2187280229258389</v>
      </c>
    </row>
    <row r="68" spans="1:26" s="69" customFormat="1" ht="15" hidden="1" customHeight="1" outlineLevel="2" x14ac:dyDescent="0.3">
      <c r="A68" s="21"/>
      <c r="B68" s="9" t="str">
        <f>CONCATENATE("          ","6004"," - ","STAFF HOURLY")</f>
        <v xml:space="preserve">          6004 - STAFF HOURLY</v>
      </c>
      <c r="C68" s="9"/>
      <c r="D68" s="6">
        <v>3950.56</v>
      </c>
      <c r="E68" s="3"/>
      <c r="F68" s="7">
        <f t="shared" si="12"/>
        <v>9.8975820628121776E-3</v>
      </c>
      <c r="G68" s="3"/>
      <c r="H68" s="6">
        <v>3168.99</v>
      </c>
      <c r="I68" s="3"/>
      <c r="J68" s="7">
        <f t="shared" si="13"/>
        <v>4.8993451182873224E-2</v>
      </c>
      <c r="K68" s="3"/>
      <c r="L68" s="6">
        <f t="shared" si="14"/>
        <v>781.57000000000016</v>
      </c>
      <c r="M68" s="3"/>
      <c r="N68" s="7">
        <f t="shared" si="15"/>
        <v>0.24663062994834323</v>
      </c>
      <c r="O68" s="9"/>
      <c r="P68" s="6">
        <v>41779.29</v>
      </c>
      <c r="Q68" s="3"/>
      <c r="R68" s="7">
        <f t="shared" si="16"/>
        <v>1.4488848359806402E-2</v>
      </c>
      <c r="S68" s="3"/>
      <c r="T68" s="6">
        <v>42904.19</v>
      </c>
      <c r="U68" s="3"/>
      <c r="V68" s="7">
        <f t="shared" si="17"/>
        <v>1.6268555656124676E-2</v>
      </c>
      <c r="W68" s="3"/>
      <c r="X68" s="6">
        <f t="shared" si="18"/>
        <v>-1124.9000000000015</v>
      </c>
      <c r="Y68" s="3"/>
      <c r="Z68" s="7">
        <f t="shared" si="19"/>
        <v>-2.6218884449281093E-2</v>
      </c>
    </row>
    <row r="69" spans="1:26" s="69" customFormat="1" ht="15" hidden="1" customHeight="1" outlineLevel="2" x14ac:dyDescent="0.3">
      <c r="A69" s="21"/>
      <c r="B69" s="9" t="str">
        <f>CONCATENATE("          ","6005"," - ","TEMPORARY WAGES-HOURLY")</f>
        <v xml:space="preserve">          6005 - TEMPORARY WAGES-HOURLY</v>
      </c>
      <c r="C69" s="9"/>
      <c r="D69" s="6">
        <v>1731.39</v>
      </c>
      <c r="E69" s="3"/>
      <c r="F69" s="7">
        <f t="shared" si="12"/>
        <v>4.3377583450782617E-3</v>
      </c>
      <c r="G69" s="3"/>
      <c r="H69" s="6"/>
      <c r="I69" s="3"/>
      <c r="J69" s="7">
        <f t="shared" si="13"/>
        <v>0</v>
      </c>
      <c r="K69" s="3"/>
      <c r="L69" s="6">
        <f t="shared" si="14"/>
        <v>1731.39</v>
      </c>
      <c r="M69" s="3"/>
      <c r="N69" s="7">
        <f t="shared" si="15"/>
        <v>0</v>
      </c>
      <c r="O69" s="9"/>
      <c r="P69" s="6">
        <v>18327.900000000001</v>
      </c>
      <c r="Q69" s="3"/>
      <c r="R69" s="7">
        <f t="shared" si="16"/>
        <v>6.356023854251611E-3</v>
      </c>
      <c r="S69" s="3"/>
      <c r="T69" s="6"/>
      <c r="U69" s="3"/>
      <c r="V69" s="7">
        <f t="shared" si="17"/>
        <v>0</v>
      </c>
      <c r="W69" s="3"/>
      <c r="X69" s="6">
        <f t="shared" si="18"/>
        <v>18327.900000000001</v>
      </c>
      <c r="Y69" s="3"/>
      <c r="Z69" s="7">
        <f t="shared" si="19"/>
        <v>0</v>
      </c>
    </row>
    <row r="70" spans="1:26" s="69" customFormat="1" ht="15" hidden="1" customHeight="1" outlineLevel="2" x14ac:dyDescent="0.3">
      <c r="A70" s="21"/>
      <c r="B70" s="9" t="str">
        <f>CONCATENATE("          ","6007"," - ","STUDENT HOURLY")</f>
        <v xml:space="preserve">          6007 - STUDENT HOURLY</v>
      </c>
      <c r="C70" s="9"/>
      <c r="D70" s="6">
        <v>3206.53</v>
      </c>
      <c r="E70" s="3"/>
      <c r="F70" s="7">
        <f t="shared" si="12"/>
        <v>8.0335177321364908E-3</v>
      </c>
      <c r="G70" s="3"/>
      <c r="H70" s="6">
        <v>2045.05</v>
      </c>
      <c r="I70" s="3"/>
      <c r="J70" s="7">
        <f t="shared" si="13"/>
        <v>3.1617031717214285E-2</v>
      </c>
      <c r="K70" s="3"/>
      <c r="L70" s="6">
        <f t="shared" si="14"/>
        <v>1161.4800000000002</v>
      </c>
      <c r="M70" s="3"/>
      <c r="N70" s="7">
        <f t="shared" si="15"/>
        <v>0.56794699396102799</v>
      </c>
      <c r="O70" s="9"/>
      <c r="P70" s="6">
        <v>39773.17</v>
      </c>
      <c r="Q70" s="3"/>
      <c r="R70" s="7">
        <f t="shared" si="16"/>
        <v>1.3793135999170909E-2</v>
      </c>
      <c r="S70" s="3"/>
      <c r="T70" s="6">
        <v>26140.49</v>
      </c>
      <c r="U70" s="3"/>
      <c r="V70" s="7">
        <f t="shared" si="17"/>
        <v>9.9120392773612686E-3</v>
      </c>
      <c r="W70" s="3"/>
      <c r="X70" s="6">
        <f t="shared" si="18"/>
        <v>13632.679999999997</v>
      </c>
      <c r="Y70" s="3"/>
      <c r="Z70" s="7">
        <f t="shared" si="19"/>
        <v>0.52151585528809885</v>
      </c>
    </row>
    <row r="71" spans="1:26" s="69" customFormat="1" ht="15" hidden="1" customHeight="1" outlineLevel="2" x14ac:dyDescent="0.3">
      <c r="A71" s="21"/>
      <c r="B71" s="9" t="str">
        <f>CONCATENATE("          ","6008"," - ","STUDENT HOURLY-FICA EXEMPT")</f>
        <v xml:space="preserve">          6008 - STUDENT HOURLY-FICA EXEMPT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6145.63</v>
      </c>
      <c r="Q71" s="3"/>
      <c r="R71" s="7">
        <f t="shared" si="16"/>
        <v>2.1312736799853952E-3</v>
      </c>
      <c r="S71" s="3"/>
      <c r="T71" s="6"/>
      <c r="U71" s="3"/>
      <c r="V71" s="7">
        <f t="shared" si="17"/>
        <v>0</v>
      </c>
      <c r="W71" s="3"/>
      <c r="X71" s="6">
        <f t="shared" si="18"/>
        <v>6145.63</v>
      </c>
      <c r="Y71" s="3"/>
      <c r="Z71" s="7">
        <f t="shared" si="19"/>
        <v>0</v>
      </c>
    </row>
    <row r="72" spans="1:26" s="68" customFormat="1" ht="15" customHeight="1" outlineLevel="1" collapsed="1" x14ac:dyDescent="0.3">
      <c r="A72" s="20"/>
      <c r="B72" s="11" t="str">
        <f>CONCATENATE("     ","Advertising/Promo                                 ")</f>
        <v xml:space="preserve">     Advertising/Promo                                 </v>
      </c>
      <c r="C72" s="11"/>
      <c r="D72" s="2">
        <f>SUM(OSRRefD22_2x_0)</f>
        <v>0</v>
      </c>
      <c r="E72" s="2"/>
      <c r="F72" s="5">
        <f t="shared" si="12"/>
        <v>0</v>
      </c>
      <c r="G72" s="2"/>
      <c r="H72" s="2">
        <f>SUM(OSRRefH22_2x_0)</f>
        <v>0</v>
      </c>
      <c r="I72" s="2"/>
      <c r="J72" s="5">
        <f t="shared" si="13"/>
        <v>0</v>
      </c>
      <c r="K72" s="2"/>
      <c r="L72" s="2">
        <f t="shared" si="14"/>
        <v>0</v>
      </c>
      <c r="M72" s="2"/>
      <c r="N72" s="5">
        <f t="shared" si="15"/>
        <v>0</v>
      </c>
      <c r="O72" s="11"/>
      <c r="P72" s="2">
        <f>SUM(OSRRefP22_2x_0)</f>
        <v>215.78</v>
      </c>
      <c r="Q72" s="2"/>
      <c r="R72" s="5">
        <f t="shared" si="16"/>
        <v>7.4831422436308172E-5</v>
      </c>
      <c r="S72" s="2"/>
      <c r="T72" s="2">
        <f>SUM(OSRRefT22_2x_0)</f>
        <v>692.63</v>
      </c>
      <c r="U72" s="2"/>
      <c r="V72" s="5">
        <f t="shared" si="17"/>
        <v>2.6263378248375354E-4</v>
      </c>
      <c r="W72" s="2"/>
      <c r="X72" s="2">
        <f t="shared" si="18"/>
        <v>-476.85</v>
      </c>
      <c r="Y72" s="2"/>
      <c r="Z72" s="5">
        <f t="shared" si="19"/>
        <v>-0.68846281564471656</v>
      </c>
    </row>
    <row r="73" spans="1:26" s="69" customFormat="1" ht="15" hidden="1" customHeight="1" outlineLevel="2" x14ac:dyDescent="0.3">
      <c r="A73" s="21"/>
      <c r="B73" s="9" t="str">
        <f>CONCATENATE("          ","6362"," - ","ADVERTISING EXPENSE")</f>
        <v xml:space="preserve">          6362 - ADVERTISING EXPENSE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>
        <v>215.78</v>
      </c>
      <c r="Q73" s="3"/>
      <c r="R73" s="7">
        <f t="shared" si="16"/>
        <v>7.4831422436308172E-5</v>
      </c>
      <c r="S73" s="3"/>
      <c r="T73" s="6">
        <v>692.63</v>
      </c>
      <c r="U73" s="3"/>
      <c r="V73" s="7">
        <f t="shared" si="17"/>
        <v>2.6263378248375354E-4</v>
      </c>
      <c r="W73" s="3"/>
      <c r="X73" s="6">
        <f t="shared" si="18"/>
        <v>-476.85</v>
      </c>
      <c r="Y73" s="3"/>
      <c r="Z73" s="7">
        <f t="shared" si="19"/>
        <v>-0.68846281564471656</v>
      </c>
    </row>
    <row r="74" spans="1:26" s="68" customFormat="1" ht="15" customHeight="1" outlineLevel="1" collapsed="1" x14ac:dyDescent="0.3">
      <c r="A74" s="20"/>
      <c r="B74" s="11" t="str">
        <f>CONCATENATE("     ","Depreciation                                      ")</f>
        <v xml:space="preserve">     Depreciation                                      </v>
      </c>
      <c r="C74" s="11"/>
      <c r="D74" s="2">
        <f>SUM(OSRRefD22_3x_0)</f>
        <v>280.45</v>
      </c>
      <c r="E74" s="2"/>
      <c r="F74" s="5">
        <f t="shared" si="12"/>
        <v>7.0262871327499783E-4</v>
      </c>
      <c r="G74" s="2"/>
      <c r="H74" s="2">
        <f>SUM(OSRRefH22_3x_0)</f>
        <v>280.45</v>
      </c>
      <c r="I74" s="2"/>
      <c r="J74" s="5">
        <f t="shared" si="13"/>
        <v>4.3358336202502365E-3</v>
      </c>
      <c r="K74" s="2"/>
      <c r="L74" s="2">
        <f t="shared" si="14"/>
        <v>0</v>
      </c>
      <c r="M74" s="2"/>
      <c r="N74" s="5">
        <f t="shared" si="15"/>
        <v>0</v>
      </c>
      <c r="O74" s="11"/>
      <c r="P74" s="2">
        <f>SUM(OSRRefP22_3x_0)</f>
        <v>3365.29</v>
      </c>
      <c r="Q74" s="2"/>
      <c r="R74" s="5">
        <f t="shared" si="16"/>
        <v>1.1670657040072458E-3</v>
      </c>
      <c r="S74" s="2"/>
      <c r="T74" s="2">
        <f>SUM(OSRRefT22_3x_0)</f>
        <v>3365.29</v>
      </c>
      <c r="U74" s="2"/>
      <c r="V74" s="5">
        <f t="shared" si="17"/>
        <v>1.2760620271353407E-3</v>
      </c>
      <c r="W74" s="2"/>
      <c r="X74" s="2">
        <f t="shared" si="18"/>
        <v>0</v>
      </c>
      <c r="Y74" s="2"/>
      <c r="Z74" s="5">
        <f t="shared" si="19"/>
        <v>0</v>
      </c>
    </row>
    <row r="75" spans="1:26" s="69" customFormat="1" ht="15" hidden="1" customHeight="1" outlineLevel="2" x14ac:dyDescent="0.3">
      <c r="A75" s="21"/>
      <c r="B75" s="9" t="str">
        <f>CONCATENATE("          ","6322"," - ","EQUIPMENT DEPRECIATION EXPENSE")</f>
        <v xml:space="preserve">          6322 - EQUIPMENT DEPRECIATION EXPENSE</v>
      </c>
      <c r="C75" s="9"/>
      <c r="D75" s="6">
        <v>280.45</v>
      </c>
      <c r="E75" s="3"/>
      <c r="F75" s="7">
        <f t="shared" si="12"/>
        <v>7.0262871327499783E-4</v>
      </c>
      <c r="G75" s="3"/>
      <c r="H75" s="6">
        <v>280.45</v>
      </c>
      <c r="I75" s="3"/>
      <c r="J75" s="7">
        <f t="shared" si="13"/>
        <v>4.3358336202502365E-3</v>
      </c>
      <c r="K75" s="3"/>
      <c r="L75" s="6">
        <f t="shared" si="14"/>
        <v>0</v>
      </c>
      <c r="M75" s="3"/>
      <c r="N75" s="7">
        <f t="shared" si="15"/>
        <v>0</v>
      </c>
      <c r="O75" s="9"/>
      <c r="P75" s="6">
        <v>3365.29</v>
      </c>
      <c r="Q75" s="3"/>
      <c r="R75" s="7">
        <f t="shared" si="16"/>
        <v>1.1670657040072458E-3</v>
      </c>
      <c r="S75" s="3"/>
      <c r="T75" s="6">
        <v>3365.29</v>
      </c>
      <c r="U75" s="3"/>
      <c r="V75" s="7">
        <f t="shared" si="17"/>
        <v>1.2760620271353407E-3</v>
      </c>
      <c r="W75" s="3"/>
      <c r="X75" s="6">
        <f t="shared" si="18"/>
        <v>0</v>
      </c>
      <c r="Y75" s="3"/>
      <c r="Z75" s="7">
        <f t="shared" si="19"/>
        <v>0</v>
      </c>
    </row>
    <row r="76" spans="1:26" s="68" customFormat="1" ht="15" customHeight="1" outlineLevel="1" collapsed="1" x14ac:dyDescent="0.3">
      <c r="A76" s="20"/>
      <c r="B76" s="11" t="str">
        <f>CONCATENATE("     ","Discounts and Markdowns                           ")</f>
        <v xml:space="preserve">     Discounts and Markdowns                           </v>
      </c>
      <c r="C76" s="11"/>
      <c r="D76" s="2">
        <f>SUM(OSRRefD22_4x_0)</f>
        <v>0</v>
      </c>
      <c r="E76" s="2"/>
      <c r="F76" s="5">
        <f t="shared" si="12"/>
        <v>0</v>
      </c>
      <c r="G76" s="2"/>
      <c r="H76" s="2">
        <f>SUM(OSRRefH22_4x_0)</f>
        <v>0</v>
      </c>
      <c r="I76" s="2"/>
      <c r="J76" s="5">
        <f t="shared" si="13"/>
        <v>0</v>
      </c>
      <c r="K76" s="2"/>
      <c r="L76" s="2">
        <f t="shared" si="14"/>
        <v>0</v>
      </c>
      <c r="M76" s="2"/>
      <c r="N76" s="5">
        <f t="shared" si="15"/>
        <v>0</v>
      </c>
      <c r="O76" s="11"/>
      <c r="P76" s="2">
        <f>SUM(OSRRefP22_4x_0)</f>
        <v>0</v>
      </c>
      <c r="Q76" s="2"/>
      <c r="R76" s="5">
        <f t="shared" si="16"/>
        <v>0</v>
      </c>
      <c r="S76" s="2"/>
      <c r="T76" s="2">
        <f>SUM(OSRRefT22_4x_0)</f>
        <v>0</v>
      </c>
      <c r="U76" s="2"/>
      <c r="V76" s="5">
        <f t="shared" si="17"/>
        <v>0</v>
      </c>
      <c r="W76" s="2"/>
      <c r="X76" s="2">
        <f t="shared" si="18"/>
        <v>0</v>
      </c>
      <c r="Y76" s="2"/>
      <c r="Z76" s="5">
        <f t="shared" si="19"/>
        <v>0</v>
      </c>
    </row>
    <row r="77" spans="1:26" s="69" customFormat="1" ht="15" hidden="1" customHeight="1" outlineLevel="2" x14ac:dyDescent="0.3">
      <c r="A77" s="21"/>
      <c r="B77" s="9" t="str">
        <f>CONCATENATE("          ","6382"," - ","DISCOUNTS/MARK DOWNS")</f>
        <v xml:space="preserve">          6382 - DISCOUNTS/MARK DOWNS</v>
      </c>
      <c r="C77" s="9"/>
      <c r="D77" s="6"/>
      <c r="E77" s="3"/>
      <c r="F77" s="7">
        <f t="shared" si="12"/>
        <v>0</v>
      </c>
      <c r="G77" s="3"/>
      <c r="H77" s="6">
        <v>0</v>
      </c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/>
      <c r="Q77" s="3"/>
      <c r="R77" s="7">
        <f t="shared" si="16"/>
        <v>0</v>
      </c>
      <c r="S77" s="3"/>
      <c r="T77" s="6">
        <v>0</v>
      </c>
      <c r="U77" s="3"/>
      <c r="V77" s="7">
        <f t="shared" si="17"/>
        <v>0</v>
      </c>
      <c r="W77" s="3"/>
      <c r="X77" s="6">
        <f t="shared" si="18"/>
        <v>0</v>
      </c>
      <c r="Y77" s="3"/>
      <c r="Z77" s="7">
        <f t="shared" si="19"/>
        <v>0</v>
      </c>
    </row>
    <row r="78" spans="1:26" s="68" customFormat="1" ht="15" customHeight="1" outlineLevel="1" collapsed="1" x14ac:dyDescent="0.3">
      <c r="A78" s="20"/>
      <c r="B78" s="11" t="str">
        <f>CONCATENATE("     ","Freight out/Postage                               ")</f>
        <v xml:space="preserve">     Freight out/Postage                               </v>
      </c>
      <c r="C78" s="11"/>
      <c r="D78" s="2">
        <f>SUM(OSRRefD22_5x_0)</f>
        <v>0</v>
      </c>
      <c r="E78" s="2"/>
      <c r="F78" s="5">
        <f t="shared" si="12"/>
        <v>0</v>
      </c>
      <c r="G78" s="2"/>
      <c r="H78" s="2">
        <f>SUM(OSRRefH22_5x_0)</f>
        <v>0</v>
      </c>
      <c r="I78" s="2"/>
      <c r="J78" s="5">
        <f t="shared" si="13"/>
        <v>0</v>
      </c>
      <c r="K78" s="2"/>
      <c r="L78" s="2">
        <f t="shared" si="14"/>
        <v>0</v>
      </c>
      <c r="M78" s="2"/>
      <c r="N78" s="5">
        <f t="shared" si="15"/>
        <v>0</v>
      </c>
      <c r="O78" s="11"/>
      <c r="P78" s="2">
        <f>SUM(OSRRefP22_5x_0)</f>
        <v>122.13</v>
      </c>
      <c r="Q78" s="2"/>
      <c r="R78" s="5">
        <f t="shared" si="16"/>
        <v>4.2354071842368691E-5</v>
      </c>
      <c r="S78" s="2"/>
      <c r="T78" s="2">
        <f>SUM(OSRRefT22_5x_0)</f>
        <v>2698.56</v>
      </c>
      <c r="U78" s="2"/>
      <c r="V78" s="5">
        <f t="shared" si="17"/>
        <v>1.0232490941185885E-3</v>
      </c>
      <c r="W78" s="2"/>
      <c r="X78" s="2">
        <f t="shared" si="18"/>
        <v>-2576.4299999999998</v>
      </c>
      <c r="Y78" s="2"/>
      <c r="Z78" s="5">
        <f t="shared" si="19"/>
        <v>-0.95474252934898607</v>
      </c>
    </row>
    <row r="79" spans="1:26" s="69" customFormat="1" ht="15" hidden="1" customHeight="1" outlineLevel="2" x14ac:dyDescent="0.3">
      <c r="A79" s="21"/>
      <c r="B79" s="9" t="str">
        <f>CONCATENATE("          ","6305"," - ","FREIGHT OUT")</f>
        <v xml:space="preserve">          6305 - FREIGHT OUT</v>
      </c>
      <c r="C79" s="9"/>
      <c r="D79" s="6"/>
      <c r="E79" s="3"/>
      <c r="F79" s="7">
        <f t="shared" si="12"/>
        <v>0</v>
      </c>
      <c r="G79" s="3"/>
      <c r="H79" s="6"/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>
        <v>122.13</v>
      </c>
      <c r="Q79" s="3"/>
      <c r="R79" s="7">
        <f t="shared" si="16"/>
        <v>4.2354071842368691E-5</v>
      </c>
      <c r="S79" s="3"/>
      <c r="T79" s="6">
        <v>2685.96</v>
      </c>
      <c r="U79" s="3"/>
      <c r="V79" s="7">
        <f t="shared" si="17"/>
        <v>1.0184713835670743E-3</v>
      </c>
      <c r="W79" s="3"/>
      <c r="X79" s="6">
        <f t="shared" si="18"/>
        <v>-2563.83</v>
      </c>
      <c r="Y79" s="3"/>
      <c r="Z79" s="7">
        <f t="shared" si="19"/>
        <v>-0.95453022383058572</v>
      </c>
    </row>
    <row r="80" spans="1:26" s="69" customFormat="1" ht="15" hidden="1" customHeight="1" outlineLevel="2" x14ac:dyDescent="0.3">
      <c r="A80" s="21"/>
      <c r="B80" s="9" t="str">
        <f>CONCATENATE("          ","6307"," - ","POSTAGE")</f>
        <v xml:space="preserve">          6307 - POSTAGE</v>
      </c>
      <c r="C80" s="9"/>
      <c r="D80" s="6"/>
      <c r="E80" s="3"/>
      <c r="F80" s="7">
        <f t="shared" si="12"/>
        <v>0</v>
      </c>
      <c r="G80" s="3"/>
      <c r="H80" s="6"/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12.6</v>
      </c>
      <c r="U80" s="3"/>
      <c r="V80" s="7">
        <f t="shared" si="17"/>
        <v>4.7777105515142208E-6</v>
      </c>
      <c r="W80" s="3"/>
      <c r="X80" s="6">
        <f t="shared" si="18"/>
        <v>-12.6</v>
      </c>
      <c r="Y80" s="3"/>
      <c r="Z80" s="7">
        <f t="shared" si="19"/>
        <v>-1</v>
      </c>
    </row>
    <row r="81" spans="1:26" s="68" customFormat="1" ht="15" customHeight="1" outlineLevel="1" collapsed="1" x14ac:dyDescent="0.3">
      <c r="A81" s="20"/>
      <c r="B81" s="11" t="str">
        <f>CONCATENATE("     ","General                                           ")</f>
        <v xml:space="preserve">     General                                           </v>
      </c>
      <c r="C81" s="11"/>
      <c r="D81" s="2">
        <f>SUM(OSRRefD22_6x_0)</f>
        <v>0</v>
      </c>
      <c r="E81" s="2"/>
      <c r="F81" s="5">
        <f t="shared" si="12"/>
        <v>0</v>
      </c>
      <c r="G81" s="2"/>
      <c r="H81" s="2">
        <f>SUM(OSRRefH22_6x_0)</f>
        <v>0</v>
      </c>
      <c r="I81" s="2"/>
      <c r="J81" s="5">
        <f t="shared" si="13"/>
        <v>0</v>
      </c>
      <c r="K81" s="2"/>
      <c r="L81" s="2">
        <f t="shared" si="14"/>
        <v>0</v>
      </c>
      <c r="M81" s="2"/>
      <c r="N81" s="5">
        <f t="shared" si="15"/>
        <v>0</v>
      </c>
      <c r="O81" s="11"/>
      <c r="P81" s="2">
        <f>SUM(OSRRefP22_6x_0)</f>
        <v>285</v>
      </c>
      <c r="Q81" s="2"/>
      <c r="R81" s="5">
        <f t="shared" si="16"/>
        <v>9.883657148182329E-5</v>
      </c>
      <c r="S81" s="2"/>
      <c r="T81" s="2">
        <f>SUM(OSRRefT22_6x_0)</f>
        <v>254.85</v>
      </c>
      <c r="U81" s="2"/>
      <c r="V81" s="5">
        <f t="shared" si="17"/>
        <v>9.6634883655031685E-5</v>
      </c>
      <c r="W81" s="2"/>
      <c r="X81" s="2">
        <f t="shared" si="18"/>
        <v>30.150000000000006</v>
      </c>
      <c r="Y81" s="2"/>
      <c r="Z81" s="5">
        <f t="shared" si="19"/>
        <v>0.11830488522660391</v>
      </c>
    </row>
    <row r="82" spans="1:26" s="69" customFormat="1" ht="15" hidden="1" customHeight="1" outlineLevel="2" x14ac:dyDescent="0.3">
      <c r="A82" s="21"/>
      <c r="B82" s="9" t="str">
        <f>CONCATENATE("          ","6279"," - ","GENERAL EXPENSE")</f>
        <v xml:space="preserve">          6279 - GENERAL EXPENSE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>
        <v>285</v>
      </c>
      <c r="Q82" s="3"/>
      <c r="R82" s="7">
        <f t="shared" si="16"/>
        <v>9.883657148182329E-5</v>
      </c>
      <c r="S82" s="3"/>
      <c r="T82" s="6">
        <v>254.85</v>
      </c>
      <c r="U82" s="3"/>
      <c r="V82" s="7">
        <f t="shared" si="17"/>
        <v>9.6634883655031685E-5</v>
      </c>
      <c r="W82" s="3"/>
      <c r="X82" s="6">
        <f t="shared" si="18"/>
        <v>30.150000000000006</v>
      </c>
      <c r="Y82" s="3"/>
      <c r="Z82" s="7">
        <f t="shared" si="19"/>
        <v>0.11830488522660391</v>
      </c>
    </row>
    <row r="83" spans="1:26" s="68" customFormat="1" ht="15" customHeight="1" outlineLevel="1" collapsed="1" x14ac:dyDescent="0.3">
      <c r="A83" s="20"/>
      <c r="B83" s="11" t="str">
        <f>CONCATENATE("     ","Inventory Adjustment                              ")</f>
        <v xml:space="preserve">     Inventory Adjustment                              </v>
      </c>
      <c r="C83" s="11"/>
      <c r="D83" s="2">
        <f>SUM(OSRRefD22_7x_0)</f>
        <v>-10740</v>
      </c>
      <c r="E83" s="2"/>
      <c r="F83" s="5">
        <f t="shared" si="12"/>
        <v>-2.6907585596624983E-2</v>
      </c>
      <c r="G83" s="2"/>
      <c r="H83" s="2">
        <f>SUM(OSRRefH22_7x_0)</f>
        <v>-13750</v>
      </c>
      <c r="I83" s="2"/>
      <c r="J83" s="5">
        <f t="shared" si="13"/>
        <v>-0.21257875656423875</v>
      </c>
      <c r="K83" s="2"/>
      <c r="L83" s="2">
        <f t="shared" si="14"/>
        <v>3010</v>
      </c>
      <c r="M83" s="2"/>
      <c r="N83" s="5">
        <f t="shared" si="15"/>
        <v>-0.21890909090909091</v>
      </c>
      <c r="O83" s="11"/>
      <c r="P83" s="2">
        <f>SUM(OSRRefP22_7x_0)</f>
        <v>0</v>
      </c>
      <c r="Q83" s="2"/>
      <c r="R83" s="5">
        <f t="shared" si="16"/>
        <v>0</v>
      </c>
      <c r="S83" s="2"/>
      <c r="T83" s="2">
        <f>SUM(OSRRefT22_7x_0)</f>
        <v>0</v>
      </c>
      <c r="U83" s="2"/>
      <c r="V83" s="5">
        <f t="shared" si="17"/>
        <v>0</v>
      </c>
      <c r="W83" s="2"/>
      <c r="X83" s="2">
        <f t="shared" si="18"/>
        <v>0</v>
      </c>
      <c r="Y83" s="2"/>
      <c r="Z83" s="5">
        <f t="shared" si="19"/>
        <v>0</v>
      </c>
    </row>
    <row r="84" spans="1:26" s="69" customFormat="1" ht="15" hidden="1" customHeight="1" outlineLevel="2" x14ac:dyDescent="0.3">
      <c r="A84" s="21"/>
      <c r="B84" s="9" t="str">
        <f>CONCATENATE("          ","6408"," - ","INVENTORY ADJUSTMENT")</f>
        <v xml:space="preserve">          6408 - INVENTORY ADJUSTMENT</v>
      </c>
      <c r="C84" s="9"/>
      <c r="D84" s="6">
        <v>-10740</v>
      </c>
      <c r="E84" s="3"/>
      <c r="F84" s="7">
        <f t="shared" si="12"/>
        <v>-2.6907585596624983E-2</v>
      </c>
      <c r="G84" s="3"/>
      <c r="H84" s="6">
        <v>-13750</v>
      </c>
      <c r="I84" s="3"/>
      <c r="J84" s="7">
        <f t="shared" si="13"/>
        <v>-0.21257875656423875</v>
      </c>
      <c r="K84" s="3"/>
      <c r="L84" s="6">
        <f t="shared" si="14"/>
        <v>3010</v>
      </c>
      <c r="M84" s="3"/>
      <c r="N84" s="7">
        <f t="shared" si="15"/>
        <v>-0.21890909090909091</v>
      </c>
      <c r="O84" s="9"/>
      <c r="P84" s="6">
        <v>0</v>
      </c>
      <c r="Q84" s="3"/>
      <c r="R84" s="7">
        <f t="shared" si="16"/>
        <v>0</v>
      </c>
      <c r="S84" s="3"/>
      <c r="T84" s="6">
        <v>0</v>
      </c>
      <c r="U84" s="3"/>
      <c r="V84" s="7">
        <f t="shared" si="17"/>
        <v>0</v>
      </c>
      <c r="W84" s="3"/>
      <c r="X84" s="6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0"/>
      <c r="B85" s="11" t="str">
        <f>CONCATENATE("     ","Repair and Maintenance                            ")</f>
        <v xml:space="preserve">     Repair and Maintenance                            </v>
      </c>
      <c r="C85" s="11"/>
      <c r="D85" s="2">
        <f>SUM(OSRRefD22_8x_0)</f>
        <v>0</v>
      </c>
      <c r="E85" s="2"/>
      <c r="F85" s="5">
        <f t="shared" si="12"/>
        <v>0</v>
      </c>
      <c r="G85" s="2"/>
      <c r="H85" s="2">
        <f>SUM(OSRRefH22_8x_0)</f>
        <v>-190</v>
      </c>
      <c r="I85" s="2"/>
      <c r="J85" s="5">
        <f t="shared" si="13"/>
        <v>-2.9374519088876624E-3</v>
      </c>
      <c r="K85" s="2"/>
      <c r="L85" s="2">
        <f t="shared" si="14"/>
        <v>190</v>
      </c>
      <c r="M85" s="2"/>
      <c r="N85" s="5">
        <f t="shared" si="15"/>
        <v>-1</v>
      </c>
      <c r="O85" s="11"/>
      <c r="P85" s="2">
        <f>SUM(OSRRefP22_8x_0)</f>
        <v>1550</v>
      </c>
      <c r="Q85" s="2"/>
      <c r="R85" s="5">
        <f t="shared" si="16"/>
        <v>5.3753223086605649E-4</v>
      </c>
      <c r="S85" s="2"/>
      <c r="T85" s="2">
        <f>SUM(OSRRefT22_8x_0)</f>
        <v>1360</v>
      </c>
      <c r="U85" s="2"/>
      <c r="V85" s="5">
        <f t="shared" si="17"/>
        <v>5.1568939286185237E-4</v>
      </c>
      <c r="W85" s="2"/>
      <c r="X85" s="2">
        <f t="shared" si="18"/>
        <v>190</v>
      </c>
      <c r="Y85" s="2"/>
      <c r="Z85" s="5">
        <f t="shared" si="19"/>
        <v>0.13970588235294118</v>
      </c>
    </row>
    <row r="86" spans="1:26" s="69" customFormat="1" ht="15" hidden="1" customHeight="1" outlineLevel="2" x14ac:dyDescent="0.3">
      <c r="A86" s="21"/>
      <c r="B86" s="9" t="str">
        <f>CONCATENATE("          ","6371"," - ","COMPUTER SOFTWARE MAINTENANCE")</f>
        <v xml:space="preserve">          6371 - COMPUTER SOFTWARE MAINTENANCE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>
        <v>1550</v>
      </c>
      <c r="Q86" s="3"/>
      <c r="R86" s="7">
        <f t="shared" si="16"/>
        <v>5.3753223086605649E-4</v>
      </c>
      <c r="S86" s="3"/>
      <c r="T86" s="6">
        <v>1550</v>
      </c>
      <c r="U86" s="3"/>
      <c r="V86" s="7">
        <f t="shared" si="17"/>
        <v>5.8773423451167009E-4</v>
      </c>
      <c r="W86" s="3"/>
      <c r="X86" s="6">
        <f t="shared" si="18"/>
        <v>0</v>
      </c>
      <c r="Y86" s="3"/>
      <c r="Z86" s="7">
        <f t="shared" si="19"/>
        <v>0</v>
      </c>
    </row>
    <row r="87" spans="1:26" s="69" customFormat="1" ht="15" hidden="1" customHeight="1" outlineLevel="2" x14ac:dyDescent="0.3">
      <c r="A87" s="21"/>
      <c r="B87" s="9" t="str">
        <f>CONCATENATE("          ","6375"," - ","OUTSIDE REPAIRS &amp; MAINTENANCE")</f>
        <v xml:space="preserve">          6375 - OUTSIDE REPAIRS &amp; MAINTENANCE</v>
      </c>
      <c r="C87" s="9"/>
      <c r="D87" s="6"/>
      <c r="E87" s="3"/>
      <c r="F87" s="7">
        <f t="shared" si="12"/>
        <v>0</v>
      </c>
      <c r="G87" s="3"/>
      <c r="H87" s="6">
        <v>-190</v>
      </c>
      <c r="I87" s="3"/>
      <c r="J87" s="7">
        <f t="shared" si="13"/>
        <v>-2.9374519088876624E-3</v>
      </c>
      <c r="K87" s="3"/>
      <c r="L87" s="6">
        <f t="shared" si="14"/>
        <v>190</v>
      </c>
      <c r="M87" s="3"/>
      <c r="N87" s="7">
        <f t="shared" si="15"/>
        <v>-1</v>
      </c>
      <c r="O87" s="9"/>
      <c r="P87" s="6"/>
      <c r="Q87" s="3"/>
      <c r="R87" s="7">
        <f t="shared" si="16"/>
        <v>0</v>
      </c>
      <c r="S87" s="3"/>
      <c r="T87" s="6">
        <v>-190</v>
      </c>
      <c r="U87" s="3"/>
      <c r="V87" s="7">
        <f t="shared" si="17"/>
        <v>-7.204484164981762E-5</v>
      </c>
      <c r="W87" s="3"/>
      <c r="X87" s="6">
        <f t="shared" si="18"/>
        <v>190</v>
      </c>
      <c r="Y87" s="3"/>
      <c r="Z87" s="7">
        <f t="shared" si="19"/>
        <v>-1</v>
      </c>
    </row>
    <row r="88" spans="1:26" s="68" customFormat="1" ht="15" customHeight="1" outlineLevel="1" collapsed="1" x14ac:dyDescent="0.3">
      <c r="A88" s="20"/>
      <c r="B88" s="11" t="str">
        <f>CONCATENATE("     ","Subscriptions &amp; Dues                              ")</f>
        <v xml:space="preserve">     Subscriptions &amp; Dues                              </v>
      </c>
      <c r="C88" s="11"/>
      <c r="D88" s="2">
        <f>SUM(OSRRefD22_9x_0)</f>
        <v>0</v>
      </c>
      <c r="E88" s="2"/>
      <c r="F88" s="5">
        <f t="shared" si="12"/>
        <v>0</v>
      </c>
      <c r="G88" s="2"/>
      <c r="H88" s="2">
        <f>SUM(OSRRefH22_9x_0)</f>
        <v>0</v>
      </c>
      <c r="I88" s="2"/>
      <c r="J88" s="5">
        <f t="shared" si="13"/>
        <v>0</v>
      </c>
      <c r="K88" s="2"/>
      <c r="L88" s="2">
        <f t="shared" si="14"/>
        <v>0</v>
      </c>
      <c r="M88" s="2"/>
      <c r="N88" s="5">
        <f t="shared" si="15"/>
        <v>0</v>
      </c>
      <c r="O88" s="11"/>
      <c r="P88" s="2">
        <f>SUM(OSRRefP22_9x_0)</f>
        <v>0</v>
      </c>
      <c r="Q88" s="2"/>
      <c r="R88" s="5">
        <f t="shared" si="16"/>
        <v>0</v>
      </c>
      <c r="S88" s="2"/>
      <c r="T88" s="2">
        <f>SUM(OSRRefT22_9x_0)</f>
        <v>142.22</v>
      </c>
      <c r="U88" s="2"/>
      <c r="V88" s="5">
        <f t="shared" si="17"/>
        <v>5.392745989177401E-5</v>
      </c>
      <c r="W88" s="2"/>
      <c r="X88" s="2">
        <f t="shared" si="18"/>
        <v>-142.22</v>
      </c>
      <c r="Y88" s="2"/>
      <c r="Z88" s="5">
        <f t="shared" si="19"/>
        <v>-1</v>
      </c>
    </row>
    <row r="89" spans="1:26" s="69" customFormat="1" ht="15" hidden="1" customHeight="1" outlineLevel="2" x14ac:dyDescent="0.3">
      <c r="A89" s="21"/>
      <c r="B89" s="9" t="str">
        <f>CONCATENATE("          ","6275"," - ","SUBSCRIPTIONS")</f>
        <v xml:space="preserve">          6275 - SUBSCRIPTIONS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/>
      <c r="Q89" s="3"/>
      <c r="R89" s="7">
        <f t="shared" si="16"/>
        <v>0</v>
      </c>
      <c r="S89" s="3"/>
      <c r="T89" s="6">
        <v>142.22</v>
      </c>
      <c r="U89" s="3"/>
      <c r="V89" s="7">
        <f t="shared" si="17"/>
        <v>5.392745989177401E-5</v>
      </c>
      <c r="W89" s="3"/>
      <c r="X89" s="6">
        <f t="shared" si="18"/>
        <v>-142.22</v>
      </c>
      <c r="Y89" s="3"/>
      <c r="Z89" s="7">
        <f t="shared" si="19"/>
        <v>-1</v>
      </c>
    </row>
    <row r="90" spans="1:26" s="68" customFormat="1" ht="15" customHeight="1" outlineLevel="1" collapsed="1" x14ac:dyDescent="0.3">
      <c r="A90" s="20"/>
      <c r="B90" s="11" t="str">
        <f>CONCATENATE("     ","Supplies                                          ")</f>
        <v xml:space="preserve">     Supplies                                          </v>
      </c>
      <c r="C90" s="11"/>
      <c r="D90" s="2">
        <f>SUM(OSRRefD22_10x_0)</f>
        <v>2445.7199999999998</v>
      </c>
      <c r="E90" s="2"/>
      <c r="F90" s="5">
        <f t="shared" si="12"/>
        <v>6.12741343066831E-3</v>
      </c>
      <c r="G90" s="2"/>
      <c r="H90" s="2">
        <f>SUM(OSRRefH22_10x_0)</f>
        <v>1644.01</v>
      </c>
      <c r="I90" s="2"/>
      <c r="J90" s="5">
        <f t="shared" si="13"/>
        <v>2.5416843751212663E-2</v>
      </c>
      <c r="K90" s="2"/>
      <c r="L90" s="2">
        <f t="shared" si="14"/>
        <v>801.70999999999981</v>
      </c>
      <c r="M90" s="2"/>
      <c r="N90" s="5">
        <f t="shared" si="15"/>
        <v>0.48765518457916912</v>
      </c>
      <c r="O90" s="11"/>
      <c r="P90" s="2">
        <f>SUM(OSRRefP22_10x_0)</f>
        <v>7557.1900000000005</v>
      </c>
      <c r="Q90" s="2"/>
      <c r="R90" s="5">
        <f t="shared" si="16"/>
        <v>2.6207956127604218E-3</v>
      </c>
      <c r="S90" s="2"/>
      <c r="T90" s="2">
        <f>SUM(OSRRefT22_10x_0)</f>
        <v>5676.33</v>
      </c>
      <c r="U90" s="2"/>
      <c r="V90" s="5">
        <f t="shared" si="17"/>
        <v>2.1523699789584697E-3</v>
      </c>
      <c r="W90" s="2"/>
      <c r="X90" s="2">
        <f t="shared" si="18"/>
        <v>1880.8600000000006</v>
      </c>
      <c r="Y90" s="2"/>
      <c r="Z90" s="5">
        <f t="shared" si="19"/>
        <v>0.33135141896260445</v>
      </c>
    </row>
    <row r="91" spans="1:26" s="69" customFormat="1" ht="15" hidden="1" customHeight="1" outlineLevel="2" x14ac:dyDescent="0.3">
      <c r="A91" s="21"/>
      <c r="B91" s="9" t="str">
        <f>CONCATENATE("          ","6234"," - ","EXPENDABLE SUPPLIES &amp; EQUIPMEN")</f>
        <v xml:space="preserve">          6234 - EXPENDABLE SUPPLIES &amp; EQUIPMEN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/>
      <c r="Q91" s="3"/>
      <c r="R91" s="7">
        <f t="shared" si="16"/>
        <v>0</v>
      </c>
      <c r="S91" s="3"/>
      <c r="T91" s="6">
        <v>1733.49</v>
      </c>
      <c r="U91" s="3"/>
      <c r="V91" s="7">
        <f t="shared" si="17"/>
        <v>6.573105923765387E-4</v>
      </c>
      <c r="W91" s="3"/>
      <c r="X91" s="6">
        <f t="shared" si="18"/>
        <v>-1733.49</v>
      </c>
      <c r="Y91" s="3"/>
      <c r="Z91" s="7">
        <f t="shared" si="19"/>
        <v>-1</v>
      </c>
    </row>
    <row r="92" spans="1:26" s="69" customFormat="1" ht="15" hidden="1" customHeight="1" outlineLevel="2" x14ac:dyDescent="0.3">
      <c r="A92" s="21"/>
      <c r="B92" s="9" t="str">
        <f>CONCATENATE("          ","6235"," - ","COVID-19 EXPENSES")</f>
        <v xml:space="preserve">          6235 - COVID-19 EXPENSES</v>
      </c>
      <c r="C92" s="9"/>
      <c r="D92" s="6"/>
      <c r="E92" s="3"/>
      <c r="F92" s="7">
        <f t="shared" si="12"/>
        <v>0</v>
      </c>
      <c r="G92" s="3"/>
      <c r="H92" s="6"/>
      <c r="I92" s="3"/>
      <c r="J92" s="7">
        <f t="shared" si="13"/>
        <v>0</v>
      </c>
      <c r="K92" s="3"/>
      <c r="L92" s="6">
        <f t="shared" si="14"/>
        <v>0</v>
      </c>
      <c r="M92" s="3"/>
      <c r="N92" s="7">
        <f t="shared" si="15"/>
        <v>0</v>
      </c>
      <c r="O92" s="9"/>
      <c r="P92" s="6"/>
      <c r="Q92" s="3"/>
      <c r="R92" s="7">
        <f t="shared" si="16"/>
        <v>0</v>
      </c>
      <c r="S92" s="3"/>
      <c r="T92" s="6">
        <v>668.12</v>
      </c>
      <c r="U92" s="3"/>
      <c r="V92" s="7">
        <f t="shared" si="17"/>
        <v>2.5333999791092706E-4</v>
      </c>
      <c r="W92" s="3"/>
      <c r="X92" s="6">
        <f t="shared" si="18"/>
        <v>-668.12</v>
      </c>
      <c r="Y92" s="3"/>
      <c r="Z92" s="7">
        <f t="shared" si="19"/>
        <v>-1</v>
      </c>
    </row>
    <row r="93" spans="1:26" s="69" customFormat="1" ht="15" hidden="1" customHeight="1" outlineLevel="2" x14ac:dyDescent="0.3">
      <c r="A93" s="21"/>
      <c r="B93" s="9" t="str">
        <f>CONCATENATE("          ","6241"," - ","OFFICE EXPENSE")</f>
        <v xml:space="preserve">          6241 - OFFICE EXPENSE</v>
      </c>
      <c r="C93" s="9"/>
      <c r="D93" s="6">
        <v>63.64</v>
      </c>
      <c r="E93" s="3"/>
      <c r="F93" s="7">
        <f t="shared" si="12"/>
        <v>1.594412241498337E-4</v>
      </c>
      <c r="G93" s="3"/>
      <c r="H93" s="6">
        <v>122.01</v>
      </c>
      <c r="I93" s="3"/>
      <c r="J93" s="7">
        <f t="shared" si="13"/>
        <v>1.8863079337020196E-3</v>
      </c>
      <c r="K93" s="3"/>
      <c r="L93" s="6">
        <f t="shared" si="14"/>
        <v>-58.370000000000005</v>
      </c>
      <c r="M93" s="3"/>
      <c r="N93" s="7">
        <f t="shared" si="15"/>
        <v>-0.47840340955659372</v>
      </c>
      <c r="O93" s="9"/>
      <c r="P93" s="6">
        <v>2263.11</v>
      </c>
      <c r="Q93" s="3"/>
      <c r="R93" s="7">
        <f t="shared" si="16"/>
        <v>7.8483520451308453E-4</v>
      </c>
      <c r="S93" s="3"/>
      <c r="T93" s="6">
        <v>1752.72</v>
      </c>
      <c r="U93" s="3"/>
      <c r="V93" s="7">
        <f t="shared" si="17"/>
        <v>6.6460228871825441E-4</v>
      </c>
      <c r="W93" s="3"/>
      <c r="X93" s="6">
        <f t="shared" si="18"/>
        <v>510.3900000000001</v>
      </c>
      <c r="Y93" s="3"/>
      <c r="Z93" s="7">
        <f t="shared" si="19"/>
        <v>0.29119882240175277</v>
      </c>
    </row>
    <row r="94" spans="1:26" s="69" customFormat="1" ht="15" hidden="1" customHeight="1" outlineLevel="2" x14ac:dyDescent="0.3">
      <c r="A94" s="21"/>
      <c r="B94" s="9" t="str">
        <f>CONCATENATE("          ","6247"," - ","STORE SUPPLIES")</f>
        <v xml:space="preserve">          6247 - STORE SUPPLIES</v>
      </c>
      <c r="C94" s="9"/>
      <c r="D94" s="6">
        <v>2382.08</v>
      </c>
      <c r="E94" s="3"/>
      <c r="F94" s="7">
        <f t="shared" si="12"/>
        <v>5.967972206518477E-3</v>
      </c>
      <c r="G94" s="3"/>
      <c r="H94" s="6">
        <v>1522</v>
      </c>
      <c r="I94" s="3"/>
      <c r="J94" s="7">
        <f t="shared" si="13"/>
        <v>2.3530535817510644E-2</v>
      </c>
      <c r="K94" s="3"/>
      <c r="L94" s="6">
        <f t="shared" si="14"/>
        <v>860.07999999999993</v>
      </c>
      <c r="M94" s="3"/>
      <c r="N94" s="7">
        <f t="shared" si="15"/>
        <v>0.56509855453350855</v>
      </c>
      <c r="O94" s="9"/>
      <c r="P94" s="6">
        <v>5294.08</v>
      </c>
      <c r="Q94" s="3"/>
      <c r="R94" s="7">
        <f t="shared" si="16"/>
        <v>1.835960408247337E-3</v>
      </c>
      <c r="S94" s="3"/>
      <c r="T94" s="6">
        <v>1522</v>
      </c>
      <c r="U94" s="3"/>
      <c r="V94" s="7">
        <f t="shared" si="17"/>
        <v>5.7711709995274957E-4</v>
      </c>
      <c r="W94" s="3"/>
      <c r="X94" s="6">
        <f t="shared" si="18"/>
        <v>3772.08</v>
      </c>
      <c r="Y94" s="3"/>
      <c r="Z94" s="7">
        <f t="shared" si="19"/>
        <v>2.4783705650459922</v>
      </c>
    </row>
    <row r="95" spans="1:26" s="68" customFormat="1" ht="15" customHeight="1" outlineLevel="1" collapsed="1" x14ac:dyDescent="0.3">
      <c r="A95" s="20"/>
      <c r="B95" s="11" t="str">
        <f>CONCATENATE("     ","Telephone/Data Lines                              ")</f>
        <v xml:space="preserve">     Telephone/Data Lines                              </v>
      </c>
      <c r="C95" s="11"/>
      <c r="D95" s="2">
        <f>SUM(OSRRefD22_11x_0)</f>
        <v>58.15</v>
      </c>
      <c r="E95" s="2"/>
      <c r="F95" s="5">
        <f t="shared" si="12"/>
        <v>1.4568678793703378E-4</v>
      </c>
      <c r="G95" s="2"/>
      <c r="H95" s="2">
        <f>SUM(OSRRefH22_11x_0)</f>
        <v>415.7</v>
      </c>
      <c r="I95" s="2"/>
      <c r="J95" s="5">
        <f t="shared" si="13"/>
        <v>6.4268355711821117E-3</v>
      </c>
      <c r="K95" s="2"/>
      <c r="L95" s="2">
        <f t="shared" si="14"/>
        <v>-357.55</v>
      </c>
      <c r="M95" s="2"/>
      <c r="N95" s="5">
        <f t="shared" si="15"/>
        <v>-0.86011546788549442</v>
      </c>
      <c r="O95" s="11"/>
      <c r="P95" s="2">
        <f>SUM(OSRRefP22_11x_0)</f>
        <v>2069.81</v>
      </c>
      <c r="Q95" s="2"/>
      <c r="R95" s="5">
        <f t="shared" si="16"/>
        <v>7.1779973339927249E-4</v>
      </c>
      <c r="S95" s="2"/>
      <c r="T95" s="2">
        <f>SUM(OSRRefT22_11x_0)</f>
        <v>3676.45</v>
      </c>
      <c r="U95" s="2"/>
      <c r="V95" s="5">
        <f t="shared" si="17"/>
        <v>1.3940487267551157E-3</v>
      </c>
      <c r="W95" s="2"/>
      <c r="X95" s="2">
        <f t="shared" si="18"/>
        <v>-1606.6399999999999</v>
      </c>
      <c r="Y95" s="2"/>
      <c r="Z95" s="5">
        <f t="shared" si="19"/>
        <v>-0.43700852724775258</v>
      </c>
    </row>
    <row r="96" spans="1:26" s="69" customFormat="1" ht="15" hidden="1" customHeight="1" outlineLevel="2" x14ac:dyDescent="0.3">
      <c r="A96" s="21"/>
      <c r="B96" s="9" t="str">
        <f>CONCATENATE("          ","6309"," - ","TELEPHONE")</f>
        <v xml:space="preserve">          6309 - TELEPHONE</v>
      </c>
      <c r="C96" s="9"/>
      <c r="D96" s="6">
        <v>58.15</v>
      </c>
      <c r="E96" s="3"/>
      <c r="F96" s="7">
        <f t="shared" si="12"/>
        <v>1.4568678793703378E-4</v>
      </c>
      <c r="G96" s="3"/>
      <c r="H96" s="6">
        <v>415.7</v>
      </c>
      <c r="I96" s="3"/>
      <c r="J96" s="7">
        <f t="shared" si="13"/>
        <v>6.4268355711821117E-3</v>
      </c>
      <c r="K96" s="3"/>
      <c r="L96" s="6">
        <f t="shared" si="14"/>
        <v>-357.55</v>
      </c>
      <c r="M96" s="3"/>
      <c r="N96" s="7">
        <f t="shared" si="15"/>
        <v>-0.86011546788549442</v>
      </c>
      <c r="O96" s="9"/>
      <c r="P96" s="6">
        <v>2069.81</v>
      </c>
      <c r="Q96" s="3"/>
      <c r="R96" s="7">
        <f t="shared" si="16"/>
        <v>7.1779973339927249E-4</v>
      </c>
      <c r="S96" s="3"/>
      <c r="T96" s="6">
        <v>3676.45</v>
      </c>
      <c r="U96" s="3"/>
      <c r="V96" s="7">
        <f t="shared" si="17"/>
        <v>1.3940487267551157E-3</v>
      </c>
      <c r="W96" s="3"/>
      <c r="X96" s="6">
        <f t="shared" si="18"/>
        <v>-1606.6399999999999</v>
      </c>
      <c r="Y96" s="3"/>
      <c r="Z96" s="7">
        <f t="shared" si="19"/>
        <v>-0.43700852724775258</v>
      </c>
    </row>
    <row r="97" spans="1:26" s="68" customFormat="1" ht="15" customHeight="1" outlineLevel="1" collapsed="1" x14ac:dyDescent="0.3">
      <c r="A97" s="20"/>
      <c r="B97" s="11" t="str">
        <f>CONCATENATE("     ","Training                                          ")</f>
        <v xml:space="preserve">     Training                                          </v>
      </c>
      <c r="C97" s="11"/>
      <c r="D97" s="2">
        <f>SUM(OSRRefD22_12x_0)</f>
        <v>0</v>
      </c>
      <c r="E97" s="2"/>
      <c r="F97" s="5">
        <f t="shared" si="12"/>
        <v>0</v>
      </c>
      <c r="G97" s="2"/>
      <c r="H97" s="2">
        <f>SUM(OSRRefH22_12x_0)</f>
        <v>0</v>
      </c>
      <c r="I97" s="2"/>
      <c r="J97" s="5">
        <f t="shared" si="13"/>
        <v>0</v>
      </c>
      <c r="K97" s="2"/>
      <c r="L97" s="2">
        <f t="shared" si="14"/>
        <v>0</v>
      </c>
      <c r="M97" s="2"/>
      <c r="N97" s="5">
        <f t="shared" si="15"/>
        <v>0</v>
      </c>
      <c r="O97" s="11"/>
      <c r="P97" s="2">
        <f>SUM(OSRRefP22_12x_0)</f>
        <v>0</v>
      </c>
      <c r="Q97" s="2"/>
      <c r="R97" s="5">
        <f t="shared" si="16"/>
        <v>0</v>
      </c>
      <c r="S97" s="2"/>
      <c r="T97" s="2">
        <f>SUM(OSRRefT22_12x_0)</f>
        <v>100</v>
      </c>
      <c r="U97" s="2"/>
      <c r="V97" s="5">
        <f t="shared" si="17"/>
        <v>3.7918337710430325E-5</v>
      </c>
      <c r="W97" s="2"/>
      <c r="X97" s="2">
        <f t="shared" si="18"/>
        <v>-100</v>
      </c>
      <c r="Y97" s="2"/>
      <c r="Z97" s="5">
        <f t="shared" si="19"/>
        <v>-1</v>
      </c>
    </row>
    <row r="98" spans="1:26" s="69" customFormat="1" ht="15" hidden="1" customHeight="1" outlineLevel="2" x14ac:dyDescent="0.3">
      <c r="A98" s="21"/>
      <c r="B98" s="9" t="str">
        <f>CONCATENATE("          ","6376"," - ","TRAINING")</f>
        <v xml:space="preserve">          6376 - TRAINING</v>
      </c>
      <c r="C98" s="9"/>
      <c r="D98" s="6"/>
      <c r="E98" s="3"/>
      <c r="F98" s="7">
        <f t="shared" si="12"/>
        <v>0</v>
      </c>
      <c r="G98" s="3"/>
      <c r="H98" s="6"/>
      <c r="I98" s="3"/>
      <c r="J98" s="7">
        <f t="shared" si="13"/>
        <v>0</v>
      </c>
      <c r="K98" s="3"/>
      <c r="L98" s="6">
        <f t="shared" si="14"/>
        <v>0</v>
      </c>
      <c r="M98" s="3"/>
      <c r="N98" s="7">
        <f t="shared" si="15"/>
        <v>0</v>
      </c>
      <c r="O98" s="9"/>
      <c r="P98" s="6"/>
      <c r="Q98" s="3"/>
      <c r="R98" s="7">
        <f t="shared" si="16"/>
        <v>0</v>
      </c>
      <c r="S98" s="3"/>
      <c r="T98" s="6">
        <v>100</v>
      </c>
      <c r="U98" s="3"/>
      <c r="V98" s="7">
        <f t="shared" si="17"/>
        <v>3.7918337710430325E-5</v>
      </c>
      <c r="W98" s="3"/>
      <c r="X98" s="6">
        <f t="shared" si="18"/>
        <v>-100</v>
      </c>
      <c r="Y98" s="3"/>
      <c r="Z98" s="7">
        <f t="shared" si="19"/>
        <v>-1</v>
      </c>
    </row>
    <row r="99" spans="1:26" s="64" customFormat="1" ht="15" customHeight="1" x14ac:dyDescent="0.3">
      <c r="A99" s="37"/>
      <c r="B99" s="37"/>
      <c r="C99" s="37"/>
      <c r="D99" s="2"/>
      <c r="E99" s="2"/>
      <c r="F99" s="5"/>
      <c r="G99" s="2"/>
      <c r="H99" s="2"/>
      <c r="I99" s="2"/>
      <c r="J99" s="5"/>
      <c r="K99" s="2"/>
      <c r="L99" s="2"/>
      <c r="M99" s="2"/>
      <c r="N99" s="5"/>
      <c r="O99" s="37"/>
      <c r="P99" s="2"/>
      <c r="Q99" s="2"/>
      <c r="R99" s="5"/>
      <c r="S99" s="2"/>
      <c r="T99" s="2"/>
      <c r="U99" s="2"/>
      <c r="V99" s="5"/>
      <c r="W99" s="2"/>
      <c r="X99" s="2"/>
      <c r="Y99" s="2"/>
      <c r="Z99" s="5"/>
    </row>
    <row r="100" spans="1:26" s="62" customFormat="1" ht="15" customHeight="1" collapsed="1" x14ac:dyDescent="0.3">
      <c r="A100" s="13"/>
      <c r="B100" s="27" t="s">
        <v>290</v>
      </c>
      <c r="C100" s="13"/>
      <c r="D100" s="8">
        <f>SUM(OSRRefD25x_0)</f>
        <v>-1003.81</v>
      </c>
      <c r="E100" s="8"/>
      <c r="F100" s="14">
        <f>IF(D$12=0,0,D100/D$12)</f>
        <v>-2.5149072158052255E-3</v>
      </c>
      <c r="G100" s="8"/>
      <c r="H100" s="8">
        <f>SUM(OSRRefH25x_0)</f>
        <v>-2.1800000000000068</v>
      </c>
      <c r="I100" s="8"/>
      <c r="J100" s="14">
        <f>IF(H$12=0,0,H100/H$12)</f>
        <v>-3.3703395586184868E-5</v>
      </c>
      <c r="K100" s="8"/>
      <c r="L100" s="8">
        <f>+D100-H100</f>
        <v>-1001.6299999999999</v>
      </c>
      <c r="M100" s="8"/>
      <c r="N100" s="14">
        <f>IF(H100=0,0,L100/H100)</f>
        <v>459.46330275229207</v>
      </c>
      <c r="O100" s="13"/>
      <c r="P100" s="8">
        <f>SUM(OSRRefP25x_0)</f>
        <v>2760.96</v>
      </c>
      <c r="Q100" s="8"/>
      <c r="R100" s="14">
        <f>IF(P$12=0,0,P100/P$12)</f>
        <v>9.5748708911738538E-4</v>
      </c>
      <c r="S100" s="8"/>
      <c r="T100" s="8">
        <f>SUM(OSRRefT25x_0)</f>
        <v>4030.6</v>
      </c>
      <c r="U100" s="8"/>
      <c r="V100" s="14">
        <f>IF(T$12=0,0,T100/T$12)</f>
        <v>1.5283365197566047E-3</v>
      </c>
      <c r="W100" s="8"/>
      <c r="X100" s="8">
        <f>+P100-T100</f>
        <v>-1269.6399999999999</v>
      </c>
      <c r="Y100" s="8"/>
      <c r="Z100" s="14">
        <f>IF(T100=0,0,X100/T100)</f>
        <v>-0.31500024810201954</v>
      </c>
    </row>
    <row r="101" spans="1:26" s="69" customFormat="1" ht="15" hidden="1" customHeight="1" outlineLevel="1" x14ac:dyDescent="0.3">
      <c r="A101" s="47"/>
      <c r="B101" s="9" t="str">
        <f>CONCATENATE("          ","4187"," - ","NON-TAXABLE SALES-COMPUTER REP")</f>
        <v xml:space="preserve">          4187 - NON-TAXABLE SALES-COMPUTER REP</v>
      </c>
      <c r="C101" s="9"/>
      <c r="D101" s="3">
        <f>0</f>
        <v>0</v>
      </c>
      <c r="E101" s="3"/>
      <c r="F101" s="26">
        <f>IF(D$12=0,0,D101/D$12)</f>
        <v>0</v>
      </c>
      <c r="G101" s="3"/>
      <c r="H101" s="3">
        <f>--189.31</f>
        <v>189.31</v>
      </c>
      <c r="I101" s="3"/>
      <c r="J101" s="26">
        <f>IF(H$12=0,0,H101/H$12)</f>
        <v>2.9267843203764389E-3</v>
      </c>
      <c r="K101" s="3"/>
      <c r="L101" s="3">
        <f>+D101-H101</f>
        <v>-189.31</v>
      </c>
      <c r="M101" s="3"/>
      <c r="N101" s="26">
        <f>IF(H101=0,0,L101/H101)</f>
        <v>-1</v>
      </c>
      <c r="O101" s="9"/>
      <c r="P101" s="3">
        <f>0</f>
        <v>0</v>
      </c>
      <c r="Q101" s="3"/>
      <c r="R101" s="26">
        <f>IF(P$12=0,0,P101/P$12)</f>
        <v>0</v>
      </c>
      <c r="S101" s="3"/>
      <c r="T101" s="3">
        <f>--3769.75</f>
        <v>3769.75</v>
      </c>
      <c r="U101" s="3"/>
      <c r="V101" s="26">
        <f>IF(T$12=0,0,T101/T$12)</f>
        <v>1.4294265358389471E-3</v>
      </c>
      <c r="W101" s="3"/>
      <c r="X101" s="3">
        <f>+P101-T101</f>
        <v>-3769.75</v>
      </c>
      <c r="Y101" s="3"/>
      <c r="Z101" s="26">
        <f>IF(T101=0,0,X101/T101)</f>
        <v>-1</v>
      </c>
    </row>
    <row r="102" spans="1:26" s="69" customFormat="1" ht="15" hidden="1" customHeight="1" outlineLevel="1" x14ac:dyDescent="0.3">
      <c r="A102" s="47"/>
      <c r="B102" s="9" t="str">
        <f>CONCATENATE("          ","9087"," - ","")</f>
        <v xml:space="preserve">          9087 - </v>
      </c>
      <c r="C102" s="9"/>
      <c r="D102" s="3">
        <f>-711.04</f>
        <v>-711.04</v>
      </c>
      <c r="E102" s="3"/>
      <c r="F102" s="26">
        <f>IF(D$12=0,0,D102/D$12)</f>
        <v>-1.7814124453095184E-3</v>
      </c>
      <c r="G102" s="3"/>
      <c r="H102" s="3">
        <f>0</f>
        <v>0</v>
      </c>
      <c r="I102" s="3"/>
      <c r="J102" s="26">
        <f>IF(H$12=0,0,H102/H$12)</f>
        <v>0</v>
      </c>
      <c r="K102" s="3"/>
      <c r="L102" s="3">
        <f>+D102-H102</f>
        <v>-711.04</v>
      </c>
      <c r="M102" s="3"/>
      <c r="N102" s="26">
        <f>IF(H102=0,0,L102/H102)</f>
        <v>0</v>
      </c>
      <c r="O102" s="9"/>
      <c r="P102" s="3">
        <f>-5.4</f>
        <v>-5.4</v>
      </c>
      <c r="Q102" s="3"/>
      <c r="R102" s="26">
        <f>IF(P$12=0,0,P102/P$12)</f>
        <v>-1.8726929333398097E-6</v>
      </c>
      <c r="S102" s="3"/>
      <c r="T102" s="3">
        <f>0</f>
        <v>0</v>
      </c>
      <c r="U102" s="3"/>
      <c r="V102" s="26">
        <f>IF(T$12=0,0,T102/T$12)</f>
        <v>0</v>
      </c>
      <c r="W102" s="3"/>
      <c r="X102" s="3">
        <f>+P102-T102</f>
        <v>-5.4</v>
      </c>
      <c r="Y102" s="3"/>
      <c r="Z102" s="26">
        <f>IF(T102=0,0,X102/T102)</f>
        <v>0</v>
      </c>
    </row>
    <row r="103" spans="1:26" s="69" customFormat="1" ht="15" hidden="1" customHeight="1" outlineLevel="1" x14ac:dyDescent="0.3">
      <c r="A103" s="47"/>
      <c r="B103" s="9" t="str">
        <f>CONCATENATE("          ","9150"," - ","MISC. INCOME")</f>
        <v xml:space="preserve">          9150 - MISC. INCOME</v>
      </c>
      <c r="C103" s="9"/>
      <c r="D103" s="3">
        <f>-292.77</f>
        <v>-292.77</v>
      </c>
      <c r="E103" s="3"/>
      <c r="F103" s="26">
        <f>IF(D$12=0,0,D103/D$12)</f>
        <v>-7.3349477049570728E-4</v>
      </c>
      <c r="G103" s="3"/>
      <c r="H103" s="3">
        <f>-191.49</f>
        <v>-191.49</v>
      </c>
      <c r="I103" s="3"/>
      <c r="J103" s="26">
        <f>IF(H$12=0,0,H103/H$12)</f>
        <v>-2.9604877159626238E-3</v>
      </c>
      <c r="K103" s="3"/>
      <c r="L103" s="3">
        <f>+D103-H103</f>
        <v>-101.27999999999997</v>
      </c>
      <c r="M103" s="3"/>
      <c r="N103" s="26">
        <f>IF(H103=0,0,L103/H103)</f>
        <v>0.52890490365032095</v>
      </c>
      <c r="O103" s="9"/>
      <c r="P103" s="3">
        <f>--2766.36</f>
        <v>2766.36</v>
      </c>
      <c r="Q103" s="3"/>
      <c r="R103" s="26">
        <f>IF(P$12=0,0,P103/P$12)</f>
        <v>9.5935978205072519E-4</v>
      </c>
      <c r="S103" s="3"/>
      <c r="T103" s="3">
        <f>--260.85</f>
        <v>260.85000000000002</v>
      </c>
      <c r="U103" s="3"/>
      <c r="V103" s="26">
        <f>IF(T$12=0,0,T103/T$12)</f>
        <v>9.8909983917657511E-5</v>
      </c>
      <c r="W103" s="3"/>
      <c r="X103" s="3">
        <f>+P103-T103</f>
        <v>2505.5100000000002</v>
      </c>
      <c r="Y103" s="3"/>
      <c r="Z103" s="26">
        <f>IF(T103=0,0,X103/T103)</f>
        <v>9.6051753881541124</v>
      </c>
    </row>
    <row r="104" spans="1:26" ht="15" customHeight="1" x14ac:dyDescent="0.3">
      <c r="A104" s="12"/>
      <c r="B104" s="13"/>
      <c r="C104" s="13"/>
      <c r="D104" s="4"/>
      <c r="E104" s="4"/>
      <c r="F104" s="10"/>
      <c r="G104" s="4"/>
      <c r="H104" s="4"/>
      <c r="I104" s="4"/>
      <c r="J104" s="10"/>
      <c r="K104" s="4"/>
      <c r="L104" s="4"/>
      <c r="M104" s="4"/>
      <c r="N104" s="10"/>
      <c r="O104" s="13"/>
      <c r="P104" s="4"/>
      <c r="Q104" s="4"/>
      <c r="R104" s="10"/>
      <c r="S104" s="4"/>
      <c r="T104" s="4"/>
      <c r="U104" s="4"/>
      <c r="V104" s="10"/>
      <c r="W104" s="4"/>
      <c r="X104" s="4"/>
      <c r="Y104" s="4"/>
      <c r="Z104" s="10"/>
    </row>
    <row r="105" spans="1:26" s="62" customFormat="1" ht="15" customHeight="1" x14ac:dyDescent="0.3">
      <c r="A105" s="13"/>
      <c r="B105" s="28" t="s">
        <v>291</v>
      </c>
      <c r="C105" s="28"/>
      <c r="D105" s="22">
        <f>+D53-D55+D100</f>
        <v>108613.19999999991</v>
      </c>
      <c r="E105" s="15"/>
      <c r="F105" s="24">
        <f>IF(D$12=0,0,D105/D$12)</f>
        <v>0.27211536088671751</v>
      </c>
      <c r="G105" s="15"/>
      <c r="H105" s="22">
        <f>+H53-H55+H100</f>
        <v>40385.139999999992</v>
      </c>
      <c r="I105" s="15"/>
      <c r="J105" s="24">
        <f>IF(H$12=0,0,H105/H$12)</f>
        <v>0.62436529780892358</v>
      </c>
      <c r="K105" s="17"/>
      <c r="L105" s="22">
        <f>+D105-H105</f>
        <v>68228.05999999991</v>
      </c>
      <c r="M105" s="17"/>
      <c r="N105" s="24">
        <f>IF(H105=0,0,L105/H105)</f>
        <v>1.6894347772472726</v>
      </c>
      <c r="O105" s="27"/>
      <c r="P105" s="22">
        <f>+P53-P55+P100</f>
        <v>316088.67999999976</v>
      </c>
      <c r="Q105" s="15"/>
      <c r="R105" s="24">
        <f>IF(P$12=0,0,P105/P$12)</f>
        <v>0.10961796987864962</v>
      </c>
      <c r="S105" s="15"/>
      <c r="T105" s="22">
        <f>+T53-T55+T100</f>
        <v>175048.1599999996</v>
      </c>
      <c r="U105" s="15"/>
      <c r="V105" s="24">
        <f>IF(T$12=0,0,T105/T$12)</f>
        <v>6.6375352464694254E-2</v>
      </c>
      <c r="W105" s="17"/>
      <c r="X105" s="22">
        <f>+P105-T105</f>
        <v>141040.52000000016</v>
      </c>
      <c r="Y105" s="17"/>
      <c r="Z105" s="24">
        <f>IF(T105=0,0,X105/T105)</f>
        <v>0.80572409330095496</v>
      </c>
    </row>
    <row r="106" spans="1:26" ht="15" customHeight="1" x14ac:dyDescent="0.3">
      <c r="A106" s="12"/>
      <c r="B106" s="13"/>
      <c r="C106" s="12"/>
      <c r="D106" s="4"/>
      <c r="E106" s="4"/>
      <c r="F106" s="10"/>
      <c r="G106" s="4"/>
      <c r="H106" s="4"/>
      <c r="I106" s="4"/>
      <c r="J106" s="10"/>
      <c r="K106" s="4"/>
      <c r="L106" s="4"/>
      <c r="M106" s="4"/>
      <c r="N106" s="10"/>
      <c r="P106" s="4"/>
      <c r="Q106" s="4"/>
      <c r="R106" s="10"/>
      <c r="S106" s="4"/>
      <c r="T106" s="4"/>
      <c r="U106" s="4"/>
      <c r="V106" s="10"/>
      <c r="W106" s="4"/>
      <c r="X106" s="4"/>
      <c r="Y106" s="4"/>
      <c r="Z106" s="10"/>
    </row>
    <row r="107" spans="1:26" s="62" customFormat="1" ht="15" customHeight="1" x14ac:dyDescent="0.3">
      <c r="A107" s="48"/>
      <c r="B107" s="13" t="s">
        <v>292</v>
      </c>
      <c r="C107" s="13"/>
      <c r="D107" s="8">
        <v>-611750.59</v>
      </c>
      <c r="E107" s="8"/>
      <c r="F107" s="14">
        <f>IF(D$12=0,0,D107/D$12)</f>
        <v>-1.5326565516024986</v>
      </c>
      <c r="G107" s="8"/>
      <c r="H107" s="8">
        <v>180243.05</v>
      </c>
      <c r="I107" s="8"/>
      <c r="J107" s="14">
        <f>IF(H$12=0,0,H107/H$12)</f>
        <v>2.7866067962433387</v>
      </c>
      <c r="K107" s="8"/>
      <c r="L107" s="8">
        <f>+D107-H107</f>
        <v>-791993.6399999999</v>
      </c>
      <c r="M107" s="8"/>
      <c r="N107" s="14">
        <f>IF(H107=0,0,L107/H107)</f>
        <v>-4.3940315035725366</v>
      </c>
      <c r="O107" s="13"/>
      <c r="P107" s="8">
        <v>-332440.58</v>
      </c>
      <c r="Q107" s="8"/>
      <c r="R107" s="14">
        <f>IF(P$12=0,0,P107/P$12)</f>
        <v>-0.11528872683729402</v>
      </c>
      <c r="S107" s="8"/>
      <c r="T107" s="8">
        <v>729975.69</v>
      </c>
      <c r="U107" s="8"/>
      <c r="V107" s="14">
        <f>IF(T$12=0,0,T107/T$12)</f>
        <v>0.27679464733824394</v>
      </c>
      <c r="W107" s="8"/>
      <c r="X107" s="8">
        <f>+P107-T107</f>
        <v>-1062416.27</v>
      </c>
      <c r="Y107" s="8"/>
      <c r="Z107" s="14">
        <f>IF(T107=0,0,X107/T107)</f>
        <v>-1.455413220678623</v>
      </c>
    </row>
    <row r="108" spans="1:26" ht="15" customHeight="1" x14ac:dyDescent="0.3">
      <c r="A108" s="12"/>
      <c r="B108" s="13"/>
      <c r="C108" s="13"/>
      <c r="D108" s="4"/>
      <c r="E108" s="4"/>
      <c r="F108" s="10"/>
      <c r="G108" s="4"/>
      <c r="H108" s="4"/>
      <c r="I108" s="4"/>
      <c r="J108" s="10"/>
      <c r="K108" s="4"/>
      <c r="L108" s="4"/>
      <c r="M108" s="4"/>
      <c r="N108" s="10"/>
      <c r="O108" s="13"/>
      <c r="P108" s="4"/>
      <c r="Q108" s="4"/>
      <c r="R108" s="10"/>
      <c r="S108" s="4"/>
      <c r="T108" s="4"/>
      <c r="U108" s="4"/>
      <c r="V108" s="10"/>
      <c r="W108" s="4"/>
      <c r="X108" s="4"/>
      <c r="Y108" s="4"/>
      <c r="Z108" s="10"/>
    </row>
    <row r="109" spans="1:26" s="62" customFormat="1" ht="15" customHeight="1" x14ac:dyDescent="0.3">
      <c r="A109" s="13"/>
      <c r="B109" s="28" t="s">
        <v>293</v>
      </c>
      <c r="C109" s="28"/>
      <c r="D109" s="29">
        <f>+D105-D107</f>
        <v>720363.78999999992</v>
      </c>
      <c r="E109" s="15"/>
      <c r="F109" s="31">
        <f>IF(D$12=0,0,D109/D$12)</f>
        <v>1.8047719124892163</v>
      </c>
      <c r="G109" s="15"/>
      <c r="H109" s="29">
        <f>+H105-H107</f>
        <v>-139857.91</v>
      </c>
      <c r="I109" s="15"/>
      <c r="J109" s="31">
        <f>IF(H$12=0,0,H109/H$12)</f>
        <v>-2.1622414984344154</v>
      </c>
      <c r="K109" s="17"/>
      <c r="L109" s="29">
        <f>D109-H109</f>
        <v>860221.7</v>
      </c>
      <c r="M109" s="17"/>
      <c r="N109" s="31">
        <f>IF(H109=0,0,L109/H109)</f>
        <v>-6.1506832184178926</v>
      </c>
      <c r="O109" s="27"/>
      <c r="P109" s="29">
        <f>+P105-P107</f>
        <v>648529.25999999978</v>
      </c>
      <c r="Q109" s="15"/>
      <c r="R109" s="31">
        <f>IF(P$12=0,0,P109/P$12)</f>
        <v>0.22490669671594363</v>
      </c>
      <c r="S109" s="15"/>
      <c r="T109" s="29">
        <f>+T105-T107</f>
        <v>-554927.53000000038</v>
      </c>
      <c r="U109" s="15"/>
      <c r="V109" s="31">
        <f>IF(T$12=0,0,T109/T$12)</f>
        <v>-0.21041929487354971</v>
      </c>
      <c r="W109" s="17"/>
      <c r="X109" s="29">
        <f>P109-T109</f>
        <v>1203456.79</v>
      </c>
      <c r="Y109" s="17"/>
      <c r="Z109" s="31">
        <f>IF(T109=0,0,X109/T109)</f>
        <v>-2.1686737906119005</v>
      </c>
    </row>
    <row r="110" spans="1:26" ht="15" customHeight="1" x14ac:dyDescent="0.3">
      <c r="A110" s="12"/>
      <c r="B110" s="12"/>
      <c r="C110" s="12"/>
      <c r="D110" s="4"/>
      <c r="E110" s="4"/>
      <c r="F110" s="10"/>
      <c r="G110" s="4"/>
      <c r="H110" s="4"/>
      <c r="I110" s="4"/>
      <c r="J110" s="10"/>
      <c r="K110" s="4"/>
      <c r="L110" s="4"/>
      <c r="M110" s="4"/>
      <c r="N110" s="10"/>
      <c r="P110" s="4"/>
      <c r="Q110" s="4"/>
      <c r="R110" s="10"/>
      <c r="S110" s="4"/>
      <c r="T110" s="4"/>
      <c r="U110" s="4"/>
      <c r="V110" s="10"/>
      <c r="W110" s="4"/>
      <c r="X110" s="4"/>
      <c r="Y110" s="4"/>
      <c r="Z110" s="10"/>
    </row>
    <row r="111" spans="1:26" ht="15" customHeight="1" x14ac:dyDescent="0.3">
      <c r="A111" s="12"/>
      <c r="B111" s="12"/>
      <c r="C111" s="12"/>
      <c r="D111" s="4"/>
      <c r="E111" s="4"/>
      <c r="F111" s="10"/>
      <c r="G111" s="4"/>
      <c r="H111" s="4"/>
      <c r="I111" s="4"/>
      <c r="J111" s="10"/>
      <c r="K111" s="4"/>
      <c r="L111" s="4"/>
      <c r="M111" s="4"/>
      <c r="N111" s="10"/>
      <c r="P111" s="4"/>
      <c r="Q111" s="4"/>
      <c r="R111" s="10"/>
      <c r="S111" s="4"/>
      <c r="T111" s="4"/>
      <c r="U111" s="4"/>
      <c r="V111" s="10"/>
      <c r="W111" s="4"/>
      <c r="X111" s="4"/>
      <c r="Y111" s="4"/>
      <c r="Z111" s="10"/>
    </row>
    <row r="112" spans="1:26" s="62" customFormat="1" ht="15" customHeight="1" x14ac:dyDescent="0.3">
      <c r="A112" s="13"/>
      <c r="B112" s="28" t="s">
        <v>296</v>
      </c>
      <c r="C112" s="28"/>
      <c r="D112" s="30">
        <f>SUM(D109:D111)</f>
        <v>720363.78999999992</v>
      </c>
      <c r="E112" s="15"/>
      <c r="F112" s="35">
        <f>IF(D$12=0,0,D112/D$12)</f>
        <v>1.8047719124892163</v>
      </c>
      <c r="G112" s="15"/>
      <c r="H112" s="30">
        <f>SUM(H109:H111)</f>
        <v>-139857.91</v>
      </c>
      <c r="I112" s="15"/>
      <c r="J112" s="35">
        <f>IF(H$12=0,0,H112/H$12)</f>
        <v>-2.1622414984344154</v>
      </c>
      <c r="K112" s="17"/>
      <c r="L112" s="30">
        <f>+D112-H112</f>
        <v>860221.7</v>
      </c>
      <c r="M112" s="17"/>
      <c r="N112" s="35">
        <f>IF(H112=0,0,L112/H112)</f>
        <v>-6.1506832184178926</v>
      </c>
      <c r="O112" s="27"/>
      <c r="P112" s="30">
        <f>SUM(P109:P111)</f>
        <v>648529.25999999978</v>
      </c>
      <c r="Q112" s="15"/>
      <c r="R112" s="35">
        <f>IF(P$12=0,0,P112/P$12)</f>
        <v>0.22490669671594363</v>
      </c>
      <c r="S112" s="15"/>
      <c r="T112" s="30">
        <f>SUM(T109:T111)</f>
        <v>-554927.53000000038</v>
      </c>
      <c r="U112" s="15"/>
      <c r="V112" s="35">
        <f>IF(T$12=0,0,T112/T$12)</f>
        <v>-0.21041929487354971</v>
      </c>
      <c r="W112" s="17"/>
      <c r="X112" s="30">
        <f>+P112-T112</f>
        <v>1203456.79</v>
      </c>
      <c r="Y112" s="17"/>
      <c r="Z112" s="35">
        <f>IF(T112=0,0,X112/T112)</f>
        <v>-2.1686737906119005</v>
      </c>
    </row>
    <row r="113" spans="1:24" ht="15" customHeight="1" x14ac:dyDescent="0.3">
      <c r="A113" s="12"/>
      <c r="C113" s="12"/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  <row r="114" spans="1:24" ht="15" customHeight="1" x14ac:dyDescent="0.3">
      <c r="A114" s="12"/>
      <c r="B114" s="54">
        <v>44767.815885219905</v>
      </c>
      <c r="D114" s="19"/>
      <c r="E114" s="19"/>
      <c r="G114" s="19"/>
      <c r="H114" s="19"/>
      <c r="I114" s="19"/>
      <c r="J114" s="41"/>
      <c r="K114" s="19"/>
      <c r="L114" s="19"/>
      <c r="M114" s="19"/>
      <c r="P114" s="19"/>
      <c r="Q114" s="19"/>
      <c r="R114" s="41"/>
      <c r="S114" s="19"/>
      <c r="T114" s="19"/>
      <c r="U114" s="19"/>
      <c r="V114" s="41"/>
      <c r="W114" s="19"/>
      <c r="X114" s="19"/>
    </row>
    <row r="115" spans="1:24" ht="15" customHeight="1" x14ac:dyDescent="0.3">
      <c r="A115" s="12"/>
      <c r="B115" s="53" t="s">
        <v>297</v>
      </c>
      <c r="D115" s="19"/>
      <c r="E115" s="19"/>
      <c r="G115" s="19"/>
      <c r="H115" s="19"/>
      <c r="I115" s="19"/>
      <c r="J115" s="41"/>
      <c r="K115" s="19"/>
      <c r="L115" s="19"/>
      <c r="M115" s="19"/>
      <c r="P115" s="19"/>
      <c r="Q115" s="19"/>
      <c r="R115" s="41"/>
      <c r="S115" s="19"/>
      <c r="T115" s="19"/>
      <c r="U115" s="19"/>
      <c r="V115" s="41"/>
      <c r="W115" s="19"/>
      <c r="X115" s="19"/>
    </row>
    <row r="116" spans="1:24" ht="15" customHeight="1" x14ac:dyDescent="0.3">
      <c r="A116" s="12"/>
      <c r="B116" s="51"/>
      <c r="D116" s="19"/>
      <c r="E116" s="19"/>
      <c r="G116" s="19"/>
      <c r="H116" s="19"/>
      <c r="I116" s="19"/>
      <c r="J116" s="41"/>
      <c r="K116" s="19"/>
      <c r="L116" s="19"/>
      <c r="M116" s="19"/>
      <c r="P116" s="19"/>
      <c r="Q116" s="19"/>
      <c r="R116" s="41"/>
      <c r="S116" s="19"/>
      <c r="T116" s="19"/>
      <c r="U116" s="19"/>
      <c r="V116" s="41"/>
      <c r="W116" s="19"/>
      <c r="X116" s="19"/>
    </row>
    <row r="117" spans="1:24" ht="15" customHeight="1" x14ac:dyDescent="0.3">
      <c r="D117" s="19"/>
      <c r="E117" s="19"/>
      <c r="G117" s="19"/>
      <c r="H117" s="19"/>
      <c r="I117" s="19"/>
      <c r="J117" s="41"/>
      <c r="K117" s="19"/>
      <c r="L117" s="19"/>
      <c r="M117" s="19"/>
      <c r="P117" s="19"/>
      <c r="Q117" s="19"/>
      <c r="R117" s="41"/>
      <c r="S117" s="19"/>
      <c r="T117" s="19"/>
      <c r="U117" s="19"/>
      <c r="V117" s="41"/>
      <c r="W117" s="19"/>
      <c r="X11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E37D-AD57-09E2-3649-5CFC4E609C12}">
  <sheetPr>
    <tabColor rgb="FFFFFF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15518.66</v>
      </c>
      <c r="E12" s="8"/>
      <c r="F12" s="14"/>
      <c r="G12" s="8"/>
      <c r="H12" s="8">
        <f>SUM(OSRRefH13x_0)</f>
        <v>34.049999999999997</v>
      </c>
      <c r="I12" s="8"/>
      <c r="J12" s="14"/>
      <c r="K12" s="8"/>
      <c r="L12" s="8">
        <f t="shared" ref="L12:L23" si="0">+D12-H12</f>
        <v>15484.61</v>
      </c>
      <c r="M12" s="8"/>
      <c r="N12" s="14">
        <f t="shared" ref="N12:N23" si="1">IF(H12=0,0,L12/H12)</f>
        <v>454.76093979442004</v>
      </c>
      <c r="O12" s="13"/>
      <c r="P12" s="8">
        <f>SUM(OSRRefP13x_0)</f>
        <v>513482.56</v>
      </c>
      <c r="Q12" s="8"/>
      <c r="R12" s="14"/>
      <c r="S12" s="8"/>
      <c r="T12" s="8">
        <f>SUM(OSRRefT13x_0)</f>
        <v>2910.9700000000003</v>
      </c>
      <c r="U12" s="8"/>
      <c r="V12" s="14"/>
      <c r="W12" s="8"/>
      <c r="X12" s="8">
        <f t="shared" ref="X12:X23" si="2">+P12-T12</f>
        <v>510571.59</v>
      </c>
      <c r="Y12" s="8"/>
      <c r="Z12" s="14">
        <f t="shared" ref="Z12:Z23" si="3">IF(T12=0,0,X12/T12)</f>
        <v>175.39568940937212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--2209.28</f>
        <v>2209.2800000000002</v>
      </c>
      <c r="E13" s="3"/>
      <c r="F13" s="26"/>
      <c r="G13" s="3"/>
      <c r="H13" s="3">
        <f>0</f>
        <v>0</v>
      </c>
      <c r="I13" s="3"/>
      <c r="J13" s="26"/>
      <c r="K13" s="3"/>
      <c r="L13" s="3">
        <f t="shared" si="0"/>
        <v>2209.2800000000002</v>
      </c>
      <c r="M13" s="3"/>
      <c r="N13" s="26">
        <f t="shared" si="1"/>
        <v>0</v>
      </c>
      <c r="O13" s="9"/>
      <c r="P13" s="3">
        <f>--77941.32</f>
        <v>77941.320000000007</v>
      </c>
      <c r="Q13" s="3"/>
      <c r="R13" s="26"/>
      <c r="S13" s="3"/>
      <c r="T13" s="3">
        <f>0</f>
        <v>0</v>
      </c>
      <c r="U13" s="3"/>
      <c r="V13" s="26"/>
      <c r="W13" s="3"/>
      <c r="X13" s="3">
        <f t="shared" si="2"/>
        <v>77941.320000000007</v>
      </c>
      <c r="Y13" s="3"/>
      <c r="Z13" s="26">
        <f t="shared" si="3"/>
        <v>0</v>
      </c>
    </row>
    <row r="14" spans="1:26" s="69" customFormat="1" ht="15" hidden="1" customHeight="1" outlineLevel="1" x14ac:dyDescent="0.3">
      <c r="A14" s="47"/>
      <c r="B14" s="9" t="str">
        <f>CONCATENATE("          ","4032"," - ","TAXABLE SALES-JUICE")</f>
        <v xml:space="preserve">          4032 - TAXABLE SALES-JUICE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0</f>
        <v>0</v>
      </c>
      <c r="Q14" s="3"/>
      <c r="R14" s="26"/>
      <c r="S14" s="3"/>
      <c r="T14" s="3">
        <f>--444.59</f>
        <v>444.59</v>
      </c>
      <c r="U14" s="3"/>
      <c r="V14" s="26"/>
      <c r="W14" s="3"/>
      <c r="X14" s="3">
        <f t="shared" si="2"/>
        <v>-444.59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","4034"," - ","TAXABLE SALES-SODA")</f>
        <v xml:space="preserve">          4034 - TAXABLE SALES-SODA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>
        <f>0</f>
        <v>0</v>
      </c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69" customFormat="1" ht="15" hidden="1" customHeight="1" outlineLevel="1" x14ac:dyDescent="0.3">
      <c r="A16" s="47"/>
      <c r="B16" s="9" t="str">
        <f>CONCATENATE("          ","4051"," - ","TAXABLE SALES-FOOD")</f>
        <v xml:space="preserve">          4051 - TAXABLE SALES-FOOD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--25.17</f>
        <v>25.17</v>
      </c>
      <c r="Q16" s="3"/>
      <c r="R16" s="26"/>
      <c r="S16" s="3"/>
      <c r="T16" s="3">
        <f>0</f>
        <v>0</v>
      </c>
      <c r="U16" s="3"/>
      <c r="V16" s="26"/>
      <c r="W16" s="3"/>
      <c r="X16" s="3">
        <f t="shared" si="2"/>
        <v>25.17</v>
      </c>
      <c r="Y16" s="3"/>
      <c r="Z16" s="26">
        <f t="shared" si="3"/>
        <v>0</v>
      </c>
    </row>
    <row r="17" spans="1:26" s="69" customFormat="1" ht="15" hidden="1" customHeight="1" outlineLevel="1" x14ac:dyDescent="0.3">
      <c r="A17" s="47"/>
      <c r="B17" s="9" t="str">
        <f>CONCATENATE("          ","4053"," - ","TAXABLE SALES-FOOD")</f>
        <v xml:space="preserve">          4053 - TAXABLE SALES-FOOD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--1827.05</f>
        <v>1827.05</v>
      </c>
      <c r="Q17" s="3"/>
      <c r="R17" s="26"/>
      <c r="S17" s="3"/>
      <c r="T17" s="3">
        <f>0</f>
        <v>0</v>
      </c>
      <c r="U17" s="3"/>
      <c r="V17" s="26"/>
      <c r="W17" s="3"/>
      <c r="X17" s="3">
        <f t="shared" si="2"/>
        <v>1827.05</v>
      </c>
      <c r="Y17" s="3"/>
      <c r="Z17" s="26">
        <f t="shared" si="3"/>
        <v>0</v>
      </c>
    </row>
    <row r="18" spans="1:26" s="69" customFormat="1" ht="15" hidden="1" customHeight="1" outlineLevel="1" x14ac:dyDescent="0.3">
      <c r="A18" s="47"/>
      <c r="B18" s="9" t="str">
        <f>CONCATENATE("          ","4100"," - ","NON-TAXABLE SALES")</f>
        <v xml:space="preserve">          4100 - NON-TAXABLE SALES</v>
      </c>
      <c r="C18" s="9"/>
      <c r="D18" s="3">
        <f>--13309.38</f>
        <v>13309.38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13309.38</v>
      </c>
      <c r="M18" s="3"/>
      <c r="N18" s="26">
        <f t="shared" si="1"/>
        <v>0</v>
      </c>
      <c r="O18" s="9"/>
      <c r="P18" s="3">
        <f>--433482.7</f>
        <v>433482.7</v>
      </c>
      <c r="Q18" s="3"/>
      <c r="R18" s="26"/>
      <c r="S18" s="3"/>
      <c r="T18" s="3">
        <f>0</f>
        <v>0</v>
      </c>
      <c r="U18" s="3"/>
      <c r="V18" s="26"/>
      <c r="W18" s="3"/>
      <c r="X18" s="3">
        <f t="shared" si="2"/>
        <v>433482.7</v>
      </c>
      <c r="Y18" s="3"/>
      <c r="Z18" s="26">
        <f t="shared" si="3"/>
        <v>0</v>
      </c>
    </row>
    <row r="19" spans="1:26" s="69" customFormat="1" ht="15" hidden="1" customHeight="1" outlineLevel="1" x14ac:dyDescent="0.3">
      <c r="A19" s="47"/>
      <c r="B19" s="9" t="str">
        <f>CONCATENATE("          ","4132"," - ","NON-TAXABLE SALES-JUICE")</f>
        <v xml:space="preserve">          4132 - NON-TAXABLE SALES-JUICE</v>
      </c>
      <c r="C19" s="9"/>
      <c r="D19" s="3">
        <f>0</f>
        <v>0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>
        <f>--2031.88</f>
        <v>2031.88</v>
      </c>
      <c r="U19" s="3"/>
      <c r="V19" s="26"/>
      <c r="W19" s="3"/>
      <c r="X19" s="3">
        <f t="shared" si="2"/>
        <v>-2031.88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","4134"," - ","NON-TAXABLE SALES-SODA")</f>
        <v xml:space="preserve">          4134 - NON-TAXABLE SALES-SODA</v>
      </c>
      <c r="C20" s="9"/>
      <c r="D20" s="3">
        <f>0</f>
        <v>0</v>
      </c>
      <c r="E20" s="3"/>
      <c r="F20" s="26"/>
      <c r="G20" s="3"/>
      <c r="H20" s="3">
        <f>0</f>
        <v>0</v>
      </c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0</f>
        <v>0</v>
      </c>
      <c r="Q20" s="3"/>
      <c r="R20" s="26"/>
      <c r="S20" s="3"/>
      <c r="T20" s="3">
        <f>0</f>
        <v>0</v>
      </c>
      <c r="U20" s="3"/>
      <c r="V20" s="26"/>
      <c r="W20" s="3"/>
      <c r="X20" s="3">
        <f t="shared" si="2"/>
        <v>0</v>
      </c>
      <c r="Y20" s="3"/>
      <c r="Z20" s="26">
        <f t="shared" si="3"/>
        <v>0</v>
      </c>
    </row>
    <row r="21" spans="1:26" s="69" customFormat="1" ht="15" hidden="1" customHeight="1" outlineLevel="1" x14ac:dyDescent="0.3">
      <c r="A21" s="47"/>
      <c r="B21" s="9" t="str">
        <f>CONCATENATE("          ","4137"," - ","NON-TAXABLE SALES-WATER")</f>
        <v xml:space="preserve">          4137 - NON-TAXABLE SALES-WATER</v>
      </c>
      <c r="C21" s="9"/>
      <c r="D21" s="3">
        <f>0</f>
        <v>0</v>
      </c>
      <c r="E21" s="3"/>
      <c r="F21" s="26"/>
      <c r="G21" s="3"/>
      <c r="H21" s="3">
        <f>0</f>
        <v>0</v>
      </c>
      <c r="I21" s="3"/>
      <c r="J21" s="26"/>
      <c r="K21" s="3"/>
      <c r="L21" s="3">
        <f t="shared" si="0"/>
        <v>0</v>
      </c>
      <c r="M21" s="3"/>
      <c r="N21" s="26">
        <f t="shared" si="1"/>
        <v>0</v>
      </c>
      <c r="O21" s="9"/>
      <c r="P21" s="3">
        <f>0</f>
        <v>0</v>
      </c>
      <c r="Q21" s="3"/>
      <c r="R21" s="26"/>
      <c r="S21" s="3"/>
      <c r="T21" s="3">
        <f>0</f>
        <v>0</v>
      </c>
      <c r="U21" s="3"/>
      <c r="V21" s="26"/>
      <c r="W21" s="3"/>
      <c r="X21" s="3">
        <f t="shared" si="2"/>
        <v>0</v>
      </c>
      <c r="Y21" s="3"/>
      <c r="Z21" s="26">
        <f t="shared" si="3"/>
        <v>0</v>
      </c>
    </row>
    <row r="22" spans="1:26" s="69" customFormat="1" ht="15" hidden="1" customHeight="1" outlineLevel="1" x14ac:dyDescent="0.3">
      <c r="A22" s="47"/>
      <c r="B22" s="9" t="str">
        <f>CONCATENATE("          ","4151"," - ","NON-TAXABLE SALES-FOOD")</f>
        <v xml:space="preserve">          4151 - NON-TAXABLE SALES-FOOD</v>
      </c>
      <c r="C22" s="9"/>
      <c r="D22" s="3">
        <f>0</f>
        <v>0</v>
      </c>
      <c r="E22" s="3"/>
      <c r="F22" s="26"/>
      <c r="G22" s="3"/>
      <c r="H22" s="3">
        <f>0</f>
        <v>0</v>
      </c>
      <c r="I22" s="3"/>
      <c r="J22" s="26"/>
      <c r="K22" s="3"/>
      <c r="L22" s="3">
        <f t="shared" si="0"/>
        <v>0</v>
      </c>
      <c r="M22" s="3"/>
      <c r="N22" s="26">
        <f t="shared" si="1"/>
        <v>0</v>
      </c>
      <c r="O22" s="9"/>
      <c r="P22" s="3">
        <f>--206.32</f>
        <v>206.32</v>
      </c>
      <c r="Q22" s="3"/>
      <c r="R22" s="26"/>
      <c r="S22" s="3"/>
      <c r="T22" s="3">
        <f>0</f>
        <v>0</v>
      </c>
      <c r="U22" s="3"/>
      <c r="V22" s="26"/>
      <c r="W22" s="3"/>
      <c r="X22" s="3">
        <f t="shared" si="2"/>
        <v>206.32</v>
      </c>
      <c r="Y22" s="3"/>
      <c r="Z22" s="26">
        <f t="shared" si="3"/>
        <v>0</v>
      </c>
    </row>
    <row r="23" spans="1:26" s="69" customFormat="1" ht="15" hidden="1" customHeight="1" outlineLevel="1" x14ac:dyDescent="0.3">
      <c r="A23" s="47"/>
      <c r="B23" s="9" t="str">
        <f>CONCATENATE("          ","4153"," - ","NON-TAXABLE SALES-FOOD")</f>
        <v xml:space="preserve">          4153 - NON-TAXABLE SALES-FOOD</v>
      </c>
      <c r="C23" s="9"/>
      <c r="D23" s="3">
        <f>0</f>
        <v>0</v>
      </c>
      <c r="E23" s="3"/>
      <c r="F23" s="26"/>
      <c r="G23" s="3"/>
      <c r="H23" s="3">
        <f>--34.05</f>
        <v>34.049999999999997</v>
      </c>
      <c r="I23" s="3"/>
      <c r="J23" s="26"/>
      <c r="K23" s="3"/>
      <c r="L23" s="3">
        <f t="shared" si="0"/>
        <v>-34.049999999999997</v>
      </c>
      <c r="M23" s="3"/>
      <c r="N23" s="26">
        <f t="shared" si="1"/>
        <v>-1</v>
      </c>
      <c r="O23" s="9"/>
      <c r="P23" s="3">
        <f>0</f>
        <v>0</v>
      </c>
      <c r="Q23" s="3"/>
      <c r="R23" s="26"/>
      <c r="S23" s="3"/>
      <c r="T23" s="3">
        <f>--434.5</f>
        <v>434.5</v>
      </c>
      <c r="U23" s="3"/>
      <c r="V23" s="26"/>
      <c r="W23" s="3"/>
      <c r="X23" s="3">
        <f t="shared" si="2"/>
        <v>-434.5</v>
      </c>
      <c r="Y23" s="3"/>
      <c r="Z23" s="26">
        <f t="shared" si="3"/>
        <v>-1</v>
      </c>
    </row>
    <row r="24" spans="1:26" ht="15" customHeight="1" x14ac:dyDescent="0.3">
      <c r="A24" s="12"/>
      <c r="B24" s="13"/>
      <c r="C24" s="12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2" customFormat="1" ht="15" customHeight="1" collapsed="1" x14ac:dyDescent="0.3">
      <c r="A25" s="13"/>
      <c r="B25" s="27" t="s">
        <v>287</v>
      </c>
      <c r="C25" s="13"/>
      <c r="D25" s="8">
        <f>SUM(OSRRefD16x_0)</f>
        <v>23033.18</v>
      </c>
      <c r="E25" s="8"/>
      <c r="F25" s="14">
        <f>IF(D$12=0,0,D25/D$12)</f>
        <v>1.4842247977596004</v>
      </c>
      <c r="G25" s="8"/>
      <c r="H25" s="8">
        <f>SUM(OSRRefH16x_0)</f>
        <v>3949.52</v>
      </c>
      <c r="I25" s="8"/>
      <c r="J25" s="14">
        <f>IF(H$12=0,0,H25/H$12)</f>
        <v>115.99177679882527</v>
      </c>
      <c r="K25" s="8"/>
      <c r="L25" s="8">
        <f>+D25-H25</f>
        <v>19083.66</v>
      </c>
      <c r="M25" s="8"/>
      <c r="N25" s="14">
        <f>IF(H25=0,0,L25/H25)</f>
        <v>4.8318934959184912</v>
      </c>
      <c r="O25" s="13"/>
      <c r="P25" s="8">
        <f>SUM(OSRRefP16x_0)</f>
        <v>249050.13</v>
      </c>
      <c r="Q25" s="8"/>
      <c r="R25" s="14">
        <f>IF(P$12=0,0,P25/P$12)</f>
        <v>0.48502159450167109</v>
      </c>
      <c r="S25" s="8"/>
      <c r="T25" s="8">
        <f>SUM(OSRRefT16x_0)</f>
        <v>32340.359999999997</v>
      </c>
      <c r="U25" s="8"/>
      <c r="V25" s="14">
        <f>IF(T$12=0,0,T25/T$12)</f>
        <v>11.109822499029532</v>
      </c>
      <c r="W25" s="8"/>
      <c r="X25" s="8">
        <f>+P25-T25</f>
        <v>216709.77000000002</v>
      </c>
      <c r="Y25" s="8"/>
      <c r="Z25" s="14">
        <f>IF(T25=0,0,X25/T25)</f>
        <v>6.700907782102612</v>
      </c>
    </row>
    <row r="26" spans="1:26" s="69" customFormat="1" ht="15" hidden="1" customHeight="1" outlineLevel="1" x14ac:dyDescent="0.3">
      <c r="A26" s="47"/>
      <c r="B26" s="9" t="str">
        <f>CONCATENATE("          ","5000"," - ","PURCHASES @ COST")</f>
        <v xml:space="preserve">          5000 - PURCHASES @ COST</v>
      </c>
      <c r="C26" s="9"/>
      <c r="D26" s="3"/>
      <c r="E26" s="3"/>
      <c r="F26" s="26">
        <f>IF(D$12=0,0,D26/D$12)</f>
        <v>0</v>
      </c>
      <c r="G26" s="3"/>
      <c r="H26" s="3"/>
      <c r="I26" s="3"/>
      <c r="J26" s="26">
        <f>IF(H$12=0,0,H26/H$12)</f>
        <v>0</v>
      </c>
      <c r="K26" s="3"/>
      <c r="L26" s="3">
        <f>+D26-H26</f>
        <v>0</v>
      </c>
      <c r="M26" s="3"/>
      <c r="N26" s="26">
        <f>IF(H26=0,0,L26/H26)</f>
        <v>0</v>
      </c>
      <c r="O26" s="9"/>
      <c r="P26" s="3">
        <v>-8062</v>
      </c>
      <c r="Q26" s="3"/>
      <c r="R26" s="26">
        <f>IF(P$12=0,0,P26/P$12)</f>
        <v>-1.5700630611485616E-2</v>
      </c>
      <c r="S26" s="3"/>
      <c r="T26" s="3"/>
      <c r="U26" s="3"/>
      <c r="V26" s="26">
        <f>IF(T$12=0,0,T26/T$12)</f>
        <v>0</v>
      </c>
      <c r="W26" s="3"/>
      <c r="X26" s="3">
        <f>+P26-T26</f>
        <v>-8062</v>
      </c>
      <c r="Y26" s="3"/>
      <c r="Z26" s="26">
        <f>IF(T26=0,0,X26/T26)</f>
        <v>0</v>
      </c>
    </row>
    <row r="27" spans="1:26" s="69" customFormat="1" ht="15" hidden="1" customHeight="1" outlineLevel="1" x14ac:dyDescent="0.3">
      <c r="A27" s="47"/>
      <c r="B27" s="9" t="str">
        <f>CONCATENATE("          ","5053"," - ","PURCHASES @ COST-FOOD")</f>
        <v xml:space="preserve">          5053 - PURCHASES @ COST-FOOD</v>
      </c>
      <c r="C27" s="9"/>
      <c r="D27" s="3">
        <v>442.2</v>
      </c>
      <c r="E27" s="3"/>
      <c r="F27" s="26">
        <f>IF(D$12=0,0,D27/D$12)</f>
        <v>2.8494728281952177E-2</v>
      </c>
      <c r="G27" s="3"/>
      <c r="H27" s="3">
        <v>1487.52</v>
      </c>
      <c r="I27" s="3"/>
      <c r="J27" s="26">
        <f>IF(H$12=0,0,H27/H$12)</f>
        <v>43.686343612334802</v>
      </c>
      <c r="K27" s="3"/>
      <c r="L27" s="3">
        <f>+D27-H27</f>
        <v>-1045.32</v>
      </c>
      <c r="M27" s="3"/>
      <c r="N27" s="26">
        <f>IF(H27=0,0,L27/H27)</f>
        <v>-0.7027266860277509</v>
      </c>
      <c r="O27" s="9"/>
      <c r="P27" s="3">
        <v>47584.83</v>
      </c>
      <c r="Q27" s="3"/>
      <c r="R27" s="26">
        <f>IF(P$12=0,0,P27/P$12)</f>
        <v>9.2670781262756033E-2</v>
      </c>
      <c r="S27" s="3"/>
      <c r="T27" s="3">
        <v>-1011.63</v>
      </c>
      <c r="U27" s="3"/>
      <c r="V27" s="26">
        <f>IF(T$12=0,0,T27/T$12)</f>
        <v>-0.34752333414634978</v>
      </c>
      <c r="W27" s="3"/>
      <c r="X27" s="3">
        <f>+P27-T27</f>
        <v>48596.46</v>
      </c>
      <c r="Y27" s="3"/>
      <c r="Z27" s="26">
        <f>IF(T27=0,0,X27/T27)</f>
        <v>-48.037780611488387</v>
      </c>
    </row>
    <row r="28" spans="1:26" s="69" customFormat="1" ht="15" hidden="1" customHeight="1" outlineLevel="1" x14ac:dyDescent="0.3">
      <c r="A28" s="47"/>
      <c r="B28" s="9" t="str">
        <f>CONCATENATE("          ","5059"," - ","PURCHASES @ COST-FOOD")</f>
        <v xml:space="preserve">          5059 - PURCHASES @ COST-FOOD</v>
      </c>
      <c r="C28" s="9"/>
      <c r="D28" s="3">
        <v>22590.98</v>
      </c>
      <c r="E28" s="3"/>
      <c r="F28" s="26">
        <f>IF(D$12=0,0,D28/D$12)</f>
        <v>1.4557300694776483</v>
      </c>
      <c r="G28" s="3"/>
      <c r="H28" s="3">
        <v>2462</v>
      </c>
      <c r="I28" s="3"/>
      <c r="J28" s="26">
        <f>IF(H$12=0,0,H28/H$12)</f>
        <v>72.305433186490461</v>
      </c>
      <c r="K28" s="3"/>
      <c r="L28" s="3">
        <f>+D28-H28</f>
        <v>20128.98</v>
      </c>
      <c r="M28" s="3"/>
      <c r="N28" s="26">
        <f>IF(H28=0,0,L28/H28)</f>
        <v>8.1758651502843218</v>
      </c>
      <c r="O28" s="9"/>
      <c r="P28" s="3">
        <v>209527.3</v>
      </c>
      <c r="Q28" s="3"/>
      <c r="R28" s="26">
        <f>IF(P$12=0,0,P28/P$12)</f>
        <v>0.40805144385040065</v>
      </c>
      <c r="S28" s="3"/>
      <c r="T28" s="3">
        <v>33351.99</v>
      </c>
      <c r="U28" s="3"/>
      <c r="V28" s="26">
        <f>IF(T$12=0,0,T28/T$12)</f>
        <v>11.45734583317588</v>
      </c>
      <c r="W28" s="3"/>
      <c r="X28" s="3">
        <f>+P28-T28</f>
        <v>176175.31</v>
      </c>
      <c r="Y28" s="3"/>
      <c r="Z28" s="26">
        <f>IF(T28=0,0,X28/T28)</f>
        <v>5.2823027951255686</v>
      </c>
    </row>
    <row r="29" spans="1:26" ht="15" customHeight="1" x14ac:dyDescent="0.3">
      <c r="A29" s="12"/>
      <c r="B29" s="13"/>
      <c r="C29" s="13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O29" s="13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2" customFormat="1" ht="15" customHeight="1" x14ac:dyDescent="0.3">
      <c r="A30" s="13"/>
      <c r="B30" s="28" t="s">
        <v>288</v>
      </c>
      <c r="C30" s="28"/>
      <c r="D30" s="22">
        <f>D12-D25</f>
        <v>-7514.52</v>
      </c>
      <c r="E30" s="15"/>
      <c r="F30" s="24">
        <f>IF(D$12=0,0,D30/D$12)</f>
        <v>-0.48422479775960042</v>
      </c>
      <c r="G30" s="15"/>
      <c r="H30" s="22">
        <f>H12-H25</f>
        <v>-3915.47</v>
      </c>
      <c r="I30" s="15"/>
      <c r="J30" s="24">
        <f>IF(H$12=0,0,H30/H$12)</f>
        <v>-114.99177679882526</v>
      </c>
      <c r="K30" s="17"/>
      <c r="L30" s="22">
        <f>+D30-H30</f>
        <v>-3599.0500000000006</v>
      </c>
      <c r="M30" s="17"/>
      <c r="N30" s="24">
        <f>IF(H30=0,0,L30/H30)</f>
        <v>0.91918722401142161</v>
      </c>
      <c r="O30" s="27"/>
      <c r="P30" s="22">
        <f>P12-P25</f>
        <v>264432.43</v>
      </c>
      <c r="Q30" s="15"/>
      <c r="R30" s="24">
        <f>IF(P$12=0,0,P30/P$12)</f>
        <v>0.51497840549832885</v>
      </c>
      <c r="S30" s="15"/>
      <c r="T30" s="22">
        <f>T12-T25</f>
        <v>-29429.389999999996</v>
      </c>
      <c r="U30" s="15"/>
      <c r="V30" s="24">
        <f>IF(T$12=0,0,T30/T$12)</f>
        <v>-10.10982249902953</v>
      </c>
      <c r="W30" s="17"/>
      <c r="X30" s="22">
        <f>+P30-T30</f>
        <v>293861.82</v>
      </c>
      <c r="Y30" s="17"/>
      <c r="Z30" s="24">
        <f>IF(T30=0,0,X30/T30)</f>
        <v>-9.9853180782884063</v>
      </c>
    </row>
    <row r="31" spans="1:26" ht="15" customHeight="1" x14ac:dyDescent="0.3">
      <c r="A31" s="12"/>
      <c r="B31" s="13"/>
      <c r="C31" s="12"/>
      <c r="D31" s="2"/>
      <c r="E31" s="2"/>
      <c r="F31" s="5"/>
      <c r="G31" s="2"/>
      <c r="H31" s="2"/>
      <c r="I31" s="2"/>
      <c r="J31" s="5"/>
      <c r="K31" s="2"/>
      <c r="L31" s="2"/>
      <c r="M31" s="2"/>
      <c r="N31" s="5"/>
      <c r="O31" s="37"/>
      <c r="P31" s="2"/>
      <c r="Q31" s="2"/>
      <c r="R31" s="5"/>
      <c r="S31" s="2"/>
      <c r="T31" s="2"/>
      <c r="U31" s="2"/>
      <c r="V31" s="5"/>
      <c r="W31" s="2"/>
      <c r="X31" s="2"/>
      <c r="Y31" s="2"/>
      <c r="Z31" s="5"/>
    </row>
    <row r="32" spans="1:26" s="62" customFormat="1" ht="15" customHeight="1" x14ac:dyDescent="0.3">
      <c r="A32" s="13"/>
      <c r="B32" s="27" t="s">
        <v>289</v>
      </c>
      <c r="C32" s="13"/>
      <c r="D32" s="23" cm="1">
        <f t="array" ref="D32">SUM(OSRRefD22x_0)</f>
        <v>35391.44999999999</v>
      </c>
      <c r="E32" s="23"/>
      <c r="F32" s="34">
        <f t="shared" ref="F32:F63" si="4">IF(D$12=0,0,D32/D$12)</f>
        <v>2.2805738382051022</v>
      </c>
      <c r="G32" s="23"/>
      <c r="H32" s="23" cm="1">
        <f t="array" ref="H32">SUM(OSRRefH22x_0)</f>
        <v>7493.9600000000009</v>
      </c>
      <c r="I32" s="23"/>
      <c r="J32" s="34">
        <f t="shared" ref="J32:J63" si="5">IF(H$12=0,0,H32/H$12)</f>
        <v>220.08693098384734</v>
      </c>
      <c r="K32" s="8"/>
      <c r="L32" s="23">
        <f t="shared" ref="L32:L63" si="6">+D32-H32</f>
        <v>27897.489999999991</v>
      </c>
      <c r="M32" s="8"/>
      <c r="N32" s="34">
        <f t="shared" ref="N32:N63" si="7">IF(H32=0,0,L32/H32)</f>
        <v>3.7226633181922493</v>
      </c>
      <c r="O32" s="13"/>
      <c r="P32" s="23" cm="1">
        <f t="array" ref="P32">SUM(OSRRefP22x_0)</f>
        <v>406225.09000000014</v>
      </c>
      <c r="Q32" s="23"/>
      <c r="R32" s="34">
        <f t="shared" ref="R32:R63" si="8">IF(P$12=0,0,P32/P$12)</f>
        <v>0.791117599008621</v>
      </c>
      <c r="S32" s="23"/>
      <c r="T32" s="23" cm="1">
        <f t="array" ref="T32">SUM(OSRRefT22x_0)</f>
        <v>255522.39000000004</v>
      </c>
      <c r="U32" s="23"/>
      <c r="V32" s="34">
        <f t="shared" ref="V32:V63" si="9">IF(T$12=0,0,T32/T$12)</f>
        <v>87.779121736053625</v>
      </c>
      <c r="W32" s="8"/>
      <c r="X32" s="23">
        <f t="shared" ref="X32:X63" si="10">+P32-T32</f>
        <v>150702.7000000001</v>
      </c>
      <c r="Y32" s="8"/>
      <c r="Z32" s="34">
        <f t="shared" ref="Z32:Z63" si="11">IF(T32=0,0,X32/T32)</f>
        <v>0.58978275837197702</v>
      </c>
    </row>
    <row r="33" spans="1:26" s="68" customFormat="1" ht="15" customHeight="1" outlineLevel="1" collapsed="1" x14ac:dyDescent="0.3">
      <c r="A33" s="20"/>
      <c r="B33" s="11" t="str">
        <f>CONCATENATE("     ","*Benefits                                         ")</f>
        <v xml:space="preserve">     *Benefits                                         </v>
      </c>
      <c r="C33" s="11"/>
      <c r="D33" s="2">
        <f>SUM(OSRRefD22_0x_0)</f>
        <v>6062.03</v>
      </c>
      <c r="E33" s="2"/>
      <c r="F33" s="5">
        <f t="shared" si="4"/>
        <v>0.39062844343519348</v>
      </c>
      <c r="G33" s="2"/>
      <c r="H33" s="2">
        <f>SUM(OSRRefH22_0x_0)</f>
        <v>0</v>
      </c>
      <c r="I33" s="2"/>
      <c r="J33" s="5">
        <f t="shared" si="5"/>
        <v>0</v>
      </c>
      <c r="K33" s="2"/>
      <c r="L33" s="2">
        <f t="shared" si="6"/>
        <v>6062.03</v>
      </c>
      <c r="M33" s="2"/>
      <c r="N33" s="5">
        <f t="shared" si="7"/>
        <v>0</v>
      </c>
      <c r="O33" s="11"/>
      <c r="P33" s="2">
        <f>SUM(OSRRefP22_0x_0)</f>
        <v>44017.26</v>
      </c>
      <c r="Q33" s="2"/>
      <c r="R33" s="5">
        <f t="shared" si="8"/>
        <v>8.5722989306589115E-2</v>
      </c>
      <c r="S33" s="2"/>
      <c r="T33" s="2">
        <f>SUM(OSRRefT22_0x_0)</f>
        <v>35025.26</v>
      </c>
      <c r="U33" s="2"/>
      <c r="V33" s="5">
        <f t="shared" si="9"/>
        <v>12.032161100938861</v>
      </c>
      <c r="W33" s="2"/>
      <c r="X33" s="2">
        <f t="shared" si="10"/>
        <v>8992</v>
      </c>
      <c r="Y33" s="2"/>
      <c r="Z33" s="5">
        <f t="shared" si="11"/>
        <v>0.25672900072690397</v>
      </c>
    </row>
    <row r="34" spans="1:26" s="69" customFormat="1" ht="15" hidden="1" customHeight="1" outlineLevel="2" x14ac:dyDescent="0.3">
      <c r="A34" s="21"/>
      <c r="B34" s="9" t="str">
        <f>CONCATENATE("          ","6111"," - ","F.I.C.A.")</f>
        <v xml:space="preserve">          6111 - F.I.C.A.</v>
      </c>
      <c r="C34" s="9"/>
      <c r="D34" s="6">
        <v>1048.46</v>
      </c>
      <c r="E34" s="3"/>
      <c r="F34" s="7">
        <f t="shared" si="4"/>
        <v>6.7561245623011273E-2</v>
      </c>
      <c r="G34" s="3"/>
      <c r="H34" s="6"/>
      <c r="I34" s="3"/>
      <c r="J34" s="7">
        <f t="shared" si="5"/>
        <v>0</v>
      </c>
      <c r="K34" s="3"/>
      <c r="L34" s="6">
        <f t="shared" si="6"/>
        <v>1048.46</v>
      </c>
      <c r="M34" s="3"/>
      <c r="N34" s="7">
        <f t="shared" si="7"/>
        <v>0</v>
      </c>
      <c r="O34" s="9"/>
      <c r="P34" s="6">
        <v>8268.6</v>
      </c>
      <c r="Q34" s="3"/>
      <c r="R34" s="7">
        <f t="shared" si="8"/>
        <v>1.6102981180120313E-2</v>
      </c>
      <c r="S34" s="3"/>
      <c r="T34" s="6">
        <v>3909.68</v>
      </c>
      <c r="U34" s="3"/>
      <c r="V34" s="7">
        <f t="shared" si="9"/>
        <v>1.3430849510644216</v>
      </c>
      <c r="W34" s="3"/>
      <c r="X34" s="6">
        <f t="shared" si="10"/>
        <v>4358.92</v>
      </c>
      <c r="Y34" s="3"/>
      <c r="Z34" s="7">
        <f t="shared" si="11"/>
        <v>1.1149045446174624</v>
      </c>
    </row>
    <row r="35" spans="1:26" s="69" customFormat="1" ht="15" hidden="1" customHeight="1" outlineLevel="2" x14ac:dyDescent="0.3">
      <c r="A35" s="21"/>
      <c r="B35" s="9" t="str">
        <f>CONCATENATE("          ","6112"," - ","COMPENSATION INSURANCE")</f>
        <v xml:space="preserve">          6112 - COMPENSATION INSURANCE</v>
      </c>
      <c r="C35" s="9"/>
      <c r="D35" s="6">
        <v>-208.71</v>
      </c>
      <c r="E35" s="3"/>
      <c r="F35" s="7">
        <f t="shared" si="4"/>
        <v>-1.3448970465233467E-2</v>
      </c>
      <c r="G35" s="3"/>
      <c r="H35" s="6"/>
      <c r="I35" s="3"/>
      <c r="J35" s="7">
        <f t="shared" si="5"/>
        <v>0</v>
      </c>
      <c r="K35" s="3"/>
      <c r="L35" s="6">
        <f t="shared" si="6"/>
        <v>-208.71</v>
      </c>
      <c r="M35" s="3"/>
      <c r="N35" s="7">
        <f t="shared" si="7"/>
        <v>0</v>
      </c>
      <c r="O35" s="9"/>
      <c r="P35" s="6">
        <v>2261.5</v>
      </c>
      <c r="Q35" s="3"/>
      <c r="R35" s="7">
        <f t="shared" si="8"/>
        <v>4.4042391624751582E-3</v>
      </c>
      <c r="S35" s="3"/>
      <c r="T35" s="6">
        <v>830.67</v>
      </c>
      <c r="U35" s="3"/>
      <c r="V35" s="7">
        <f t="shared" si="9"/>
        <v>0.28535848875117226</v>
      </c>
      <c r="W35" s="3"/>
      <c r="X35" s="6">
        <f t="shared" si="10"/>
        <v>1430.83</v>
      </c>
      <c r="Y35" s="3"/>
      <c r="Z35" s="7">
        <f t="shared" si="11"/>
        <v>1.7225011135589343</v>
      </c>
    </row>
    <row r="36" spans="1:26" s="69" customFormat="1" ht="15" hidden="1" customHeight="1" outlineLevel="2" x14ac:dyDescent="0.3">
      <c r="A36" s="21"/>
      <c r="B36" s="9" t="str">
        <f>CONCATENATE("          ","6113"," - ","GROUP INSURANCE")</f>
        <v xml:space="preserve">          6113 - GROUP INSURANCE</v>
      </c>
      <c r="C36" s="9"/>
      <c r="D36" s="6">
        <v>3036.65</v>
      </c>
      <c r="E36" s="3"/>
      <c r="F36" s="7">
        <f t="shared" si="4"/>
        <v>0.195677332965604</v>
      </c>
      <c r="G36" s="3"/>
      <c r="H36" s="6"/>
      <c r="I36" s="3"/>
      <c r="J36" s="7">
        <f t="shared" si="5"/>
        <v>0</v>
      </c>
      <c r="K36" s="3"/>
      <c r="L36" s="6">
        <f t="shared" si="6"/>
        <v>3036.65</v>
      </c>
      <c r="M36" s="3"/>
      <c r="N36" s="7">
        <f t="shared" si="7"/>
        <v>0</v>
      </c>
      <c r="O36" s="9"/>
      <c r="P36" s="6">
        <v>18253.740000000002</v>
      </c>
      <c r="Q36" s="3"/>
      <c r="R36" s="7">
        <f t="shared" si="8"/>
        <v>3.5548899654936676E-2</v>
      </c>
      <c r="S36" s="3"/>
      <c r="T36" s="6">
        <v>18067.72</v>
      </c>
      <c r="U36" s="3"/>
      <c r="V36" s="7">
        <f t="shared" si="9"/>
        <v>6.2067695647842474</v>
      </c>
      <c r="W36" s="3"/>
      <c r="X36" s="6">
        <f t="shared" si="10"/>
        <v>186.02000000000044</v>
      </c>
      <c r="Y36" s="3"/>
      <c r="Z36" s="7">
        <f t="shared" si="11"/>
        <v>1.0295709696630257E-2</v>
      </c>
    </row>
    <row r="37" spans="1:26" s="69" customFormat="1" ht="15" hidden="1" customHeight="1" outlineLevel="2" x14ac:dyDescent="0.3">
      <c r="A37" s="21"/>
      <c r="B37" s="9" t="str">
        <f>CONCATENATE("          ","6114"," - ","STATE UNEMPLOYMENT INSURANCE")</f>
        <v xml:space="preserve">          6114 - STATE UNEMPLOYMENT INSURANCE</v>
      </c>
      <c r="C37" s="9"/>
      <c r="D37" s="6"/>
      <c r="E37" s="3"/>
      <c r="F37" s="7">
        <f t="shared" si="4"/>
        <v>0</v>
      </c>
      <c r="G37" s="3"/>
      <c r="H37" s="6"/>
      <c r="I37" s="3"/>
      <c r="J37" s="7">
        <f t="shared" si="5"/>
        <v>0</v>
      </c>
      <c r="K37" s="3"/>
      <c r="L37" s="6">
        <f t="shared" si="6"/>
        <v>0</v>
      </c>
      <c r="M37" s="3"/>
      <c r="N37" s="7">
        <f t="shared" si="7"/>
        <v>0</v>
      </c>
      <c r="O37" s="9"/>
      <c r="P37" s="6">
        <v>411.54</v>
      </c>
      <c r="Q37" s="3"/>
      <c r="R37" s="7">
        <f t="shared" si="8"/>
        <v>8.014683108224747E-4</v>
      </c>
      <c r="S37" s="3"/>
      <c r="T37" s="6">
        <v>132.15</v>
      </c>
      <c r="U37" s="3"/>
      <c r="V37" s="7">
        <f t="shared" si="9"/>
        <v>4.5397238721113578E-2</v>
      </c>
      <c r="W37" s="3"/>
      <c r="X37" s="6">
        <f t="shared" si="10"/>
        <v>279.39</v>
      </c>
      <c r="Y37" s="3"/>
      <c r="Z37" s="7">
        <f t="shared" si="11"/>
        <v>2.1141884222474459</v>
      </c>
    </row>
    <row r="38" spans="1:26" s="69" customFormat="1" ht="15" hidden="1" customHeight="1" outlineLevel="2" x14ac:dyDescent="0.3">
      <c r="A38" s="21"/>
      <c r="B38" s="9" t="str">
        <f>CONCATENATE("          ","6115"," - ","P.E.R.S.")</f>
        <v xml:space="preserve">          6115 - P.E.R.S.</v>
      </c>
      <c r="C38" s="9"/>
      <c r="D38" s="6">
        <v>520.78</v>
      </c>
      <c r="E38" s="3"/>
      <c r="F38" s="7">
        <f t="shared" si="4"/>
        <v>3.3558309802521606E-2</v>
      </c>
      <c r="G38" s="3"/>
      <c r="H38" s="6"/>
      <c r="I38" s="3"/>
      <c r="J38" s="7">
        <f t="shared" si="5"/>
        <v>0</v>
      </c>
      <c r="K38" s="3"/>
      <c r="L38" s="6">
        <f t="shared" si="6"/>
        <v>520.78</v>
      </c>
      <c r="M38" s="3"/>
      <c r="N38" s="7">
        <f t="shared" si="7"/>
        <v>0</v>
      </c>
      <c r="O38" s="9"/>
      <c r="P38" s="6">
        <v>3508.37</v>
      </c>
      <c r="Q38" s="3"/>
      <c r="R38" s="7">
        <f t="shared" si="8"/>
        <v>6.8325007961321993E-3</v>
      </c>
      <c r="S38" s="3"/>
      <c r="T38" s="6">
        <v>5525.49</v>
      </c>
      <c r="U38" s="3"/>
      <c r="V38" s="7">
        <f t="shared" si="9"/>
        <v>1.8981610940683</v>
      </c>
      <c r="W38" s="3"/>
      <c r="X38" s="6">
        <f t="shared" si="10"/>
        <v>-2017.12</v>
      </c>
      <c r="Y38" s="3"/>
      <c r="Z38" s="7">
        <f t="shared" si="11"/>
        <v>-0.3650572166450396</v>
      </c>
    </row>
    <row r="39" spans="1:26" s="69" customFormat="1" ht="15" hidden="1" customHeight="1" outlineLevel="2" x14ac:dyDescent="0.3">
      <c r="A39" s="21"/>
      <c r="B39" s="9" t="str">
        <f>CONCATENATE("          ","6117"," - ","RETIREMENT STAFF HOURLY")</f>
        <v xml:space="preserve">          6117 - RETIREMENT STAFF HOURLY</v>
      </c>
      <c r="C39" s="9"/>
      <c r="D39" s="6">
        <v>206.24</v>
      </c>
      <c r="E39" s="3"/>
      <c r="F39" s="7">
        <f t="shared" si="4"/>
        <v>1.3289807238511574E-2</v>
      </c>
      <c r="G39" s="3"/>
      <c r="H39" s="6"/>
      <c r="I39" s="3"/>
      <c r="J39" s="7">
        <f t="shared" si="5"/>
        <v>0</v>
      </c>
      <c r="K39" s="3"/>
      <c r="L39" s="6">
        <f t="shared" si="6"/>
        <v>206.24</v>
      </c>
      <c r="M39" s="3"/>
      <c r="N39" s="7">
        <f t="shared" si="7"/>
        <v>0</v>
      </c>
      <c r="O39" s="9"/>
      <c r="P39" s="6">
        <v>1386.73</v>
      </c>
      <c r="Q39" s="3"/>
      <c r="R39" s="7">
        <f t="shared" si="8"/>
        <v>2.7006369992390784E-3</v>
      </c>
      <c r="S39" s="3"/>
      <c r="T39" s="6"/>
      <c r="U39" s="3"/>
      <c r="V39" s="7">
        <f t="shared" si="9"/>
        <v>0</v>
      </c>
      <c r="W39" s="3"/>
      <c r="X39" s="6">
        <f t="shared" si="10"/>
        <v>1386.73</v>
      </c>
      <c r="Y39" s="3"/>
      <c r="Z39" s="7">
        <f t="shared" si="11"/>
        <v>0</v>
      </c>
    </row>
    <row r="40" spans="1:26" s="69" customFormat="1" ht="15" hidden="1" customHeight="1" outlineLevel="2" x14ac:dyDescent="0.3">
      <c r="A40" s="21"/>
      <c r="B40" s="9" t="str">
        <f>CONCATENATE("          ","6118"," - ","VACATION")</f>
        <v xml:space="preserve">          6118 - VACATION</v>
      </c>
      <c r="C40" s="9"/>
      <c r="D40" s="6">
        <v>570.1</v>
      </c>
      <c r="E40" s="3"/>
      <c r="F40" s="7">
        <f t="shared" si="4"/>
        <v>3.6736419252693213E-2</v>
      </c>
      <c r="G40" s="3"/>
      <c r="H40" s="6"/>
      <c r="I40" s="3"/>
      <c r="J40" s="7">
        <f t="shared" si="5"/>
        <v>0</v>
      </c>
      <c r="K40" s="3"/>
      <c r="L40" s="6">
        <f t="shared" si="6"/>
        <v>570.1</v>
      </c>
      <c r="M40" s="3"/>
      <c r="N40" s="7">
        <f t="shared" si="7"/>
        <v>0</v>
      </c>
      <c r="O40" s="9"/>
      <c r="P40" s="6">
        <v>3777.62</v>
      </c>
      <c r="Q40" s="3"/>
      <c r="R40" s="7">
        <f t="shared" si="8"/>
        <v>7.3568613508509422E-3</v>
      </c>
      <c r="S40" s="3"/>
      <c r="T40" s="6">
        <v>3386</v>
      </c>
      <c r="U40" s="3"/>
      <c r="V40" s="7">
        <f t="shared" si="9"/>
        <v>1.1631861544433642</v>
      </c>
      <c r="W40" s="3"/>
      <c r="X40" s="6">
        <f t="shared" si="10"/>
        <v>391.61999999999989</v>
      </c>
      <c r="Y40" s="3"/>
      <c r="Z40" s="7">
        <f t="shared" si="11"/>
        <v>0.11565859421145892</v>
      </c>
    </row>
    <row r="41" spans="1:26" s="69" customFormat="1" ht="15" hidden="1" customHeight="1" outlineLevel="2" x14ac:dyDescent="0.3">
      <c r="A41" s="21"/>
      <c r="B41" s="9" t="str">
        <f>CONCATENATE("          ","6119"," - ","SICK LEAVE")</f>
        <v xml:space="preserve">          6119 - SICK LEAVE</v>
      </c>
      <c r="C41" s="9"/>
      <c r="D41" s="6">
        <v>427.98</v>
      </c>
      <c r="E41" s="3"/>
      <c r="F41" s="7">
        <f t="shared" si="4"/>
        <v>2.7578412053618034E-2</v>
      </c>
      <c r="G41" s="3"/>
      <c r="H41" s="6"/>
      <c r="I41" s="3"/>
      <c r="J41" s="7">
        <f t="shared" si="5"/>
        <v>0</v>
      </c>
      <c r="K41" s="3"/>
      <c r="L41" s="6">
        <f t="shared" si="6"/>
        <v>427.98</v>
      </c>
      <c r="M41" s="3"/>
      <c r="N41" s="7">
        <f t="shared" si="7"/>
        <v>0</v>
      </c>
      <c r="O41" s="9"/>
      <c r="P41" s="6">
        <v>3075.24</v>
      </c>
      <c r="Q41" s="3"/>
      <c r="R41" s="7">
        <f t="shared" si="8"/>
        <v>5.9889862666416558E-3</v>
      </c>
      <c r="S41" s="3"/>
      <c r="T41" s="6">
        <v>2447.1799999999998</v>
      </c>
      <c r="U41" s="3"/>
      <c r="V41" s="7">
        <f t="shared" si="9"/>
        <v>0.84067510142667212</v>
      </c>
      <c r="W41" s="3"/>
      <c r="X41" s="6">
        <f t="shared" si="10"/>
        <v>628.05999999999995</v>
      </c>
      <c r="Y41" s="3"/>
      <c r="Z41" s="7">
        <f t="shared" si="11"/>
        <v>0.25664642568180518</v>
      </c>
    </row>
    <row r="42" spans="1:26" s="69" customFormat="1" ht="15" hidden="1" customHeight="1" outlineLevel="2" x14ac:dyDescent="0.3">
      <c r="A42" s="21"/>
      <c r="B42" s="9" t="str">
        <f>CONCATENATE("          ","6156"," - ","EMPLOYEE MEALS")</f>
        <v xml:space="preserve">          6156 - EMPLOYEE MEALS</v>
      </c>
      <c r="C42" s="9"/>
      <c r="D42" s="6">
        <v>460.53</v>
      </c>
      <c r="E42" s="3"/>
      <c r="F42" s="7">
        <f t="shared" si="4"/>
        <v>2.9675886964467293E-2</v>
      </c>
      <c r="G42" s="3"/>
      <c r="H42" s="6"/>
      <c r="I42" s="3"/>
      <c r="J42" s="7">
        <f t="shared" si="5"/>
        <v>0</v>
      </c>
      <c r="K42" s="3"/>
      <c r="L42" s="6">
        <f t="shared" si="6"/>
        <v>460.53</v>
      </c>
      <c r="M42" s="3"/>
      <c r="N42" s="7">
        <f t="shared" si="7"/>
        <v>0</v>
      </c>
      <c r="O42" s="9"/>
      <c r="P42" s="6">
        <v>3073.92</v>
      </c>
      <c r="Q42" s="3"/>
      <c r="R42" s="7">
        <f t="shared" si="8"/>
        <v>5.9864155853706115E-3</v>
      </c>
      <c r="S42" s="3"/>
      <c r="T42" s="6">
        <v>726.37</v>
      </c>
      <c r="U42" s="3"/>
      <c r="V42" s="7">
        <f t="shared" si="9"/>
        <v>0.24952850767957072</v>
      </c>
      <c r="W42" s="3"/>
      <c r="X42" s="6">
        <f t="shared" si="10"/>
        <v>2347.5500000000002</v>
      </c>
      <c r="Y42" s="3"/>
      <c r="Z42" s="7">
        <f t="shared" si="11"/>
        <v>3.2318928369839064</v>
      </c>
    </row>
    <row r="43" spans="1:26" s="68" customFormat="1" ht="15" customHeight="1" outlineLevel="1" collapsed="1" x14ac:dyDescent="0.3">
      <c r="A43" s="20"/>
      <c r="B43" s="11" t="str">
        <f>CONCATENATE("     ","*Payroll                                          ")</f>
        <v xml:space="preserve">     *Payroll                                          </v>
      </c>
      <c r="C43" s="11"/>
      <c r="D43" s="2">
        <f>SUM(OSRRefD22_1x_0)</f>
        <v>12109.6</v>
      </c>
      <c r="E43" s="2"/>
      <c r="F43" s="5">
        <f t="shared" si="4"/>
        <v>0.78032510538925404</v>
      </c>
      <c r="G43" s="2"/>
      <c r="H43" s="2">
        <f>SUM(OSRRefH22_1x_0)</f>
        <v>0</v>
      </c>
      <c r="I43" s="2"/>
      <c r="J43" s="5">
        <f t="shared" si="5"/>
        <v>0</v>
      </c>
      <c r="K43" s="2"/>
      <c r="L43" s="2">
        <f t="shared" si="6"/>
        <v>12109.6</v>
      </c>
      <c r="M43" s="2"/>
      <c r="N43" s="5">
        <f t="shared" si="7"/>
        <v>0</v>
      </c>
      <c r="O43" s="11"/>
      <c r="P43" s="2">
        <f>SUM(OSRRefP22_1x_0)</f>
        <v>166913.24</v>
      </c>
      <c r="Q43" s="2"/>
      <c r="R43" s="5">
        <f t="shared" si="8"/>
        <v>0.32506116663436435</v>
      </c>
      <c r="S43" s="2"/>
      <c r="T43" s="2">
        <f>SUM(OSRRefT22_1x_0)</f>
        <v>41960.38</v>
      </c>
      <c r="U43" s="2"/>
      <c r="V43" s="5">
        <f t="shared" si="9"/>
        <v>14.414569713875441</v>
      </c>
      <c r="W43" s="2"/>
      <c r="X43" s="2">
        <f t="shared" si="10"/>
        <v>124952.85999999999</v>
      </c>
      <c r="Y43" s="2"/>
      <c r="Z43" s="5">
        <f t="shared" si="11"/>
        <v>2.977877226088038</v>
      </c>
    </row>
    <row r="44" spans="1:26" s="69" customFormat="1" ht="15" hidden="1" customHeight="1" outlineLevel="2" x14ac:dyDescent="0.3">
      <c r="A44" s="21"/>
      <c r="B44" s="9" t="str">
        <f>CONCATENATE("          ","6002"," - ","STAFF SALARIES")</f>
        <v xml:space="preserve">          6002 - STAFF SALARIES</v>
      </c>
      <c r="C44" s="9"/>
      <c r="D44" s="6">
        <v>4030.76</v>
      </c>
      <c r="E44" s="3"/>
      <c r="F44" s="7">
        <f t="shared" si="4"/>
        <v>0.25973634321520028</v>
      </c>
      <c r="G44" s="3"/>
      <c r="H44" s="6"/>
      <c r="I44" s="3"/>
      <c r="J44" s="7">
        <f t="shared" si="5"/>
        <v>0</v>
      </c>
      <c r="K44" s="3"/>
      <c r="L44" s="6">
        <f t="shared" si="6"/>
        <v>4030.76</v>
      </c>
      <c r="M44" s="3"/>
      <c r="N44" s="7">
        <f t="shared" si="7"/>
        <v>0</v>
      </c>
      <c r="O44" s="9"/>
      <c r="P44" s="6">
        <v>29978.84</v>
      </c>
      <c r="Q44" s="3"/>
      <c r="R44" s="7">
        <f t="shared" si="8"/>
        <v>5.8383365542152003E-2</v>
      </c>
      <c r="S44" s="3"/>
      <c r="T44" s="6">
        <v>39828.42</v>
      </c>
      <c r="U44" s="3"/>
      <c r="V44" s="7">
        <f t="shared" si="9"/>
        <v>13.682181540860949</v>
      </c>
      <c r="W44" s="3"/>
      <c r="X44" s="6">
        <f t="shared" si="10"/>
        <v>-9849.5799999999981</v>
      </c>
      <c r="Y44" s="3"/>
      <c r="Z44" s="7">
        <f t="shared" si="11"/>
        <v>-0.24730029461374561</v>
      </c>
    </row>
    <row r="45" spans="1:26" s="69" customFormat="1" ht="15" hidden="1" customHeight="1" outlineLevel="2" x14ac:dyDescent="0.3">
      <c r="A45" s="21"/>
      <c r="B45" s="9" t="str">
        <f>CONCATENATE("          ","6004"," - ","STAFF HOURLY")</f>
        <v xml:space="preserve">          6004 - STAFF HOURLY</v>
      </c>
      <c r="C45" s="9"/>
      <c r="D45" s="6">
        <v>2824.37</v>
      </c>
      <c r="E45" s="3"/>
      <c r="F45" s="7">
        <f t="shared" si="4"/>
        <v>0.18199831686498705</v>
      </c>
      <c r="G45" s="3"/>
      <c r="H45" s="6"/>
      <c r="I45" s="3"/>
      <c r="J45" s="7">
        <f t="shared" si="5"/>
        <v>0</v>
      </c>
      <c r="K45" s="3"/>
      <c r="L45" s="6">
        <f t="shared" si="6"/>
        <v>2824.37</v>
      </c>
      <c r="M45" s="3"/>
      <c r="N45" s="7">
        <f t="shared" si="7"/>
        <v>0</v>
      </c>
      <c r="O45" s="9"/>
      <c r="P45" s="6">
        <v>31451.45</v>
      </c>
      <c r="Q45" s="3"/>
      <c r="R45" s="7">
        <f t="shared" si="8"/>
        <v>6.125125262287389E-2</v>
      </c>
      <c r="S45" s="3"/>
      <c r="T45" s="6"/>
      <c r="U45" s="3"/>
      <c r="V45" s="7">
        <f t="shared" si="9"/>
        <v>0</v>
      </c>
      <c r="W45" s="3"/>
      <c r="X45" s="6">
        <f t="shared" si="10"/>
        <v>31451.45</v>
      </c>
      <c r="Y45" s="3"/>
      <c r="Z45" s="7">
        <f t="shared" si="11"/>
        <v>0</v>
      </c>
    </row>
    <row r="46" spans="1:26" s="69" customFormat="1" ht="15" hidden="1" customHeight="1" outlineLevel="2" x14ac:dyDescent="0.3">
      <c r="A46" s="21"/>
      <c r="B46" s="9" t="str">
        <f>CONCATENATE("          ","6005"," - ","TEMPORARY WAGES-HOURLY")</f>
        <v xml:space="preserve">          6005 - TEMPORARY WAGES-HOURLY</v>
      </c>
      <c r="C46" s="9"/>
      <c r="D46" s="6">
        <v>3377.82</v>
      </c>
      <c r="E46" s="3"/>
      <c r="F46" s="7">
        <f t="shared" si="4"/>
        <v>0.21766183420475738</v>
      </c>
      <c r="G46" s="3"/>
      <c r="H46" s="6"/>
      <c r="I46" s="3"/>
      <c r="J46" s="7">
        <f t="shared" si="5"/>
        <v>0</v>
      </c>
      <c r="K46" s="3"/>
      <c r="L46" s="6">
        <f t="shared" si="6"/>
        <v>3377.82</v>
      </c>
      <c r="M46" s="3"/>
      <c r="N46" s="7">
        <f t="shared" si="7"/>
        <v>0</v>
      </c>
      <c r="O46" s="9"/>
      <c r="P46" s="6">
        <v>32487.97</v>
      </c>
      <c r="Q46" s="3"/>
      <c r="R46" s="7">
        <f t="shared" si="8"/>
        <v>6.3269860616103499E-2</v>
      </c>
      <c r="S46" s="3"/>
      <c r="T46" s="6">
        <v>2131.96</v>
      </c>
      <c r="U46" s="3"/>
      <c r="V46" s="7">
        <f t="shared" si="9"/>
        <v>0.73238817301449344</v>
      </c>
      <c r="W46" s="3"/>
      <c r="X46" s="6">
        <f t="shared" si="10"/>
        <v>30356.010000000002</v>
      </c>
      <c r="Y46" s="3"/>
      <c r="Z46" s="7">
        <f t="shared" si="11"/>
        <v>14.238545751327418</v>
      </c>
    </row>
    <row r="47" spans="1:26" s="69" customFormat="1" ht="15" hidden="1" customHeight="1" outlineLevel="2" x14ac:dyDescent="0.3">
      <c r="A47" s="21"/>
      <c r="B47" s="9" t="str">
        <f>CONCATENATE("          ","6006"," - ","TEMPORARY PART TIME")</f>
        <v xml:space="preserve">          6006 - TEMPORARY PART TIME</v>
      </c>
      <c r="C47" s="9"/>
      <c r="D47" s="6">
        <v>1152</v>
      </c>
      <c r="E47" s="3"/>
      <c r="F47" s="7">
        <f t="shared" si="4"/>
        <v>7.4233213434665102E-2</v>
      </c>
      <c r="G47" s="3"/>
      <c r="H47" s="6"/>
      <c r="I47" s="3"/>
      <c r="J47" s="7">
        <f t="shared" si="5"/>
        <v>0</v>
      </c>
      <c r="K47" s="3"/>
      <c r="L47" s="6">
        <f t="shared" si="6"/>
        <v>1152</v>
      </c>
      <c r="M47" s="3"/>
      <c r="N47" s="7">
        <f t="shared" si="7"/>
        <v>0</v>
      </c>
      <c r="O47" s="9"/>
      <c r="P47" s="6">
        <v>7943.04</v>
      </c>
      <c r="Q47" s="3"/>
      <c r="R47" s="7">
        <f t="shared" si="8"/>
        <v>1.5468957699361786E-2</v>
      </c>
      <c r="S47" s="3"/>
      <c r="T47" s="6"/>
      <c r="U47" s="3"/>
      <c r="V47" s="7">
        <f t="shared" si="9"/>
        <v>0</v>
      </c>
      <c r="W47" s="3"/>
      <c r="X47" s="6">
        <f t="shared" si="10"/>
        <v>7943.04</v>
      </c>
      <c r="Y47" s="3"/>
      <c r="Z47" s="7">
        <f t="shared" si="11"/>
        <v>0</v>
      </c>
    </row>
    <row r="48" spans="1:26" s="69" customFormat="1" ht="15" hidden="1" customHeight="1" outlineLevel="2" x14ac:dyDescent="0.3">
      <c r="A48" s="21"/>
      <c r="B48" s="9" t="str">
        <f>CONCATENATE("          ","6007"," - ","STUDENT HOURLY")</f>
        <v xml:space="preserve">          6007 - STUDENT HOURLY</v>
      </c>
      <c r="C48" s="9"/>
      <c r="D48" s="6">
        <v>481.65</v>
      </c>
      <c r="E48" s="3"/>
      <c r="F48" s="7">
        <f t="shared" si="4"/>
        <v>3.1036829210769487E-2</v>
      </c>
      <c r="G48" s="3"/>
      <c r="H48" s="6"/>
      <c r="I48" s="3"/>
      <c r="J48" s="7">
        <f t="shared" si="5"/>
        <v>0</v>
      </c>
      <c r="K48" s="3"/>
      <c r="L48" s="6">
        <f t="shared" si="6"/>
        <v>481.65</v>
      </c>
      <c r="M48" s="3"/>
      <c r="N48" s="7">
        <f t="shared" si="7"/>
        <v>0</v>
      </c>
      <c r="O48" s="9"/>
      <c r="P48" s="6">
        <v>55760.38</v>
      </c>
      <c r="Q48" s="3"/>
      <c r="R48" s="7">
        <f t="shared" si="8"/>
        <v>0.10859254888812582</v>
      </c>
      <c r="S48" s="3"/>
      <c r="T48" s="6">
        <v>0</v>
      </c>
      <c r="U48" s="3"/>
      <c r="V48" s="7">
        <f t="shared" si="9"/>
        <v>0</v>
      </c>
      <c r="W48" s="3"/>
      <c r="X48" s="6">
        <f t="shared" si="10"/>
        <v>55760.38</v>
      </c>
      <c r="Y48" s="3"/>
      <c r="Z48" s="7">
        <f t="shared" si="11"/>
        <v>0</v>
      </c>
    </row>
    <row r="49" spans="1:26" s="69" customFormat="1" ht="15" hidden="1" customHeight="1" outlineLevel="2" x14ac:dyDescent="0.3">
      <c r="A49" s="21"/>
      <c r="B49" s="9" t="str">
        <f>CONCATENATE("          ","6008"," - ","STUDENT HOURLY-FICA EXEMPT")</f>
        <v xml:space="preserve">          6008 - STUDENT HOURLY-FICA EXEMPT</v>
      </c>
      <c r="C49" s="9"/>
      <c r="D49" s="6">
        <v>243</v>
      </c>
      <c r="E49" s="3"/>
      <c r="F49" s="7">
        <f t="shared" si="4"/>
        <v>1.5658568458874672E-2</v>
      </c>
      <c r="G49" s="3"/>
      <c r="H49" s="6"/>
      <c r="I49" s="3"/>
      <c r="J49" s="7">
        <f t="shared" si="5"/>
        <v>0</v>
      </c>
      <c r="K49" s="3"/>
      <c r="L49" s="6">
        <f t="shared" si="6"/>
        <v>243</v>
      </c>
      <c r="M49" s="3"/>
      <c r="N49" s="7">
        <f t="shared" si="7"/>
        <v>0</v>
      </c>
      <c r="O49" s="9"/>
      <c r="P49" s="6">
        <v>9291.56</v>
      </c>
      <c r="Q49" s="3"/>
      <c r="R49" s="7">
        <f t="shared" si="8"/>
        <v>1.809518126574737E-2</v>
      </c>
      <c r="S49" s="3"/>
      <c r="T49" s="6"/>
      <c r="U49" s="3"/>
      <c r="V49" s="7">
        <f t="shared" si="9"/>
        <v>0</v>
      </c>
      <c r="W49" s="3"/>
      <c r="X49" s="6">
        <f t="shared" si="10"/>
        <v>9291.56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0"/>
      <c r="B50" s="11" t="str">
        <f>CONCATENATE("     ","Advertising/Promo                                 ")</f>
        <v xml:space="preserve">     Advertising/Promo                                 </v>
      </c>
      <c r="C50" s="11"/>
      <c r="D50" s="2">
        <f>SUM(OSRRefD22_2x_0)</f>
        <v>0</v>
      </c>
      <c r="E50" s="2"/>
      <c r="F50" s="5">
        <f t="shared" si="4"/>
        <v>0</v>
      </c>
      <c r="G50" s="2"/>
      <c r="H50" s="2">
        <f>SUM(OSRRefH22_2x_0)</f>
        <v>0</v>
      </c>
      <c r="I50" s="2"/>
      <c r="J50" s="5">
        <f t="shared" si="5"/>
        <v>0</v>
      </c>
      <c r="K50" s="2"/>
      <c r="L50" s="2">
        <f t="shared" si="6"/>
        <v>0</v>
      </c>
      <c r="M50" s="2"/>
      <c r="N50" s="5">
        <f t="shared" si="7"/>
        <v>0</v>
      </c>
      <c r="O50" s="11"/>
      <c r="P50" s="2">
        <f>SUM(OSRRefP22_2x_0)</f>
        <v>625.16999999999996</v>
      </c>
      <c r="Q50" s="2"/>
      <c r="R50" s="5">
        <f t="shared" si="8"/>
        <v>1.2175097047112953E-3</v>
      </c>
      <c r="S50" s="2"/>
      <c r="T50" s="2">
        <f>SUM(OSRRefT22_2x_0)</f>
        <v>0</v>
      </c>
      <c r="U50" s="2"/>
      <c r="V50" s="5">
        <f t="shared" si="9"/>
        <v>0</v>
      </c>
      <c r="W50" s="2"/>
      <c r="X50" s="2">
        <f t="shared" si="10"/>
        <v>625.16999999999996</v>
      </c>
      <c r="Y50" s="2"/>
      <c r="Z50" s="5">
        <f t="shared" si="11"/>
        <v>0</v>
      </c>
    </row>
    <row r="51" spans="1:26" s="69" customFormat="1" ht="15" hidden="1" customHeight="1" outlineLevel="2" x14ac:dyDescent="0.3">
      <c r="A51" s="21"/>
      <c r="B51" s="9" t="str">
        <f>CONCATENATE("          ","6362"," - ","ADVERTISING EXPENSE")</f>
        <v xml:space="preserve">          6362 - ADVERTISING EXPENSE</v>
      </c>
      <c r="C51" s="9"/>
      <c r="D51" s="6"/>
      <c r="E51" s="3"/>
      <c r="F51" s="7">
        <f t="shared" si="4"/>
        <v>0</v>
      </c>
      <c r="G51" s="3"/>
      <c r="H51" s="6"/>
      <c r="I51" s="3"/>
      <c r="J51" s="7">
        <f t="shared" si="5"/>
        <v>0</v>
      </c>
      <c r="K51" s="3"/>
      <c r="L51" s="6">
        <f t="shared" si="6"/>
        <v>0</v>
      </c>
      <c r="M51" s="3"/>
      <c r="N51" s="7">
        <f t="shared" si="7"/>
        <v>0</v>
      </c>
      <c r="O51" s="9"/>
      <c r="P51" s="6">
        <v>625.16999999999996</v>
      </c>
      <c r="Q51" s="3"/>
      <c r="R51" s="7">
        <f t="shared" si="8"/>
        <v>1.2175097047112953E-3</v>
      </c>
      <c r="S51" s="3"/>
      <c r="T51" s="6"/>
      <c r="U51" s="3"/>
      <c r="V51" s="7">
        <f t="shared" si="9"/>
        <v>0</v>
      </c>
      <c r="W51" s="3"/>
      <c r="X51" s="6">
        <f t="shared" si="10"/>
        <v>625.16999999999996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0"/>
      <c r="B52" s="11" t="str">
        <f>CONCATENATE("     ","Bad Debts/Over/Short                              ")</f>
        <v xml:space="preserve">     Bad Debts/Over/Short                              </v>
      </c>
      <c r="C52" s="11"/>
      <c r="D52" s="2">
        <f>SUM(OSRRefD22_3x_0)</f>
        <v>-99.06</v>
      </c>
      <c r="E52" s="2"/>
      <c r="F52" s="5">
        <f t="shared" si="4"/>
        <v>-6.3832830927412548E-3</v>
      </c>
      <c r="G52" s="2"/>
      <c r="H52" s="2">
        <f>SUM(OSRRefH22_3x_0)</f>
        <v>0</v>
      </c>
      <c r="I52" s="2"/>
      <c r="J52" s="5">
        <f t="shared" si="5"/>
        <v>0</v>
      </c>
      <c r="K52" s="2"/>
      <c r="L52" s="2">
        <f t="shared" si="6"/>
        <v>-99.06</v>
      </c>
      <c r="M52" s="2"/>
      <c r="N52" s="5">
        <f t="shared" si="7"/>
        <v>0</v>
      </c>
      <c r="O52" s="11"/>
      <c r="P52" s="2">
        <f>SUM(OSRRefP22_3x_0)</f>
        <v>-124.42</v>
      </c>
      <c r="Q52" s="2"/>
      <c r="R52" s="5">
        <f t="shared" si="8"/>
        <v>-2.4230618465406108E-4</v>
      </c>
      <c r="S52" s="2"/>
      <c r="T52" s="2">
        <f>SUM(OSRRefT22_3x_0)</f>
        <v>3.31</v>
      </c>
      <c r="U52" s="2"/>
      <c r="V52" s="5">
        <f t="shared" si="9"/>
        <v>1.137078018667317E-3</v>
      </c>
      <c r="W52" s="2"/>
      <c r="X52" s="2">
        <f t="shared" si="10"/>
        <v>-127.73</v>
      </c>
      <c r="Y52" s="2"/>
      <c r="Z52" s="5">
        <f t="shared" si="11"/>
        <v>-38.589123867069489</v>
      </c>
    </row>
    <row r="53" spans="1:26" s="69" customFormat="1" ht="15" hidden="1" customHeight="1" outlineLevel="2" x14ac:dyDescent="0.3">
      <c r="A53" s="21"/>
      <c r="B53" s="9" t="str">
        <f>CONCATENATE("          ","6272"," - ","CASH (OVER/SHORT)")</f>
        <v xml:space="preserve">          6272 - CASH (OVER/SHORT)</v>
      </c>
      <c r="C53" s="9"/>
      <c r="D53" s="6">
        <v>-99.06</v>
      </c>
      <c r="E53" s="3"/>
      <c r="F53" s="7">
        <f t="shared" si="4"/>
        <v>-6.3832830927412548E-3</v>
      </c>
      <c r="G53" s="3"/>
      <c r="H53" s="6"/>
      <c r="I53" s="3"/>
      <c r="J53" s="7">
        <f t="shared" si="5"/>
        <v>0</v>
      </c>
      <c r="K53" s="3"/>
      <c r="L53" s="6">
        <f t="shared" si="6"/>
        <v>-99.06</v>
      </c>
      <c r="M53" s="3"/>
      <c r="N53" s="7">
        <f t="shared" si="7"/>
        <v>0</v>
      </c>
      <c r="O53" s="9"/>
      <c r="P53" s="6">
        <v>-124.42</v>
      </c>
      <c r="Q53" s="3"/>
      <c r="R53" s="7">
        <f t="shared" si="8"/>
        <v>-2.4230618465406108E-4</v>
      </c>
      <c r="S53" s="3"/>
      <c r="T53" s="6">
        <v>3.31</v>
      </c>
      <c r="U53" s="3"/>
      <c r="V53" s="7">
        <f t="shared" si="9"/>
        <v>1.137078018667317E-3</v>
      </c>
      <c r="W53" s="3"/>
      <c r="X53" s="6">
        <f t="shared" si="10"/>
        <v>-127.73</v>
      </c>
      <c r="Y53" s="3"/>
      <c r="Z53" s="7">
        <f t="shared" si="11"/>
        <v>-38.589123867069489</v>
      </c>
    </row>
    <row r="54" spans="1:26" s="68" customFormat="1" ht="15" customHeight="1" outlineLevel="1" collapsed="1" x14ac:dyDescent="0.3">
      <c r="A54" s="20"/>
      <c r="B54" s="11" t="str">
        <f>CONCATENATE("     ","Bank/card Fees                                    ")</f>
        <v xml:space="preserve">     Bank/card Fees                                    </v>
      </c>
      <c r="C54" s="11"/>
      <c r="D54" s="2">
        <f>SUM(OSRRefD22_4x_0)</f>
        <v>614.46</v>
      </c>
      <c r="E54" s="2"/>
      <c r="F54" s="5">
        <f t="shared" si="4"/>
        <v>3.9594913478354449E-2</v>
      </c>
      <c r="G54" s="2"/>
      <c r="H54" s="2">
        <f>SUM(OSRRefH22_4x_0)</f>
        <v>100.01</v>
      </c>
      <c r="I54" s="2"/>
      <c r="J54" s="5">
        <f t="shared" si="5"/>
        <v>2.9371512481644646</v>
      </c>
      <c r="K54" s="2"/>
      <c r="L54" s="2">
        <f t="shared" si="6"/>
        <v>514.45000000000005</v>
      </c>
      <c r="M54" s="2"/>
      <c r="N54" s="5">
        <f t="shared" si="7"/>
        <v>5.1439856014398559</v>
      </c>
      <c r="O54" s="11"/>
      <c r="P54" s="2">
        <f>SUM(OSRRefP22_4x_0)</f>
        <v>22487.07</v>
      </c>
      <c r="Q54" s="2"/>
      <c r="R54" s="5">
        <f t="shared" si="8"/>
        <v>4.3793249764899511E-2</v>
      </c>
      <c r="S54" s="2"/>
      <c r="T54" s="2">
        <f>SUM(OSRRefT22_4x_0)</f>
        <v>2567.7199999999998</v>
      </c>
      <c r="U54" s="2"/>
      <c r="V54" s="5">
        <f t="shared" si="9"/>
        <v>0.88208397887989209</v>
      </c>
      <c r="W54" s="2"/>
      <c r="X54" s="2">
        <f t="shared" si="10"/>
        <v>19919.349999999999</v>
      </c>
      <c r="Y54" s="2"/>
      <c r="Z54" s="5">
        <f t="shared" si="11"/>
        <v>7.7576020749926009</v>
      </c>
    </row>
    <row r="55" spans="1:26" s="69" customFormat="1" ht="15" hidden="1" customHeight="1" outlineLevel="2" x14ac:dyDescent="0.3">
      <c r="A55" s="21"/>
      <c r="B55" s="9" t="str">
        <f>CONCATENATE("          ","6381"," - ","BANK/CREDIT CARD FEES")</f>
        <v xml:space="preserve">          6381 - BANK/CREDIT CARD FEES</v>
      </c>
      <c r="C55" s="9"/>
      <c r="D55" s="6">
        <v>614.46</v>
      </c>
      <c r="E55" s="3"/>
      <c r="F55" s="7">
        <f t="shared" si="4"/>
        <v>3.9594913478354449E-2</v>
      </c>
      <c r="G55" s="3"/>
      <c r="H55" s="6">
        <v>100.01</v>
      </c>
      <c r="I55" s="3"/>
      <c r="J55" s="7">
        <f t="shared" si="5"/>
        <v>2.9371512481644646</v>
      </c>
      <c r="K55" s="3"/>
      <c r="L55" s="6">
        <f t="shared" si="6"/>
        <v>514.45000000000005</v>
      </c>
      <c r="M55" s="3"/>
      <c r="N55" s="7">
        <f t="shared" si="7"/>
        <v>5.1439856014398559</v>
      </c>
      <c r="O55" s="9"/>
      <c r="P55" s="6">
        <v>22487.07</v>
      </c>
      <c r="Q55" s="3"/>
      <c r="R55" s="7">
        <f t="shared" si="8"/>
        <v>4.3793249764899511E-2</v>
      </c>
      <c r="S55" s="3"/>
      <c r="T55" s="6">
        <v>2567.7199999999998</v>
      </c>
      <c r="U55" s="3"/>
      <c r="V55" s="7">
        <f t="shared" si="9"/>
        <v>0.88208397887989209</v>
      </c>
      <c r="W55" s="3"/>
      <c r="X55" s="6">
        <f t="shared" si="10"/>
        <v>19919.349999999999</v>
      </c>
      <c r="Y55" s="3"/>
      <c r="Z55" s="7">
        <f t="shared" si="11"/>
        <v>7.7576020749926009</v>
      </c>
    </row>
    <row r="56" spans="1:26" s="68" customFormat="1" ht="15" customHeight="1" outlineLevel="1" collapsed="1" x14ac:dyDescent="0.3">
      <c r="A56" s="20"/>
      <c r="B56" s="11" t="str">
        <f>CONCATENATE("     ","Depreciation                                      ")</f>
        <v xml:space="preserve">     Depreciation                                      </v>
      </c>
      <c r="C56" s="11"/>
      <c r="D56" s="2">
        <f>SUM(OSRRefD22_5x_0)</f>
        <v>6166.5999999999995</v>
      </c>
      <c r="E56" s="2"/>
      <c r="F56" s="5">
        <f t="shared" si="4"/>
        <v>0.39736678295677585</v>
      </c>
      <c r="G56" s="2"/>
      <c r="H56" s="2">
        <f>SUM(OSRRefH22_5x_0)</f>
        <v>7260.7899999999991</v>
      </c>
      <c r="I56" s="2"/>
      <c r="J56" s="5">
        <f t="shared" si="5"/>
        <v>213.23906020558002</v>
      </c>
      <c r="K56" s="2"/>
      <c r="L56" s="2">
        <f t="shared" si="6"/>
        <v>-1094.1899999999996</v>
      </c>
      <c r="M56" s="2"/>
      <c r="N56" s="5">
        <f t="shared" si="7"/>
        <v>-0.15069847771385755</v>
      </c>
      <c r="O56" s="11"/>
      <c r="P56" s="2">
        <f>SUM(OSRRefP22_5x_0)</f>
        <v>78171.17</v>
      </c>
      <c r="Q56" s="2"/>
      <c r="R56" s="5">
        <f t="shared" si="8"/>
        <v>0.15223724443533193</v>
      </c>
      <c r="S56" s="2"/>
      <c r="T56" s="2">
        <f>SUM(OSRRefT22_5x_0)</f>
        <v>108115.06</v>
      </c>
      <c r="U56" s="2"/>
      <c r="V56" s="5">
        <f t="shared" si="9"/>
        <v>37.1405613936248</v>
      </c>
      <c r="W56" s="2"/>
      <c r="X56" s="2">
        <f t="shared" si="10"/>
        <v>-29943.89</v>
      </c>
      <c r="Y56" s="2"/>
      <c r="Z56" s="5">
        <f t="shared" si="11"/>
        <v>-0.2769631723831999</v>
      </c>
    </row>
    <row r="57" spans="1:26" s="69" customFormat="1" ht="15" hidden="1" customHeight="1" outlineLevel="2" x14ac:dyDescent="0.3">
      <c r="A57" s="21"/>
      <c r="B57" s="9" t="str">
        <f>CONCATENATE("          ","6321"," - ","BUILDING DEPRECIATION")</f>
        <v xml:space="preserve">          6321 - BUILDING DEPRECIATION</v>
      </c>
      <c r="C57" s="9"/>
      <c r="D57" s="6">
        <v>5080.4799999999996</v>
      </c>
      <c r="E57" s="3"/>
      <c r="F57" s="7">
        <f t="shared" si="4"/>
        <v>0.32737878141540566</v>
      </c>
      <c r="G57" s="3"/>
      <c r="H57" s="6">
        <v>5080.4799999999996</v>
      </c>
      <c r="I57" s="3"/>
      <c r="J57" s="7">
        <f t="shared" si="5"/>
        <v>149.20646108663729</v>
      </c>
      <c r="K57" s="3"/>
      <c r="L57" s="6">
        <f t="shared" si="6"/>
        <v>0</v>
      </c>
      <c r="M57" s="3"/>
      <c r="N57" s="7">
        <f t="shared" si="7"/>
        <v>0</v>
      </c>
      <c r="O57" s="9"/>
      <c r="P57" s="6">
        <v>60966.09</v>
      </c>
      <c r="Q57" s="3"/>
      <c r="R57" s="7">
        <f t="shared" si="8"/>
        <v>0.11873059525137523</v>
      </c>
      <c r="S57" s="3"/>
      <c r="T57" s="6">
        <v>60966.09</v>
      </c>
      <c r="U57" s="3"/>
      <c r="V57" s="7">
        <f t="shared" si="9"/>
        <v>20.943565203351458</v>
      </c>
      <c r="W57" s="3"/>
      <c r="X57" s="6">
        <f t="shared" si="10"/>
        <v>0</v>
      </c>
      <c r="Y57" s="3"/>
      <c r="Z57" s="7">
        <f t="shared" si="11"/>
        <v>0</v>
      </c>
    </row>
    <row r="58" spans="1:26" s="69" customFormat="1" ht="15" hidden="1" customHeight="1" outlineLevel="2" x14ac:dyDescent="0.3">
      <c r="A58" s="21"/>
      <c r="B58" s="9" t="str">
        <f>CONCATENATE("          ","6322"," - ","EQUIPMENT DEPRECIATION EXPENSE")</f>
        <v xml:space="preserve">          6322 - EQUIPMENT DEPRECIATION EXPENSE</v>
      </c>
      <c r="C58" s="9"/>
      <c r="D58" s="6">
        <v>1086.1199999999999</v>
      </c>
      <c r="E58" s="3"/>
      <c r="F58" s="7">
        <f t="shared" si="4"/>
        <v>6.9988001541370193E-2</v>
      </c>
      <c r="G58" s="3"/>
      <c r="H58" s="6">
        <v>2180.31</v>
      </c>
      <c r="I58" s="3"/>
      <c r="J58" s="7">
        <f t="shared" si="5"/>
        <v>64.032599118942741</v>
      </c>
      <c r="K58" s="3"/>
      <c r="L58" s="6">
        <f t="shared" si="6"/>
        <v>-1094.19</v>
      </c>
      <c r="M58" s="3"/>
      <c r="N58" s="7">
        <f t="shared" si="7"/>
        <v>-0.5018506542647605</v>
      </c>
      <c r="O58" s="9"/>
      <c r="P58" s="6">
        <v>17205.080000000002</v>
      </c>
      <c r="Q58" s="3"/>
      <c r="R58" s="7">
        <f t="shared" si="8"/>
        <v>3.350664918395671E-2</v>
      </c>
      <c r="S58" s="3"/>
      <c r="T58" s="6">
        <v>47148.97</v>
      </c>
      <c r="U58" s="3"/>
      <c r="V58" s="7">
        <f t="shared" si="9"/>
        <v>16.196996190273346</v>
      </c>
      <c r="W58" s="3"/>
      <c r="X58" s="6">
        <f t="shared" si="10"/>
        <v>-29943.89</v>
      </c>
      <c r="Y58" s="3"/>
      <c r="Z58" s="7">
        <f t="shared" si="11"/>
        <v>-0.63509107409981591</v>
      </c>
    </row>
    <row r="59" spans="1:26" s="68" customFormat="1" ht="15" customHeight="1" outlineLevel="1" collapsed="1" x14ac:dyDescent="0.3">
      <c r="A59" s="20"/>
      <c r="B59" s="11" t="str">
        <f>CONCATENATE("     ","Employees' Appreciation                           ")</f>
        <v xml:space="preserve">     Employees' Appreciation                           </v>
      </c>
      <c r="C59" s="11"/>
      <c r="D59" s="2">
        <f>SUM(OSRRefD22_6x_0)</f>
        <v>0</v>
      </c>
      <c r="E59" s="2"/>
      <c r="F59" s="5">
        <f t="shared" si="4"/>
        <v>0</v>
      </c>
      <c r="G59" s="2"/>
      <c r="H59" s="2">
        <f>SUM(OSRRefH22_6x_0)</f>
        <v>0</v>
      </c>
      <c r="I59" s="2"/>
      <c r="J59" s="5">
        <f t="shared" si="5"/>
        <v>0</v>
      </c>
      <c r="K59" s="2"/>
      <c r="L59" s="2">
        <f t="shared" si="6"/>
        <v>0</v>
      </c>
      <c r="M59" s="2"/>
      <c r="N59" s="5">
        <f t="shared" si="7"/>
        <v>0</v>
      </c>
      <c r="O59" s="11"/>
      <c r="P59" s="2">
        <f>SUM(OSRRefP22_6x_0)</f>
        <v>16.2</v>
      </c>
      <c r="Q59" s="2"/>
      <c r="R59" s="5">
        <f t="shared" si="8"/>
        <v>3.1549270144637433E-5</v>
      </c>
      <c r="S59" s="2"/>
      <c r="T59" s="2">
        <f>SUM(OSRRefT22_6x_0)</f>
        <v>0</v>
      </c>
      <c r="U59" s="2"/>
      <c r="V59" s="5">
        <f t="shared" si="9"/>
        <v>0</v>
      </c>
      <c r="W59" s="2"/>
      <c r="X59" s="2">
        <f t="shared" si="10"/>
        <v>16.2</v>
      </c>
      <c r="Y59" s="2"/>
      <c r="Z59" s="5">
        <f t="shared" si="11"/>
        <v>0</v>
      </c>
    </row>
    <row r="60" spans="1:26" s="69" customFormat="1" ht="15" hidden="1" customHeight="1" outlineLevel="2" x14ac:dyDescent="0.3">
      <c r="A60" s="21"/>
      <c r="B60" s="9" t="str">
        <f>CONCATENATE("          ","6277"," - ","EMPLOYEE APPRECIATION")</f>
        <v xml:space="preserve">          6277 - EMPLOYEE APPRECIATION</v>
      </c>
      <c r="C60" s="9"/>
      <c r="D60" s="6"/>
      <c r="E60" s="3"/>
      <c r="F60" s="7">
        <f t="shared" si="4"/>
        <v>0</v>
      </c>
      <c r="G60" s="3"/>
      <c r="H60" s="6"/>
      <c r="I60" s="3"/>
      <c r="J60" s="7">
        <f t="shared" si="5"/>
        <v>0</v>
      </c>
      <c r="K60" s="3"/>
      <c r="L60" s="6">
        <f t="shared" si="6"/>
        <v>0</v>
      </c>
      <c r="M60" s="3"/>
      <c r="N60" s="7">
        <f t="shared" si="7"/>
        <v>0</v>
      </c>
      <c r="O60" s="9"/>
      <c r="P60" s="6">
        <v>16.2</v>
      </c>
      <c r="Q60" s="3"/>
      <c r="R60" s="7">
        <f t="shared" si="8"/>
        <v>3.1549270144637433E-5</v>
      </c>
      <c r="S60" s="3"/>
      <c r="T60" s="6"/>
      <c r="U60" s="3"/>
      <c r="V60" s="7">
        <f t="shared" si="9"/>
        <v>0</v>
      </c>
      <c r="W60" s="3"/>
      <c r="X60" s="6">
        <f t="shared" si="10"/>
        <v>16.2</v>
      </c>
      <c r="Y60" s="3"/>
      <c r="Z60" s="7">
        <f t="shared" si="11"/>
        <v>0</v>
      </c>
    </row>
    <row r="61" spans="1:26" s="68" customFormat="1" ht="15" customHeight="1" outlineLevel="1" collapsed="1" x14ac:dyDescent="0.3">
      <c r="A61" s="20"/>
      <c r="B61" s="11" t="str">
        <f>CONCATENATE("     ","Equipment Rental                                  ")</f>
        <v xml:space="preserve">     Equipment Rental                                  </v>
      </c>
      <c r="C61" s="11"/>
      <c r="D61" s="2">
        <f>SUM(OSRRefD22_7x_0)</f>
        <v>0</v>
      </c>
      <c r="E61" s="2"/>
      <c r="F61" s="5">
        <f t="shared" si="4"/>
        <v>0</v>
      </c>
      <c r="G61" s="2"/>
      <c r="H61" s="2">
        <f>SUM(OSRRefH22_7x_0)</f>
        <v>0</v>
      </c>
      <c r="I61" s="2"/>
      <c r="J61" s="5">
        <f t="shared" si="5"/>
        <v>0</v>
      </c>
      <c r="K61" s="2"/>
      <c r="L61" s="2">
        <f t="shared" si="6"/>
        <v>0</v>
      </c>
      <c r="M61" s="2"/>
      <c r="N61" s="5">
        <f t="shared" si="7"/>
        <v>0</v>
      </c>
      <c r="O61" s="11"/>
      <c r="P61" s="2">
        <f>SUM(OSRRefP22_7x_0)</f>
        <v>30</v>
      </c>
      <c r="Q61" s="2"/>
      <c r="R61" s="5">
        <f t="shared" si="8"/>
        <v>5.8424574341921172E-5</v>
      </c>
      <c r="S61" s="2"/>
      <c r="T61" s="2">
        <f>SUM(OSRRefT22_7x_0)</f>
        <v>617.35</v>
      </c>
      <c r="U61" s="2"/>
      <c r="V61" s="5">
        <f t="shared" si="9"/>
        <v>0.2120770739650357</v>
      </c>
      <c r="W61" s="2"/>
      <c r="X61" s="2">
        <f t="shared" si="10"/>
        <v>-587.35</v>
      </c>
      <c r="Y61" s="2"/>
      <c r="Z61" s="5">
        <f t="shared" si="11"/>
        <v>-0.95140519964363812</v>
      </c>
    </row>
    <row r="62" spans="1:26" s="69" customFormat="1" ht="15" hidden="1" customHeight="1" outlineLevel="2" x14ac:dyDescent="0.3">
      <c r="A62" s="21"/>
      <c r="B62" s="9" t="str">
        <f>CONCATENATE("          ","6351"," - ","EQUIPMENT RENTAL")</f>
        <v xml:space="preserve">          6351 - EQUIPMENT RENTAL</v>
      </c>
      <c r="C62" s="9"/>
      <c r="D62" s="6"/>
      <c r="E62" s="3"/>
      <c r="F62" s="7">
        <f t="shared" si="4"/>
        <v>0</v>
      </c>
      <c r="G62" s="3"/>
      <c r="H62" s="6"/>
      <c r="I62" s="3"/>
      <c r="J62" s="7">
        <f t="shared" si="5"/>
        <v>0</v>
      </c>
      <c r="K62" s="3"/>
      <c r="L62" s="6">
        <f t="shared" si="6"/>
        <v>0</v>
      </c>
      <c r="M62" s="3"/>
      <c r="N62" s="7">
        <f t="shared" si="7"/>
        <v>0</v>
      </c>
      <c r="O62" s="9"/>
      <c r="P62" s="6">
        <v>30</v>
      </c>
      <c r="Q62" s="3"/>
      <c r="R62" s="7">
        <f t="shared" si="8"/>
        <v>5.8424574341921172E-5</v>
      </c>
      <c r="S62" s="3"/>
      <c r="T62" s="6">
        <v>617.35</v>
      </c>
      <c r="U62" s="3"/>
      <c r="V62" s="7">
        <f t="shared" si="9"/>
        <v>0.2120770739650357</v>
      </c>
      <c r="W62" s="3"/>
      <c r="X62" s="6">
        <f t="shared" si="10"/>
        <v>-587.35</v>
      </c>
      <c r="Y62" s="3"/>
      <c r="Z62" s="7">
        <f t="shared" si="11"/>
        <v>-0.95140519964363812</v>
      </c>
    </row>
    <row r="63" spans="1:26" s="68" customFormat="1" ht="15" customHeight="1" outlineLevel="1" collapsed="1" x14ac:dyDescent="0.3">
      <c r="A63" s="20"/>
      <c r="B63" s="11" t="str">
        <f>CONCATENATE("     ","Freight out/Postage                               ")</f>
        <v xml:space="preserve">     Freight out/Postage                               </v>
      </c>
      <c r="C63" s="11"/>
      <c r="D63" s="2">
        <f>SUM(OSRRefD22_8x_0)</f>
        <v>0</v>
      </c>
      <c r="E63" s="2"/>
      <c r="F63" s="5">
        <f t="shared" si="4"/>
        <v>0</v>
      </c>
      <c r="G63" s="2"/>
      <c r="H63" s="2">
        <f>SUM(OSRRefH22_8x_0)</f>
        <v>0</v>
      </c>
      <c r="I63" s="2"/>
      <c r="J63" s="5">
        <f t="shared" si="5"/>
        <v>0</v>
      </c>
      <c r="K63" s="2"/>
      <c r="L63" s="2">
        <f t="shared" si="6"/>
        <v>0</v>
      </c>
      <c r="M63" s="2"/>
      <c r="N63" s="5">
        <f t="shared" si="7"/>
        <v>0</v>
      </c>
      <c r="O63" s="11"/>
      <c r="P63" s="2">
        <f>SUM(OSRRefP22_8x_0)</f>
        <v>0</v>
      </c>
      <c r="Q63" s="2"/>
      <c r="R63" s="5">
        <f t="shared" si="8"/>
        <v>0</v>
      </c>
      <c r="S63" s="2"/>
      <c r="T63" s="2">
        <f>SUM(OSRRefT22_8x_0)</f>
        <v>280.10000000000002</v>
      </c>
      <c r="U63" s="2"/>
      <c r="V63" s="5">
        <f t="shared" si="9"/>
        <v>9.6222221458826432E-2</v>
      </c>
      <c r="W63" s="2"/>
      <c r="X63" s="2">
        <f t="shared" si="10"/>
        <v>-280.10000000000002</v>
      </c>
      <c r="Y63" s="2"/>
      <c r="Z63" s="5">
        <f t="shared" si="11"/>
        <v>-1</v>
      </c>
    </row>
    <row r="64" spans="1:26" s="69" customFormat="1" ht="15" hidden="1" customHeight="1" outlineLevel="2" x14ac:dyDescent="0.3">
      <c r="A64" s="21"/>
      <c r="B64" s="9" t="str">
        <f>CONCATENATE("          ","6305"," - ","FREIGHT OUT")</f>
        <v xml:space="preserve">          6305 - FREIGHT OUT</v>
      </c>
      <c r="C64" s="9"/>
      <c r="D64" s="6"/>
      <c r="E64" s="3"/>
      <c r="F64" s="7">
        <f t="shared" ref="F64:F93" si="12">IF(D$12=0,0,D64/D$12)</f>
        <v>0</v>
      </c>
      <c r="G64" s="3"/>
      <c r="H64" s="6"/>
      <c r="I64" s="3"/>
      <c r="J64" s="7">
        <f t="shared" ref="J64:J93" si="13">IF(H$12=0,0,H64/H$12)</f>
        <v>0</v>
      </c>
      <c r="K64" s="3"/>
      <c r="L64" s="6">
        <f t="shared" ref="L64:L93" si="14">+D64-H64</f>
        <v>0</v>
      </c>
      <c r="M64" s="3"/>
      <c r="N64" s="7">
        <f t="shared" ref="N64:N93" si="15">IF(H64=0,0,L64/H64)</f>
        <v>0</v>
      </c>
      <c r="O64" s="9"/>
      <c r="P64" s="6"/>
      <c r="Q64" s="3"/>
      <c r="R64" s="7">
        <f t="shared" ref="R64:R93" si="16">IF(P$12=0,0,P64/P$12)</f>
        <v>0</v>
      </c>
      <c r="S64" s="3"/>
      <c r="T64" s="6">
        <v>280.10000000000002</v>
      </c>
      <c r="U64" s="3"/>
      <c r="V64" s="7">
        <f t="shared" ref="V64:V93" si="17">IF(T$12=0,0,T64/T$12)</f>
        <v>9.6222221458826432E-2</v>
      </c>
      <c r="W64" s="3"/>
      <c r="X64" s="6">
        <f t="shared" ref="X64:X93" si="18">+P64-T64</f>
        <v>-280.10000000000002</v>
      </c>
      <c r="Y64" s="3"/>
      <c r="Z64" s="7">
        <f t="shared" ref="Z64:Z93" si="19">IF(T64=0,0,X64/T64)</f>
        <v>-1</v>
      </c>
    </row>
    <row r="65" spans="1:26" s="68" customFormat="1" ht="15" customHeight="1" outlineLevel="1" collapsed="1" x14ac:dyDescent="0.3">
      <c r="A65" s="20"/>
      <c r="B65" s="11" t="str">
        <f>CONCATENATE("     ","General                                           ")</f>
        <v xml:space="preserve">     General                                           </v>
      </c>
      <c r="C65" s="11"/>
      <c r="D65" s="2">
        <f>SUM(OSRRefD22_9x_0)</f>
        <v>0</v>
      </c>
      <c r="E65" s="2"/>
      <c r="F65" s="5">
        <f t="shared" si="12"/>
        <v>0</v>
      </c>
      <c r="G65" s="2"/>
      <c r="H65" s="2">
        <f>SUM(OSRRefH22_9x_0)</f>
        <v>0</v>
      </c>
      <c r="I65" s="2"/>
      <c r="J65" s="5">
        <f t="shared" si="13"/>
        <v>0</v>
      </c>
      <c r="K65" s="2"/>
      <c r="L65" s="2">
        <f t="shared" si="14"/>
        <v>0</v>
      </c>
      <c r="M65" s="2"/>
      <c r="N65" s="5">
        <f t="shared" si="15"/>
        <v>0</v>
      </c>
      <c r="O65" s="11"/>
      <c r="P65" s="2">
        <f>SUM(OSRRefP22_9x_0)</f>
        <v>4018.7</v>
      </c>
      <c r="Q65" s="2"/>
      <c r="R65" s="5">
        <f t="shared" si="16"/>
        <v>7.8263612302626202E-3</v>
      </c>
      <c r="S65" s="2"/>
      <c r="T65" s="2">
        <f>SUM(OSRRefT22_9x_0)</f>
        <v>2908.49</v>
      </c>
      <c r="U65" s="2"/>
      <c r="V65" s="5">
        <f t="shared" si="17"/>
        <v>0.99914805030625509</v>
      </c>
      <c r="W65" s="2"/>
      <c r="X65" s="2">
        <f t="shared" si="18"/>
        <v>1110.21</v>
      </c>
      <c r="Y65" s="2"/>
      <c r="Z65" s="5">
        <f t="shared" si="19"/>
        <v>0.38171353520211521</v>
      </c>
    </row>
    <row r="66" spans="1:26" s="69" customFormat="1" ht="15" hidden="1" customHeight="1" outlineLevel="2" x14ac:dyDescent="0.3">
      <c r="A66" s="21"/>
      <c r="B66" s="9" t="str">
        <f>CONCATENATE("          ","6279"," - ","GENERAL EXPENSE")</f>
        <v xml:space="preserve">          6279 - GENERAL EXPENSE</v>
      </c>
      <c r="C66" s="9"/>
      <c r="D66" s="6"/>
      <c r="E66" s="3"/>
      <c r="F66" s="7">
        <f t="shared" si="12"/>
        <v>0</v>
      </c>
      <c r="G66" s="3"/>
      <c r="H66" s="6"/>
      <c r="I66" s="3"/>
      <c r="J66" s="7">
        <f t="shared" si="13"/>
        <v>0</v>
      </c>
      <c r="K66" s="3"/>
      <c r="L66" s="6">
        <f t="shared" si="14"/>
        <v>0</v>
      </c>
      <c r="M66" s="3"/>
      <c r="N66" s="7">
        <f t="shared" si="15"/>
        <v>0</v>
      </c>
      <c r="O66" s="9"/>
      <c r="P66" s="6">
        <v>4018.7</v>
      </c>
      <c r="Q66" s="3"/>
      <c r="R66" s="7">
        <f t="shared" si="16"/>
        <v>7.8263612302626202E-3</v>
      </c>
      <c r="S66" s="3"/>
      <c r="T66" s="6">
        <v>2908.49</v>
      </c>
      <c r="U66" s="3"/>
      <c r="V66" s="7">
        <f t="shared" si="17"/>
        <v>0.99914805030625509</v>
      </c>
      <c r="W66" s="3"/>
      <c r="X66" s="6">
        <f t="shared" si="18"/>
        <v>1110.21</v>
      </c>
      <c r="Y66" s="3"/>
      <c r="Z66" s="7">
        <f t="shared" si="19"/>
        <v>0.38171353520211521</v>
      </c>
    </row>
    <row r="67" spans="1:26" s="68" customFormat="1" ht="15" customHeight="1" outlineLevel="1" collapsed="1" x14ac:dyDescent="0.3">
      <c r="A67" s="20"/>
      <c r="B67" s="11" t="str">
        <f>CONCATENATE("     ","Insurance                                         ")</f>
        <v xml:space="preserve">     Insurance                                         </v>
      </c>
      <c r="C67" s="11"/>
      <c r="D67" s="2">
        <f>SUM(OSRRefD22_10x_0)</f>
        <v>-102.81</v>
      </c>
      <c r="E67" s="2"/>
      <c r="F67" s="5">
        <f t="shared" si="12"/>
        <v>-6.6249276677238884E-3</v>
      </c>
      <c r="G67" s="2"/>
      <c r="H67" s="2">
        <f>SUM(OSRRefH22_10x_0)</f>
        <v>522.85</v>
      </c>
      <c r="I67" s="2"/>
      <c r="J67" s="5">
        <f t="shared" si="13"/>
        <v>15.355359765051396</v>
      </c>
      <c r="K67" s="2"/>
      <c r="L67" s="2">
        <f t="shared" si="14"/>
        <v>-625.66000000000008</v>
      </c>
      <c r="M67" s="2"/>
      <c r="N67" s="5">
        <f t="shared" si="15"/>
        <v>-1.1966338337955438</v>
      </c>
      <c r="O67" s="11"/>
      <c r="P67" s="2">
        <f>SUM(OSRRefP22_10x_0)</f>
        <v>3538.3</v>
      </c>
      <c r="Q67" s="2"/>
      <c r="R67" s="5">
        <f t="shared" si="16"/>
        <v>6.8907890464673235E-3</v>
      </c>
      <c r="S67" s="2"/>
      <c r="T67" s="2">
        <f>SUM(OSRRefT22_10x_0)</f>
        <v>3201.79</v>
      </c>
      <c r="U67" s="2"/>
      <c r="V67" s="5">
        <f t="shared" si="17"/>
        <v>1.0999048427156581</v>
      </c>
      <c r="W67" s="2"/>
      <c r="X67" s="2">
        <f t="shared" si="18"/>
        <v>336.51000000000022</v>
      </c>
      <c r="Y67" s="2"/>
      <c r="Z67" s="5">
        <f t="shared" si="19"/>
        <v>0.10510058436062335</v>
      </c>
    </row>
    <row r="68" spans="1:26" s="69" customFormat="1" ht="15" hidden="1" customHeight="1" outlineLevel="2" x14ac:dyDescent="0.3">
      <c r="A68" s="21"/>
      <c r="B68" s="9" t="str">
        <f>CONCATENATE("          ","6314"," - ","LIABILITY INSURANCE")</f>
        <v xml:space="preserve">          6314 - LIABILITY INSURANCE</v>
      </c>
      <c r="C68" s="9"/>
      <c r="D68" s="6">
        <v>-102.81</v>
      </c>
      <c r="E68" s="3"/>
      <c r="F68" s="7">
        <f t="shared" si="12"/>
        <v>-6.6249276677238884E-3</v>
      </c>
      <c r="G68" s="3"/>
      <c r="H68" s="6">
        <v>522.85</v>
      </c>
      <c r="I68" s="3"/>
      <c r="J68" s="7">
        <f t="shared" si="13"/>
        <v>15.355359765051396</v>
      </c>
      <c r="K68" s="3"/>
      <c r="L68" s="6">
        <f t="shared" si="14"/>
        <v>-625.66000000000008</v>
      </c>
      <c r="M68" s="3"/>
      <c r="N68" s="7">
        <f t="shared" si="15"/>
        <v>-1.1966338337955438</v>
      </c>
      <c r="O68" s="9"/>
      <c r="P68" s="6">
        <v>3538.3</v>
      </c>
      <c r="Q68" s="3"/>
      <c r="R68" s="7">
        <f t="shared" si="16"/>
        <v>6.8907890464673235E-3</v>
      </c>
      <c r="S68" s="3"/>
      <c r="T68" s="6">
        <v>3201.79</v>
      </c>
      <c r="U68" s="3"/>
      <c r="V68" s="7">
        <f t="shared" si="17"/>
        <v>1.0999048427156581</v>
      </c>
      <c r="W68" s="3"/>
      <c r="X68" s="6">
        <f t="shared" si="18"/>
        <v>336.51000000000022</v>
      </c>
      <c r="Y68" s="3"/>
      <c r="Z68" s="7">
        <f t="shared" si="19"/>
        <v>0.10510058436062335</v>
      </c>
    </row>
    <row r="69" spans="1:26" s="68" customFormat="1" ht="15" customHeight="1" outlineLevel="1" collapsed="1" x14ac:dyDescent="0.3">
      <c r="A69" s="20"/>
      <c r="B69" s="11" t="str">
        <f>CONCATENATE("     ","Interest                                          ")</f>
        <v xml:space="preserve">     Interest                                          </v>
      </c>
      <c r="C69" s="11"/>
      <c r="D69" s="2">
        <f>SUM(OSRRefD22_11x_0)</f>
        <v>3905</v>
      </c>
      <c r="E69" s="2"/>
      <c r="F69" s="5">
        <f t="shared" si="12"/>
        <v>0.25163255074858265</v>
      </c>
      <c r="G69" s="2"/>
      <c r="H69" s="2">
        <f>SUM(OSRRefH22_11x_0)</f>
        <v>-439.07</v>
      </c>
      <c r="I69" s="2"/>
      <c r="J69" s="5">
        <f t="shared" si="13"/>
        <v>-12.894860499265787</v>
      </c>
      <c r="K69" s="2"/>
      <c r="L69" s="2">
        <f t="shared" si="14"/>
        <v>4344.07</v>
      </c>
      <c r="M69" s="2"/>
      <c r="N69" s="5">
        <f t="shared" si="15"/>
        <v>-9.8937982554034658</v>
      </c>
      <c r="O69" s="11"/>
      <c r="P69" s="2">
        <f>SUM(OSRRefP22_11x_0)</f>
        <v>45710</v>
      </c>
      <c r="Q69" s="2"/>
      <c r="R69" s="5">
        <f t="shared" si="16"/>
        <v>8.9019576438973902E-2</v>
      </c>
      <c r="S69" s="2"/>
      <c r="T69" s="2">
        <f>SUM(OSRRefT22_11x_0)</f>
        <v>42951.78</v>
      </c>
      <c r="U69" s="2"/>
      <c r="V69" s="5">
        <f t="shared" si="17"/>
        <v>14.755143474511931</v>
      </c>
      <c r="W69" s="2"/>
      <c r="X69" s="2">
        <f t="shared" si="18"/>
        <v>2758.2200000000012</v>
      </c>
      <c r="Y69" s="2"/>
      <c r="Z69" s="5">
        <f t="shared" si="19"/>
        <v>6.4216663430479506E-2</v>
      </c>
    </row>
    <row r="70" spans="1:26" s="69" customFormat="1" ht="15" hidden="1" customHeight="1" outlineLevel="2" x14ac:dyDescent="0.3">
      <c r="A70" s="21"/>
      <c r="B70" s="9" t="str">
        <f>CONCATENATE("          ","6401"," - ","INTEREST EXPENSE")</f>
        <v xml:space="preserve">          6401 - INTEREST EXPENSE</v>
      </c>
      <c r="C70" s="9"/>
      <c r="D70" s="6">
        <v>3905</v>
      </c>
      <c r="E70" s="3"/>
      <c r="F70" s="7">
        <f t="shared" si="12"/>
        <v>0.25163255074858265</v>
      </c>
      <c r="G70" s="3"/>
      <c r="H70" s="6">
        <v>-439.07</v>
      </c>
      <c r="I70" s="3"/>
      <c r="J70" s="7">
        <f t="shared" si="13"/>
        <v>-12.894860499265787</v>
      </c>
      <c r="K70" s="3"/>
      <c r="L70" s="6">
        <f t="shared" si="14"/>
        <v>4344.07</v>
      </c>
      <c r="M70" s="3"/>
      <c r="N70" s="7">
        <f t="shared" si="15"/>
        <v>-9.8937982554034658</v>
      </c>
      <c r="O70" s="9"/>
      <c r="P70" s="6">
        <v>45710</v>
      </c>
      <c r="Q70" s="3"/>
      <c r="R70" s="7">
        <f t="shared" si="16"/>
        <v>8.9019576438973902E-2</v>
      </c>
      <c r="S70" s="3"/>
      <c r="T70" s="6">
        <v>42951.78</v>
      </c>
      <c r="U70" s="3"/>
      <c r="V70" s="7">
        <f t="shared" si="17"/>
        <v>14.755143474511931</v>
      </c>
      <c r="W70" s="3"/>
      <c r="X70" s="6">
        <f t="shared" si="18"/>
        <v>2758.2200000000012</v>
      </c>
      <c r="Y70" s="3"/>
      <c r="Z70" s="7">
        <f t="shared" si="19"/>
        <v>6.4216663430479506E-2</v>
      </c>
    </row>
    <row r="71" spans="1:26" s="68" customFormat="1" ht="15" customHeight="1" outlineLevel="1" collapsed="1" x14ac:dyDescent="0.3">
      <c r="A71" s="20"/>
      <c r="B71" s="11" t="str">
        <f>CONCATENATE("     ","Repair and Maintenance                            ")</f>
        <v xml:space="preserve">     Repair and Maintenance                            </v>
      </c>
      <c r="C71" s="11"/>
      <c r="D71" s="2">
        <f>SUM(OSRRefD22_12x_0)</f>
        <v>2029.55</v>
      </c>
      <c r="E71" s="2"/>
      <c r="F71" s="5">
        <f t="shared" si="12"/>
        <v>0.13078126590826786</v>
      </c>
      <c r="G71" s="2"/>
      <c r="H71" s="2">
        <f>SUM(OSRRefH22_12x_0)</f>
        <v>384.39</v>
      </c>
      <c r="I71" s="2"/>
      <c r="J71" s="5">
        <f t="shared" si="13"/>
        <v>11.28898678414097</v>
      </c>
      <c r="K71" s="2"/>
      <c r="L71" s="2">
        <f t="shared" si="14"/>
        <v>1645.1599999999999</v>
      </c>
      <c r="M71" s="2"/>
      <c r="N71" s="5">
        <f t="shared" si="15"/>
        <v>4.2799240354847941</v>
      </c>
      <c r="O71" s="11"/>
      <c r="P71" s="2">
        <f>SUM(OSRRefP22_12x_0)</f>
        <v>9155.9</v>
      </c>
      <c r="Q71" s="2"/>
      <c r="R71" s="5">
        <f t="shared" si="16"/>
        <v>1.7830985340573202E-2</v>
      </c>
      <c r="S71" s="2"/>
      <c r="T71" s="2">
        <f>SUM(OSRRefT22_12x_0)</f>
        <v>3415.82</v>
      </c>
      <c r="U71" s="2"/>
      <c r="V71" s="5">
        <f t="shared" si="17"/>
        <v>1.1734301624544394</v>
      </c>
      <c r="W71" s="2"/>
      <c r="X71" s="2">
        <f t="shared" si="18"/>
        <v>5740.08</v>
      </c>
      <c r="Y71" s="2"/>
      <c r="Z71" s="5">
        <f t="shared" si="19"/>
        <v>1.6804398358227306</v>
      </c>
    </row>
    <row r="72" spans="1:26" s="69" customFormat="1" ht="15" hidden="1" customHeight="1" outlineLevel="2" x14ac:dyDescent="0.3">
      <c r="A72" s="21"/>
      <c r="B72" s="9" t="str">
        <f>CONCATENATE("          ","6373"," - ","MAINTENANCE CONTRACTS")</f>
        <v xml:space="preserve">          6373 - MAINTENANCE CONTRACTS</v>
      </c>
      <c r="C72" s="9"/>
      <c r="D72" s="6"/>
      <c r="E72" s="3"/>
      <c r="F72" s="7">
        <f t="shared" si="12"/>
        <v>0</v>
      </c>
      <c r="G72" s="3"/>
      <c r="H72" s="6">
        <v>299.39</v>
      </c>
      <c r="I72" s="3"/>
      <c r="J72" s="7">
        <f t="shared" si="13"/>
        <v>8.7926578560939799</v>
      </c>
      <c r="K72" s="3"/>
      <c r="L72" s="6">
        <f t="shared" si="14"/>
        <v>-299.39</v>
      </c>
      <c r="M72" s="3"/>
      <c r="N72" s="7">
        <f t="shared" si="15"/>
        <v>-1</v>
      </c>
      <c r="O72" s="9"/>
      <c r="P72" s="6">
        <v>1413.39</v>
      </c>
      <c r="Q72" s="3"/>
      <c r="R72" s="7">
        <f t="shared" si="16"/>
        <v>2.7525569709709323E-3</v>
      </c>
      <c r="S72" s="3"/>
      <c r="T72" s="6">
        <v>1557.44</v>
      </c>
      <c r="U72" s="3"/>
      <c r="V72" s="7">
        <f t="shared" si="17"/>
        <v>0.53502440767166959</v>
      </c>
      <c r="W72" s="3"/>
      <c r="X72" s="6">
        <f t="shared" si="18"/>
        <v>-144.04999999999995</v>
      </c>
      <c r="Y72" s="3"/>
      <c r="Z72" s="7">
        <f t="shared" si="19"/>
        <v>-9.2491524553112769E-2</v>
      </c>
    </row>
    <row r="73" spans="1:26" s="69" customFormat="1" ht="15" hidden="1" customHeight="1" outlineLevel="2" x14ac:dyDescent="0.3">
      <c r="A73" s="21"/>
      <c r="B73" s="9" t="str">
        <f>CONCATENATE("          ","6375"," - ","OUTSIDE REPAIRS &amp; MAINTENANCE")</f>
        <v xml:space="preserve">          6375 - OUTSIDE REPAIRS &amp; MAINTENANCE</v>
      </c>
      <c r="C73" s="9"/>
      <c r="D73" s="6">
        <v>2029.55</v>
      </c>
      <c r="E73" s="3"/>
      <c r="F73" s="7">
        <f t="shared" si="12"/>
        <v>0.13078126590826786</v>
      </c>
      <c r="G73" s="3"/>
      <c r="H73" s="6">
        <v>85</v>
      </c>
      <c r="I73" s="3"/>
      <c r="J73" s="7">
        <f t="shared" si="13"/>
        <v>2.49632892804699</v>
      </c>
      <c r="K73" s="3"/>
      <c r="L73" s="6">
        <f t="shared" si="14"/>
        <v>1944.55</v>
      </c>
      <c r="M73" s="3"/>
      <c r="N73" s="7">
        <f t="shared" si="15"/>
        <v>22.87705882352941</v>
      </c>
      <c r="O73" s="9"/>
      <c r="P73" s="6">
        <v>7742.51</v>
      </c>
      <c r="Q73" s="3"/>
      <c r="R73" s="7">
        <f t="shared" si="16"/>
        <v>1.507842836960227E-2</v>
      </c>
      <c r="S73" s="3"/>
      <c r="T73" s="6">
        <v>1858.38</v>
      </c>
      <c r="U73" s="3"/>
      <c r="V73" s="7">
        <f t="shared" si="17"/>
        <v>0.63840575478276995</v>
      </c>
      <c r="W73" s="3"/>
      <c r="X73" s="6">
        <f t="shared" si="18"/>
        <v>5884.13</v>
      </c>
      <c r="Y73" s="3"/>
      <c r="Z73" s="7">
        <f t="shared" si="19"/>
        <v>3.1662684703881876</v>
      </c>
    </row>
    <row r="74" spans="1:26" s="68" customFormat="1" ht="15" customHeight="1" outlineLevel="1" collapsed="1" x14ac:dyDescent="0.3">
      <c r="A74" s="20"/>
      <c r="B74" s="11" t="str">
        <f>CONCATENATE("     ","Royalty &amp; Commissions                             ")</f>
        <v xml:space="preserve">     Royalty &amp; Commissions                             </v>
      </c>
      <c r="C74" s="11"/>
      <c r="D74" s="2">
        <f>SUM(OSRRefD22_13x_0)</f>
        <v>0</v>
      </c>
      <c r="E74" s="2"/>
      <c r="F74" s="5">
        <f t="shared" si="12"/>
        <v>0</v>
      </c>
      <c r="G74" s="2"/>
      <c r="H74" s="2">
        <f>SUM(OSRRefH22_13x_0)</f>
        <v>0</v>
      </c>
      <c r="I74" s="2"/>
      <c r="J74" s="5">
        <f t="shared" si="13"/>
        <v>0</v>
      </c>
      <c r="K74" s="2"/>
      <c r="L74" s="2">
        <f t="shared" si="14"/>
        <v>0</v>
      </c>
      <c r="M74" s="2"/>
      <c r="N74" s="5">
        <f t="shared" si="15"/>
        <v>0</v>
      </c>
      <c r="O74" s="11"/>
      <c r="P74" s="2">
        <f>SUM(OSRRefP22_13x_0)</f>
        <v>4367.51</v>
      </c>
      <c r="Q74" s="2"/>
      <c r="R74" s="5">
        <f t="shared" si="16"/>
        <v>8.5056637561361382E-3</v>
      </c>
      <c r="S74" s="2"/>
      <c r="T74" s="2">
        <f>SUM(OSRRefT22_13x_0)</f>
        <v>185.7</v>
      </c>
      <c r="U74" s="2"/>
      <c r="V74" s="5">
        <f t="shared" si="17"/>
        <v>6.3793168600157324E-2</v>
      </c>
      <c r="W74" s="2"/>
      <c r="X74" s="2">
        <f t="shared" si="18"/>
        <v>4181.8100000000004</v>
      </c>
      <c r="Y74" s="2"/>
      <c r="Z74" s="5">
        <f t="shared" si="19"/>
        <v>22.519170705438885</v>
      </c>
    </row>
    <row r="75" spans="1:26" s="69" customFormat="1" ht="15" hidden="1" customHeight="1" outlineLevel="2" x14ac:dyDescent="0.3">
      <c r="A75" s="21"/>
      <c r="B75" s="9" t="str">
        <f>CONCATENATE("          ","6254"," - ","ROYALTY &amp; COMMISSIONS")</f>
        <v xml:space="preserve">          6254 - ROYALTY &amp; COMMISSIONS</v>
      </c>
      <c r="C75" s="9"/>
      <c r="D75" s="6"/>
      <c r="E75" s="3"/>
      <c r="F75" s="7">
        <f t="shared" si="12"/>
        <v>0</v>
      </c>
      <c r="G75" s="3"/>
      <c r="H75" s="6"/>
      <c r="I75" s="3"/>
      <c r="J75" s="7">
        <f t="shared" si="13"/>
        <v>0</v>
      </c>
      <c r="K75" s="3"/>
      <c r="L75" s="6">
        <f t="shared" si="14"/>
        <v>0</v>
      </c>
      <c r="M75" s="3"/>
      <c r="N75" s="7">
        <f t="shared" si="15"/>
        <v>0</v>
      </c>
      <c r="O75" s="9"/>
      <c r="P75" s="6">
        <v>4367.51</v>
      </c>
      <c r="Q75" s="3"/>
      <c r="R75" s="7">
        <f t="shared" si="16"/>
        <v>8.5056637561361382E-3</v>
      </c>
      <c r="S75" s="3"/>
      <c r="T75" s="6">
        <v>185.7</v>
      </c>
      <c r="U75" s="3"/>
      <c r="V75" s="7">
        <f t="shared" si="17"/>
        <v>6.3793168600157324E-2</v>
      </c>
      <c r="W75" s="3"/>
      <c r="X75" s="6">
        <f t="shared" si="18"/>
        <v>4181.8100000000004</v>
      </c>
      <c r="Y75" s="3"/>
      <c r="Z75" s="7">
        <f t="shared" si="19"/>
        <v>22.519170705438885</v>
      </c>
    </row>
    <row r="76" spans="1:26" s="68" customFormat="1" ht="15" customHeight="1" outlineLevel="1" collapsed="1" x14ac:dyDescent="0.3">
      <c r="A76" s="20"/>
      <c r="B76" s="11" t="str">
        <f>CONCATENATE("     ","Services                                          ")</f>
        <v xml:space="preserve">     Services                                          </v>
      </c>
      <c r="C76" s="11"/>
      <c r="D76" s="2">
        <f>SUM(OSRRefD22_14x_0)</f>
        <v>4980.95</v>
      </c>
      <c r="E76" s="2"/>
      <c r="F76" s="5">
        <f t="shared" si="12"/>
        <v>0.32096521220259994</v>
      </c>
      <c r="G76" s="2"/>
      <c r="H76" s="2">
        <f>SUM(OSRRefH22_14x_0)</f>
        <v>297.64999999999998</v>
      </c>
      <c r="I76" s="2"/>
      <c r="J76" s="5">
        <f t="shared" si="13"/>
        <v>8.7415565345080761</v>
      </c>
      <c r="K76" s="2"/>
      <c r="L76" s="2">
        <f t="shared" si="14"/>
        <v>4683.3</v>
      </c>
      <c r="M76" s="2"/>
      <c r="N76" s="5">
        <f t="shared" si="15"/>
        <v>15.734251637829667</v>
      </c>
      <c r="O76" s="11"/>
      <c r="P76" s="2">
        <f>SUM(OSRRefP22_14x_0)</f>
        <v>17619.78</v>
      </c>
      <c r="Q76" s="2"/>
      <c r="R76" s="5">
        <f t="shared" si="16"/>
        <v>3.4314271549943196E-2</v>
      </c>
      <c r="S76" s="2"/>
      <c r="T76" s="2">
        <f>SUM(OSRRefT22_14x_0)</f>
        <v>3353.11</v>
      </c>
      <c r="U76" s="2"/>
      <c r="V76" s="5">
        <f t="shared" si="17"/>
        <v>1.1518875151581776</v>
      </c>
      <c r="W76" s="2"/>
      <c r="X76" s="2">
        <f t="shared" si="18"/>
        <v>14266.669999999998</v>
      </c>
      <c r="Y76" s="2"/>
      <c r="Z76" s="5">
        <f t="shared" si="19"/>
        <v>4.2547575236124073</v>
      </c>
    </row>
    <row r="77" spans="1:26" s="69" customFormat="1" ht="15" hidden="1" customHeight="1" outlineLevel="2" x14ac:dyDescent="0.3">
      <c r="A77" s="21"/>
      <c r="B77" s="9" t="str">
        <f>CONCATENATE("          ","6282"," - ","JANITORIAL/EXTERMINATOR EXPENS")</f>
        <v xml:space="preserve">          6282 - JANITORIAL/EXTERMINATOR EXPENS</v>
      </c>
      <c r="C77" s="9"/>
      <c r="D77" s="6">
        <v>666.55</v>
      </c>
      <c r="E77" s="3"/>
      <c r="F77" s="7">
        <f t="shared" si="12"/>
        <v>4.295151772124655E-2</v>
      </c>
      <c r="G77" s="3"/>
      <c r="H77" s="6">
        <v>488.65</v>
      </c>
      <c r="I77" s="3"/>
      <c r="J77" s="7">
        <f t="shared" si="13"/>
        <v>14.350954478707783</v>
      </c>
      <c r="K77" s="3"/>
      <c r="L77" s="6">
        <f t="shared" si="14"/>
        <v>177.89999999999998</v>
      </c>
      <c r="M77" s="3"/>
      <c r="N77" s="7">
        <f t="shared" si="15"/>
        <v>0.36406425867185099</v>
      </c>
      <c r="O77" s="9"/>
      <c r="P77" s="6">
        <v>4418.75</v>
      </c>
      <c r="Q77" s="3"/>
      <c r="R77" s="7">
        <f t="shared" si="16"/>
        <v>8.6054529291121392E-3</v>
      </c>
      <c r="S77" s="3"/>
      <c r="T77" s="6">
        <v>2895.71</v>
      </c>
      <c r="U77" s="3"/>
      <c r="V77" s="7">
        <f t="shared" si="17"/>
        <v>0.99475776115865155</v>
      </c>
      <c r="W77" s="3"/>
      <c r="X77" s="6">
        <f t="shared" si="18"/>
        <v>1523.04</v>
      </c>
      <c r="Y77" s="3"/>
      <c r="Z77" s="7">
        <f t="shared" si="19"/>
        <v>0.52596427128407197</v>
      </c>
    </row>
    <row r="78" spans="1:26" s="69" customFormat="1" ht="15" hidden="1" customHeight="1" outlineLevel="2" x14ac:dyDescent="0.3">
      <c r="A78" s="21"/>
      <c r="B78" s="9" t="str">
        <f>CONCATENATE("          ","6284"," - ","TRASH REMOVAL EXPENSE")</f>
        <v xml:space="preserve">          6284 - TRASH REMOVAL EXPENSE</v>
      </c>
      <c r="C78" s="9"/>
      <c r="D78" s="6"/>
      <c r="E78" s="3"/>
      <c r="F78" s="7">
        <f t="shared" si="12"/>
        <v>0</v>
      </c>
      <c r="G78" s="3"/>
      <c r="H78" s="6">
        <v>-191</v>
      </c>
      <c r="I78" s="3"/>
      <c r="J78" s="7">
        <f t="shared" si="13"/>
        <v>-5.6093979441997064</v>
      </c>
      <c r="K78" s="3"/>
      <c r="L78" s="6">
        <f t="shared" si="14"/>
        <v>191</v>
      </c>
      <c r="M78" s="3"/>
      <c r="N78" s="7">
        <f t="shared" si="15"/>
        <v>-1</v>
      </c>
      <c r="O78" s="9"/>
      <c r="P78" s="6"/>
      <c r="Q78" s="3"/>
      <c r="R78" s="7">
        <f t="shared" si="16"/>
        <v>0</v>
      </c>
      <c r="S78" s="3"/>
      <c r="T78" s="6">
        <v>1262</v>
      </c>
      <c r="U78" s="3"/>
      <c r="V78" s="7">
        <f t="shared" si="17"/>
        <v>0.4335324651233094</v>
      </c>
      <c r="W78" s="3"/>
      <c r="X78" s="6">
        <f t="shared" si="18"/>
        <v>-1262</v>
      </c>
      <c r="Y78" s="3"/>
      <c r="Z78" s="7">
        <f t="shared" si="19"/>
        <v>-1</v>
      </c>
    </row>
    <row r="79" spans="1:26" s="69" customFormat="1" ht="15" hidden="1" customHeight="1" outlineLevel="2" x14ac:dyDescent="0.3">
      <c r="A79" s="21"/>
      <c r="B79" s="9" t="str">
        <f>CONCATENATE("          ","6285"," - ","JANITORIAL SERVICES")</f>
        <v xml:space="preserve">          6285 - JANITORIAL SERVICES</v>
      </c>
      <c r="C79" s="9"/>
      <c r="D79" s="6">
        <v>4210.9399999999996</v>
      </c>
      <c r="E79" s="3"/>
      <c r="F79" s="7">
        <f t="shared" si="12"/>
        <v>0.27134688175396587</v>
      </c>
      <c r="G79" s="3"/>
      <c r="H79" s="6"/>
      <c r="I79" s="3"/>
      <c r="J79" s="7">
        <f t="shared" si="13"/>
        <v>0</v>
      </c>
      <c r="K79" s="3"/>
      <c r="L79" s="6">
        <f t="shared" si="14"/>
        <v>4210.9399999999996</v>
      </c>
      <c r="M79" s="3"/>
      <c r="N79" s="7">
        <f t="shared" si="15"/>
        <v>0</v>
      </c>
      <c r="O79" s="9"/>
      <c r="P79" s="6">
        <v>11949.78</v>
      </c>
      <c r="Q79" s="3"/>
      <c r="R79" s="7">
        <f t="shared" si="16"/>
        <v>2.3272026999320097E-2</v>
      </c>
      <c r="S79" s="3"/>
      <c r="T79" s="6">
        <v>-804.6</v>
      </c>
      <c r="U79" s="3"/>
      <c r="V79" s="7">
        <f t="shared" si="17"/>
        <v>-0.27640271112378345</v>
      </c>
      <c r="W79" s="3"/>
      <c r="X79" s="6">
        <f t="shared" si="18"/>
        <v>12754.380000000001</v>
      </c>
      <c r="Y79" s="3"/>
      <c r="Z79" s="7">
        <f t="shared" si="19"/>
        <v>-15.851826994780016</v>
      </c>
    </row>
    <row r="80" spans="1:26" s="69" customFormat="1" ht="15" hidden="1" customHeight="1" outlineLevel="2" x14ac:dyDescent="0.3">
      <c r="A80" s="21"/>
      <c r="B80" s="9" t="str">
        <f>CONCATENATE("          ","6286"," - ","LAUNDRY EXPENSE")</f>
        <v xml:space="preserve">          6286 - LAUNDRY EXPENSE</v>
      </c>
      <c r="C80" s="9"/>
      <c r="D80" s="6">
        <v>103.46</v>
      </c>
      <c r="E80" s="3"/>
      <c r="F80" s="7">
        <f t="shared" si="12"/>
        <v>6.6668127273875446E-3</v>
      </c>
      <c r="G80" s="3"/>
      <c r="H80" s="6"/>
      <c r="I80" s="3"/>
      <c r="J80" s="7">
        <f t="shared" si="13"/>
        <v>0</v>
      </c>
      <c r="K80" s="3"/>
      <c r="L80" s="6">
        <f t="shared" si="14"/>
        <v>103.46</v>
      </c>
      <c r="M80" s="3"/>
      <c r="N80" s="7">
        <f t="shared" si="15"/>
        <v>0</v>
      </c>
      <c r="O80" s="9"/>
      <c r="P80" s="6">
        <v>1251.25</v>
      </c>
      <c r="Q80" s="3"/>
      <c r="R80" s="7">
        <f t="shared" si="16"/>
        <v>2.4367916215109623E-3</v>
      </c>
      <c r="S80" s="3"/>
      <c r="T80" s="6"/>
      <c r="U80" s="3"/>
      <c r="V80" s="7">
        <f t="shared" si="17"/>
        <v>0</v>
      </c>
      <c r="W80" s="3"/>
      <c r="X80" s="6">
        <f t="shared" si="18"/>
        <v>1251.25</v>
      </c>
      <c r="Y80" s="3"/>
      <c r="Z80" s="7">
        <f t="shared" si="19"/>
        <v>0</v>
      </c>
    </row>
    <row r="81" spans="1:26" s="68" customFormat="1" ht="15" customHeight="1" outlineLevel="1" collapsed="1" x14ac:dyDescent="0.3">
      <c r="A81" s="20"/>
      <c r="B81" s="11" t="str">
        <f>CONCATENATE("     ","Supplies                                          ")</f>
        <v xml:space="preserve">     Supplies                                          </v>
      </c>
      <c r="C81" s="11"/>
      <c r="D81" s="2">
        <f>SUM(OSRRefD22_15x_0)</f>
        <v>206.14</v>
      </c>
      <c r="E81" s="2"/>
      <c r="F81" s="5">
        <f t="shared" si="12"/>
        <v>1.3283363383178702E-2</v>
      </c>
      <c r="G81" s="2"/>
      <c r="H81" s="2">
        <f>SUM(OSRRefH22_15x_0)</f>
        <v>6.79</v>
      </c>
      <c r="I81" s="2"/>
      <c r="J81" s="5">
        <f t="shared" si="13"/>
        <v>0.19941262848751837</v>
      </c>
      <c r="K81" s="2"/>
      <c r="L81" s="2">
        <f t="shared" si="14"/>
        <v>199.35</v>
      </c>
      <c r="M81" s="2"/>
      <c r="N81" s="5">
        <f t="shared" si="15"/>
        <v>29.359351988217966</v>
      </c>
      <c r="O81" s="11"/>
      <c r="P81" s="2">
        <f>SUM(OSRRefP22_15x_0)</f>
        <v>6697.24</v>
      </c>
      <c r="Q81" s="2"/>
      <c r="R81" s="5">
        <f t="shared" si="16"/>
        <v>1.3042779875522938E-2</v>
      </c>
      <c r="S81" s="2"/>
      <c r="T81" s="2">
        <f>SUM(OSRRefT22_15x_0)</f>
        <v>1100.8800000000001</v>
      </c>
      <c r="U81" s="2"/>
      <c r="V81" s="5">
        <f t="shared" si="17"/>
        <v>0.37818321727808946</v>
      </c>
      <c r="W81" s="2"/>
      <c r="X81" s="2">
        <f t="shared" si="18"/>
        <v>5596.36</v>
      </c>
      <c r="Y81" s="2"/>
      <c r="Z81" s="5">
        <f t="shared" si="19"/>
        <v>5.0835331734612303</v>
      </c>
    </row>
    <row r="82" spans="1:26" s="69" customFormat="1" ht="15" hidden="1" customHeight="1" outlineLevel="2" x14ac:dyDescent="0.3">
      <c r="A82" s="21"/>
      <c r="B82" s="9" t="str">
        <f>CONCATENATE("          ","6234"," - ","EXPENDABLE SUPPLIES &amp; EQUIPMEN")</f>
        <v xml:space="preserve">          6234 - EXPENDABLE SUPPLIES &amp; EQUIPMEN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>
        <v>1194.8900000000001</v>
      </c>
      <c r="Q82" s="3"/>
      <c r="R82" s="7">
        <f t="shared" si="16"/>
        <v>2.3270313211806067E-3</v>
      </c>
      <c r="S82" s="3"/>
      <c r="T82" s="6">
        <v>316.67</v>
      </c>
      <c r="U82" s="3"/>
      <c r="V82" s="7">
        <f t="shared" si="17"/>
        <v>0.10878504416053755</v>
      </c>
      <c r="W82" s="3"/>
      <c r="X82" s="6">
        <f t="shared" si="18"/>
        <v>878.22</v>
      </c>
      <c r="Y82" s="3"/>
      <c r="Z82" s="7">
        <f t="shared" si="19"/>
        <v>2.7732971231881769</v>
      </c>
    </row>
    <row r="83" spans="1:26" s="69" customFormat="1" ht="15" hidden="1" customHeight="1" outlineLevel="2" x14ac:dyDescent="0.3">
      <c r="A83" s="21"/>
      <c r="B83" s="9" t="str">
        <f>CONCATENATE("          ","6235"," - ","COVID-19 EXPENSES")</f>
        <v xml:space="preserve">          6235 - COVID-19 EXPENSES</v>
      </c>
      <c r="C83" s="9"/>
      <c r="D83" s="6"/>
      <c r="E83" s="3"/>
      <c r="F83" s="7">
        <f t="shared" si="12"/>
        <v>0</v>
      </c>
      <c r="G83" s="3"/>
      <c r="H83" s="6"/>
      <c r="I83" s="3"/>
      <c r="J83" s="7">
        <f t="shared" si="13"/>
        <v>0</v>
      </c>
      <c r="K83" s="3"/>
      <c r="L83" s="6">
        <f t="shared" si="14"/>
        <v>0</v>
      </c>
      <c r="M83" s="3"/>
      <c r="N83" s="7">
        <f t="shared" si="15"/>
        <v>0</v>
      </c>
      <c r="O83" s="9"/>
      <c r="P83" s="6">
        <v>71.45</v>
      </c>
      <c r="Q83" s="3"/>
      <c r="R83" s="7">
        <f t="shared" si="16"/>
        <v>1.3914786122434228E-4</v>
      </c>
      <c r="S83" s="3"/>
      <c r="T83" s="6">
        <v>207.27</v>
      </c>
      <c r="U83" s="3"/>
      <c r="V83" s="7">
        <f t="shared" si="17"/>
        <v>7.120306976712229E-2</v>
      </c>
      <c r="W83" s="3"/>
      <c r="X83" s="6">
        <f t="shared" si="18"/>
        <v>-135.82</v>
      </c>
      <c r="Y83" s="3"/>
      <c r="Z83" s="7">
        <f t="shared" si="19"/>
        <v>-0.65528055193708679</v>
      </c>
    </row>
    <row r="84" spans="1:26" s="69" customFormat="1" ht="15" hidden="1" customHeight="1" outlineLevel="2" x14ac:dyDescent="0.3">
      <c r="A84" s="21"/>
      <c r="B84" s="9" t="str">
        <f>CONCATENATE("          ","6237"," - ","JANITORIAL SUPPLIES")</f>
        <v xml:space="preserve">          6237 - JANITORIAL SUPPLIES</v>
      </c>
      <c r="C84" s="9"/>
      <c r="D84" s="6">
        <v>156.44</v>
      </c>
      <c r="E84" s="3"/>
      <c r="F84" s="7">
        <f t="shared" si="12"/>
        <v>1.0080767282742195E-2</v>
      </c>
      <c r="G84" s="3"/>
      <c r="H84" s="6"/>
      <c r="I84" s="3"/>
      <c r="J84" s="7">
        <f t="shared" si="13"/>
        <v>0</v>
      </c>
      <c r="K84" s="3"/>
      <c r="L84" s="6">
        <f t="shared" si="14"/>
        <v>156.44</v>
      </c>
      <c r="M84" s="3"/>
      <c r="N84" s="7">
        <f t="shared" si="15"/>
        <v>0</v>
      </c>
      <c r="O84" s="9"/>
      <c r="P84" s="6">
        <v>1291.51</v>
      </c>
      <c r="Q84" s="3"/>
      <c r="R84" s="7">
        <f t="shared" si="16"/>
        <v>2.5151974002778207E-3</v>
      </c>
      <c r="S84" s="3"/>
      <c r="T84" s="6">
        <v>317.57</v>
      </c>
      <c r="U84" s="3"/>
      <c r="V84" s="7">
        <f t="shared" si="17"/>
        <v>0.10909421945262231</v>
      </c>
      <c r="W84" s="3"/>
      <c r="X84" s="6">
        <f t="shared" si="18"/>
        <v>973.94</v>
      </c>
      <c r="Y84" s="3"/>
      <c r="Z84" s="7">
        <f t="shared" si="19"/>
        <v>3.0668514028403191</v>
      </c>
    </row>
    <row r="85" spans="1:26" s="69" customFormat="1" ht="15" hidden="1" customHeight="1" outlineLevel="2" x14ac:dyDescent="0.3">
      <c r="A85" s="21"/>
      <c r="B85" s="9" t="str">
        <f>CONCATENATE("          ","6241"," - ","OFFICE EXPENSE")</f>
        <v xml:space="preserve">          6241 - OFFICE EXPENSE</v>
      </c>
      <c r="C85" s="9"/>
      <c r="D85" s="6"/>
      <c r="E85" s="3"/>
      <c r="F85" s="7">
        <f t="shared" si="12"/>
        <v>0</v>
      </c>
      <c r="G85" s="3"/>
      <c r="H85" s="6">
        <v>6.79</v>
      </c>
      <c r="I85" s="3"/>
      <c r="J85" s="7">
        <f t="shared" si="13"/>
        <v>0.19941262848751837</v>
      </c>
      <c r="K85" s="3"/>
      <c r="L85" s="6">
        <f t="shared" si="14"/>
        <v>-6.79</v>
      </c>
      <c r="M85" s="3"/>
      <c r="N85" s="7">
        <f t="shared" si="15"/>
        <v>-1</v>
      </c>
      <c r="O85" s="9"/>
      <c r="P85" s="6">
        <v>476.56</v>
      </c>
      <c r="Q85" s="3"/>
      <c r="R85" s="7">
        <f t="shared" si="16"/>
        <v>9.2809383827953179E-4</v>
      </c>
      <c r="S85" s="3"/>
      <c r="T85" s="6">
        <v>138.09</v>
      </c>
      <c r="U85" s="3"/>
      <c r="V85" s="7">
        <f t="shared" si="17"/>
        <v>4.743779564887305E-2</v>
      </c>
      <c r="W85" s="3"/>
      <c r="X85" s="6">
        <f t="shared" si="18"/>
        <v>338.47</v>
      </c>
      <c r="Y85" s="3"/>
      <c r="Z85" s="7">
        <f t="shared" si="19"/>
        <v>2.4510826272720689</v>
      </c>
    </row>
    <row r="86" spans="1:26" s="69" customFormat="1" ht="15" hidden="1" customHeight="1" outlineLevel="2" x14ac:dyDescent="0.3">
      <c r="A86" s="21"/>
      <c r="B86" s="9" t="str">
        <f>CONCATENATE("          ","6243"," - ","PAPER SUPPLIES")</f>
        <v xml:space="preserve">          6243 - PAPER SUPPLIES</v>
      </c>
      <c r="C86" s="9"/>
      <c r="D86" s="6"/>
      <c r="E86" s="3"/>
      <c r="F86" s="7">
        <f t="shared" si="12"/>
        <v>0</v>
      </c>
      <c r="G86" s="3"/>
      <c r="H86" s="6"/>
      <c r="I86" s="3"/>
      <c r="J86" s="7">
        <f t="shared" si="13"/>
        <v>0</v>
      </c>
      <c r="K86" s="3"/>
      <c r="L86" s="6">
        <f t="shared" si="14"/>
        <v>0</v>
      </c>
      <c r="M86" s="3"/>
      <c r="N86" s="7">
        <f t="shared" si="15"/>
        <v>0</v>
      </c>
      <c r="O86" s="9"/>
      <c r="P86" s="6">
        <v>721.5</v>
      </c>
      <c r="Q86" s="3"/>
      <c r="R86" s="7">
        <f t="shared" si="16"/>
        <v>1.4051110129232043E-3</v>
      </c>
      <c r="S86" s="3"/>
      <c r="T86" s="6"/>
      <c r="U86" s="3"/>
      <c r="V86" s="7">
        <f t="shared" si="17"/>
        <v>0</v>
      </c>
      <c r="W86" s="3"/>
      <c r="X86" s="6">
        <f t="shared" si="18"/>
        <v>721.5</v>
      </c>
      <c r="Y86" s="3"/>
      <c r="Z86" s="7">
        <f t="shared" si="19"/>
        <v>0</v>
      </c>
    </row>
    <row r="87" spans="1:26" s="69" customFormat="1" ht="15" hidden="1" customHeight="1" outlineLevel="2" x14ac:dyDescent="0.3">
      <c r="A87" s="21"/>
      <c r="B87" s="9" t="str">
        <f>CONCATENATE("          ","6247"," - ","STORE SUPPLIES")</f>
        <v xml:space="preserve">          6247 - STORE SUPPLIES</v>
      </c>
      <c r="C87" s="9"/>
      <c r="D87" s="6">
        <v>49.7</v>
      </c>
      <c r="E87" s="3"/>
      <c r="F87" s="7">
        <f t="shared" si="12"/>
        <v>3.202596100436507E-3</v>
      </c>
      <c r="G87" s="3"/>
      <c r="H87" s="6"/>
      <c r="I87" s="3"/>
      <c r="J87" s="7">
        <f t="shared" si="13"/>
        <v>0</v>
      </c>
      <c r="K87" s="3"/>
      <c r="L87" s="6">
        <f t="shared" si="14"/>
        <v>49.7</v>
      </c>
      <c r="M87" s="3"/>
      <c r="N87" s="7">
        <f t="shared" si="15"/>
        <v>0</v>
      </c>
      <c r="O87" s="9"/>
      <c r="P87" s="6">
        <v>2941.33</v>
      </c>
      <c r="Q87" s="3"/>
      <c r="R87" s="7">
        <f t="shared" si="16"/>
        <v>5.7281984416374335E-3</v>
      </c>
      <c r="S87" s="3"/>
      <c r="T87" s="6">
        <v>121.28</v>
      </c>
      <c r="U87" s="3"/>
      <c r="V87" s="7">
        <f t="shared" si="17"/>
        <v>4.1663088248934201E-2</v>
      </c>
      <c r="W87" s="3"/>
      <c r="X87" s="6">
        <f t="shared" si="18"/>
        <v>2820.0499999999997</v>
      </c>
      <c r="Y87" s="3"/>
      <c r="Z87" s="7">
        <f t="shared" si="19"/>
        <v>23.252391160949866</v>
      </c>
    </row>
    <row r="88" spans="1:26" s="68" customFormat="1" ht="15" customHeight="1" outlineLevel="1" collapsed="1" x14ac:dyDescent="0.3">
      <c r="A88" s="20"/>
      <c r="B88" s="11" t="str">
        <f>CONCATENATE("     ","Telephone/Data Lines                              ")</f>
        <v xml:space="preserve">     Telephone/Data Lines                              </v>
      </c>
      <c r="C88" s="11"/>
      <c r="D88" s="2">
        <f>SUM(OSRRefD22_16x_0)</f>
        <v>103.5</v>
      </c>
      <c r="E88" s="2"/>
      <c r="F88" s="5">
        <f t="shared" si="12"/>
        <v>6.669390269520693E-3</v>
      </c>
      <c r="G88" s="2"/>
      <c r="H88" s="2">
        <f>SUM(OSRRefH22_16x_0)</f>
        <v>175.55</v>
      </c>
      <c r="I88" s="2"/>
      <c r="J88" s="5">
        <f t="shared" si="13"/>
        <v>5.1556534508076366</v>
      </c>
      <c r="K88" s="2"/>
      <c r="L88" s="2">
        <f t="shared" si="14"/>
        <v>-72.050000000000011</v>
      </c>
      <c r="M88" s="2"/>
      <c r="N88" s="5">
        <f t="shared" si="15"/>
        <v>-0.41042438051837088</v>
      </c>
      <c r="O88" s="11"/>
      <c r="P88" s="2">
        <f>SUM(OSRRefP22_16x_0)</f>
        <v>2003.5</v>
      </c>
      <c r="Q88" s="2"/>
      <c r="R88" s="5">
        <f t="shared" si="16"/>
        <v>3.9017878231346358E-3</v>
      </c>
      <c r="S88" s="2"/>
      <c r="T88" s="2">
        <f>SUM(OSRRefT22_16x_0)</f>
        <v>3730.64</v>
      </c>
      <c r="U88" s="2"/>
      <c r="V88" s="5">
        <f t="shared" si="17"/>
        <v>1.2815796796256915</v>
      </c>
      <c r="W88" s="2"/>
      <c r="X88" s="2">
        <f t="shared" si="18"/>
        <v>-1727.1399999999999</v>
      </c>
      <c r="Y88" s="2"/>
      <c r="Z88" s="5">
        <f t="shared" si="19"/>
        <v>-0.46296077884759718</v>
      </c>
    </row>
    <row r="89" spans="1:26" s="69" customFormat="1" ht="15" hidden="1" customHeight="1" outlineLevel="2" x14ac:dyDescent="0.3">
      <c r="A89" s="21"/>
      <c r="B89" s="9" t="str">
        <f>CONCATENATE("          ","6309"," - ","TELEPHONE")</f>
        <v xml:space="preserve">          6309 - TELEPHONE</v>
      </c>
      <c r="C89" s="9"/>
      <c r="D89" s="6">
        <v>103.5</v>
      </c>
      <c r="E89" s="3"/>
      <c r="F89" s="7">
        <f t="shared" si="12"/>
        <v>6.669390269520693E-3</v>
      </c>
      <c r="G89" s="3"/>
      <c r="H89" s="6">
        <v>175.55</v>
      </c>
      <c r="I89" s="3"/>
      <c r="J89" s="7">
        <f t="shared" si="13"/>
        <v>5.1556534508076366</v>
      </c>
      <c r="K89" s="3"/>
      <c r="L89" s="6">
        <f t="shared" si="14"/>
        <v>-72.050000000000011</v>
      </c>
      <c r="M89" s="3"/>
      <c r="N89" s="7">
        <f t="shared" si="15"/>
        <v>-0.41042438051837088</v>
      </c>
      <c r="O89" s="9"/>
      <c r="P89" s="6">
        <v>2003.5</v>
      </c>
      <c r="Q89" s="3"/>
      <c r="R89" s="7">
        <f t="shared" si="16"/>
        <v>3.9017878231346358E-3</v>
      </c>
      <c r="S89" s="3"/>
      <c r="T89" s="6">
        <v>3730.64</v>
      </c>
      <c r="U89" s="3"/>
      <c r="V89" s="7">
        <f t="shared" si="17"/>
        <v>1.2815796796256915</v>
      </c>
      <c r="W89" s="3"/>
      <c r="X89" s="6">
        <f t="shared" si="18"/>
        <v>-1727.1399999999999</v>
      </c>
      <c r="Y89" s="3"/>
      <c r="Z89" s="7">
        <f t="shared" si="19"/>
        <v>-0.46296077884759718</v>
      </c>
    </row>
    <row r="90" spans="1:26" s="68" customFormat="1" ht="15" customHeight="1" outlineLevel="1" collapsed="1" x14ac:dyDescent="0.3">
      <c r="A90" s="20"/>
      <c r="B90" s="11" t="str">
        <f>CONCATENATE("     ","Training                                          ")</f>
        <v xml:space="preserve">     Training                                          </v>
      </c>
      <c r="C90" s="11"/>
      <c r="D90" s="2">
        <f>SUM(OSRRefD22_17x_0)</f>
        <v>0</v>
      </c>
      <c r="E90" s="2"/>
      <c r="F90" s="5">
        <f t="shared" si="12"/>
        <v>0</v>
      </c>
      <c r="G90" s="2"/>
      <c r="H90" s="2">
        <f>SUM(OSRRefH22_17x_0)</f>
        <v>0</v>
      </c>
      <c r="I90" s="2"/>
      <c r="J90" s="5">
        <f t="shared" si="13"/>
        <v>0</v>
      </c>
      <c r="K90" s="2"/>
      <c r="L90" s="2">
        <f t="shared" si="14"/>
        <v>0</v>
      </c>
      <c r="M90" s="2"/>
      <c r="N90" s="5">
        <f t="shared" si="15"/>
        <v>0</v>
      </c>
      <c r="O90" s="11"/>
      <c r="P90" s="2">
        <f>SUM(OSRRefP22_17x_0)</f>
        <v>320</v>
      </c>
      <c r="Q90" s="2"/>
      <c r="R90" s="5">
        <f t="shared" si="16"/>
        <v>6.231954596471592E-4</v>
      </c>
      <c r="S90" s="2"/>
      <c r="T90" s="2">
        <f>SUM(OSRRefT22_17x_0)</f>
        <v>0</v>
      </c>
      <c r="U90" s="2"/>
      <c r="V90" s="5">
        <f t="shared" si="17"/>
        <v>0</v>
      </c>
      <c r="W90" s="2"/>
      <c r="X90" s="2">
        <f t="shared" si="18"/>
        <v>320</v>
      </c>
      <c r="Y90" s="2"/>
      <c r="Z90" s="5">
        <f t="shared" si="19"/>
        <v>0</v>
      </c>
    </row>
    <row r="91" spans="1:26" s="69" customFormat="1" ht="15" hidden="1" customHeight="1" outlineLevel="2" x14ac:dyDescent="0.3">
      <c r="A91" s="21"/>
      <c r="B91" s="9" t="str">
        <f>CONCATENATE("          ","6376"," - ","TRAINING")</f>
        <v xml:space="preserve">          6376 - TRAINING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320</v>
      </c>
      <c r="Q91" s="3"/>
      <c r="R91" s="7">
        <f t="shared" si="16"/>
        <v>6.231954596471592E-4</v>
      </c>
      <c r="S91" s="3"/>
      <c r="T91" s="6"/>
      <c r="U91" s="3"/>
      <c r="V91" s="7">
        <f t="shared" si="17"/>
        <v>0</v>
      </c>
      <c r="W91" s="3"/>
      <c r="X91" s="6">
        <f t="shared" si="18"/>
        <v>320</v>
      </c>
      <c r="Y91" s="3"/>
      <c r="Z91" s="7">
        <f t="shared" si="19"/>
        <v>0</v>
      </c>
    </row>
    <row r="92" spans="1:26" s="68" customFormat="1" ht="15" customHeight="1" outlineLevel="1" collapsed="1" x14ac:dyDescent="0.3">
      <c r="A92" s="20"/>
      <c r="B92" s="11" t="str">
        <f>CONCATENATE("     ","Utilities                                         ")</f>
        <v xml:space="preserve">     Utilities                                         </v>
      </c>
      <c r="C92" s="11"/>
      <c r="D92" s="2">
        <f>SUM(OSRRefD22_18x_0)</f>
        <v>-584.51</v>
      </c>
      <c r="E92" s="2"/>
      <c r="F92" s="5">
        <f t="shared" si="12"/>
        <v>-3.7664978806159807E-2</v>
      </c>
      <c r="G92" s="2"/>
      <c r="H92" s="2">
        <f>SUM(OSRRefH22_18x_0)</f>
        <v>-815</v>
      </c>
      <c r="I92" s="2"/>
      <c r="J92" s="5">
        <f t="shared" si="13"/>
        <v>-23.935389133627019</v>
      </c>
      <c r="K92" s="2"/>
      <c r="L92" s="2">
        <f t="shared" si="14"/>
        <v>230.49</v>
      </c>
      <c r="M92" s="2"/>
      <c r="N92" s="5">
        <f t="shared" si="15"/>
        <v>-0.28280981595092025</v>
      </c>
      <c r="O92" s="11"/>
      <c r="P92" s="2">
        <f>SUM(OSRRefP22_18x_0)</f>
        <v>658.47</v>
      </c>
      <c r="Q92" s="2"/>
      <c r="R92" s="5">
        <f t="shared" si="16"/>
        <v>1.2823609822308279E-3</v>
      </c>
      <c r="S92" s="2"/>
      <c r="T92" s="2">
        <f>SUM(OSRRefT22_18x_0)</f>
        <v>6105</v>
      </c>
      <c r="U92" s="2"/>
      <c r="V92" s="5">
        <f t="shared" si="17"/>
        <v>2.0972390646416827</v>
      </c>
      <c r="W92" s="2"/>
      <c r="X92" s="2">
        <f t="shared" si="18"/>
        <v>-5446.53</v>
      </c>
      <c r="Y92" s="2"/>
      <c r="Z92" s="5">
        <f t="shared" si="19"/>
        <v>-0.89214250614250612</v>
      </c>
    </row>
    <row r="93" spans="1:26" s="69" customFormat="1" ht="15" hidden="1" customHeight="1" outlineLevel="2" x14ac:dyDescent="0.3">
      <c r="A93" s="21"/>
      <c r="B93" s="9" t="str">
        <f>CONCATENATE("          ","6274"," - ","UTILITIES")</f>
        <v xml:space="preserve">          6274 - UTILITIES</v>
      </c>
      <c r="C93" s="9"/>
      <c r="D93" s="6">
        <v>-584.51</v>
      </c>
      <c r="E93" s="3"/>
      <c r="F93" s="7">
        <f t="shared" si="12"/>
        <v>-3.7664978806159807E-2</v>
      </c>
      <c r="G93" s="3"/>
      <c r="H93" s="6">
        <v>-815</v>
      </c>
      <c r="I93" s="3"/>
      <c r="J93" s="7">
        <f t="shared" si="13"/>
        <v>-23.935389133627019</v>
      </c>
      <c r="K93" s="3"/>
      <c r="L93" s="6">
        <f t="shared" si="14"/>
        <v>230.49</v>
      </c>
      <c r="M93" s="3"/>
      <c r="N93" s="7">
        <f t="shared" si="15"/>
        <v>-0.28280981595092025</v>
      </c>
      <c r="O93" s="9"/>
      <c r="P93" s="6">
        <v>658.47</v>
      </c>
      <c r="Q93" s="3"/>
      <c r="R93" s="7">
        <f t="shared" si="16"/>
        <v>1.2823609822308279E-3</v>
      </c>
      <c r="S93" s="3"/>
      <c r="T93" s="6">
        <v>6105</v>
      </c>
      <c r="U93" s="3"/>
      <c r="V93" s="7">
        <f t="shared" si="17"/>
        <v>2.0972390646416827</v>
      </c>
      <c r="W93" s="3"/>
      <c r="X93" s="6">
        <f t="shared" si="18"/>
        <v>-5446.53</v>
      </c>
      <c r="Y93" s="3"/>
      <c r="Z93" s="7">
        <f t="shared" si="19"/>
        <v>-0.89214250614250612</v>
      </c>
    </row>
    <row r="94" spans="1:26" s="64" customFormat="1" ht="15" customHeight="1" x14ac:dyDescent="0.3">
      <c r="A94" s="37"/>
      <c r="B94" s="37"/>
      <c r="C94" s="37"/>
      <c r="D94" s="2"/>
      <c r="E94" s="2"/>
      <c r="F94" s="5"/>
      <c r="G94" s="2"/>
      <c r="H94" s="2"/>
      <c r="I94" s="2"/>
      <c r="J94" s="5"/>
      <c r="K94" s="2"/>
      <c r="L94" s="2"/>
      <c r="M94" s="2"/>
      <c r="N94" s="5"/>
      <c r="O94" s="37"/>
      <c r="P94" s="2"/>
      <c r="Q94" s="2"/>
      <c r="R94" s="5"/>
      <c r="S94" s="2"/>
      <c r="T94" s="2"/>
      <c r="U94" s="2"/>
      <c r="V94" s="5"/>
      <c r="W94" s="2"/>
      <c r="X94" s="2"/>
      <c r="Y94" s="2"/>
      <c r="Z94" s="5"/>
    </row>
    <row r="95" spans="1:26" s="62" customFormat="1" ht="15" customHeight="1" x14ac:dyDescent="0.3">
      <c r="A95" s="13"/>
      <c r="B95" s="27" t="s">
        <v>290</v>
      </c>
      <c r="C95" s="13"/>
      <c r="D95" s="8">
        <f>SUM(0)</f>
        <v>0</v>
      </c>
      <c r="E95" s="8"/>
      <c r="F95" s="14">
        <f>IF(D$12=0,0,D95/D$12)</f>
        <v>0</v>
      </c>
      <c r="G95" s="8"/>
      <c r="H95" s="8">
        <f>SUM(0)</f>
        <v>0</v>
      </c>
      <c r="I95" s="8"/>
      <c r="J95" s="14">
        <f>IF(H$12=0,0,H95/H$12)</f>
        <v>0</v>
      </c>
      <c r="K95" s="8"/>
      <c r="L95" s="8">
        <f>+D95-H95</f>
        <v>0</v>
      </c>
      <c r="M95" s="8"/>
      <c r="N95" s="14">
        <f>IF(H95=0,0,L95/H95)</f>
        <v>0</v>
      </c>
      <c r="O95" s="13"/>
      <c r="P95" s="8">
        <f>SUM(0)</f>
        <v>0</v>
      </c>
      <c r="Q95" s="8"/>
      <c r="R95" s="14">
        <f>IF(P$12=0,0,P95/P$12)</f>
        <v>0</v>
      </c>
      <c r="S95" s="8"/>
      <c r="T95" s="8">
        <f>SUM(0)</f>
        <v>0</v>
      </c>
      <c r="U95" s="8"/>
      <c r="V95" s="14">
        <f>IF(T$12=0,0,T95/T$12)</f>
        <v>0</v>
      </c>
      <c r="W95" s="8"/>
      <c r="X95" s="8">
        <f>+P95-T95</f>
        <v>0</v>
      </c>
      <c r="Y95" s="8"/>
      <c r="Z95" s="14">
        <f>IF(T95=0,0,X95/T95)</f>
        <v>0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2" customFormat="1" ht="15" customHeight="1" x14ac:dyDescent="0.3">
      <c r="A97" s="13"/>
      <c r="B97" s="28" t="s">
        <v>291</v>
      </c>
      <c r="C97" s="28"/>
      <c r="D97" s="22">
        <f>+D30-D32+D95</f>
        <v>-42905.969999999987</v>
      </c>
      <c r="E97" s="15"/>
      <c r="F97" s="24">
        <f>IF(D$12=0,0,D97/D$12)</f>
        <v>-2.7647986359647021</v>
      </c>
      <c r="G97" s="15"/>
      <c r="H97" s="22">
        <f>+H30-H32+H95</f>
        <v>-11409.43</v>
      </c>
      <c r="I97" s="15"/>
      <c r="J97" s="24">
        <f>IF(H$12=0,0,H97/H$12)</f>
        <v>-335.07870778267255</v>
      </c>
      <c r="K97" s="17"/>
      <c r="L97" s="22">
        <f>+D97-H97</f>
        <v>-31496.539999999986</v>
      </c>
      <c r="M97" s="17"/>
      <c r="N97" s="24">
        <f>IF(H97=0,0,L97/H97)</f>
        <v>2.7605708611210189</v>
      </c>
      <c r="O97" s="27"/>
      <c r="P97" s="22">
        <f>+P30-P32+P95</f>
        <v>-141792.66000000015</v>
      </c>
      <c r="Q97" s="15"/>
      <c r="R97" s="24">
        <f>IF(P$12=0,0,P97/P$12)</f>
        <v>-0.27613919351029204</v>
      </c>
      <c r="S97" s="15"/>
      <c r="T97" s="22">
        <f>+T30-T32+T95</f>
        <v>-284951.78000000003</v>
      </c>
      <c r="U97" s="15"/>
      <c r="V97" s="24">
        <f>IF(T$12=0,0,T97/T$12)</f>
        <v>-97.888944235083159</v>
      </c>
      <c r="W97" s="17"/>
      <c r="X97" s="22">
        <f>+P97-T97</f>
        <v>143159.11999999988</v>
      </c>
      <c r="Y97" s="17"/>
      <c r="Z97" s="24">
        <f>IF(T97=0,0,X97/T97)</f>
        <v>-0.50239770392029093</v>
      </c>
    </row>
    <row r="98" spans="1:26" ht="15" customHeight="1" x14ac:dyDescent="0.3">
      <c r="A98" s="12"/>
      <c r="B98" s="13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2" customFormat="1" ht="15" customHeight="1" x14ac:dyDescent="0.3">
      <c r="A99" s="48"/>
      <c r="B99" s="13" t="s">
        <v>292</v>
      </c>
      <c r="C99" s="13"/>
      <c r="D99" s="8">
        <v>-115182.53</v>
      </c>
      <c r="E99" s="8"/>
      <c r="F99" s="14">
        <f>IF(D$12=0,0,D99/D$12)</f>
        <v>-7.4221956019398583</v>
      </c>
      <c r="G99" s="8"/>
      <c r="H99" s="8">
        <v>190.97</v>
      </c>
      <c r="I99" s="8"/>
      <c r="J99" s="14">
        <f>IF(H$12=0,0,H99/H$12)</f>
        <v>5.6085168869309845</v>
      </c>
      <c r="K99" s="8"/>
      <c r="L99" s="8">
        <f>+D99-H99</f>
        <v>-115373.5</v>
      </c>
      <c r="M99" s="8"/>
      <c r="N99" s="14">
        <f>IF(H99=0,0,L99/H99)</f>
        <v>-604.14463004660422</v>
      </c>
      <c r="O99" s="13"/>
      <c r="P99" s="8">
        <v>-59198.76</v>
      </c>
      <c r="Q99" s="8"/>
      <c r="R99" s="14">
        <f>IF(P$12=0,0,P99/P$12)</f>
        <v>-0.11528874515231832</v>
      </c>
      <c r="S99" s="8"/>
      <c r="T99" s="8">
        <v>805.74</v>
      </c>
      <c r="U99" s="8"/>
      <c r="V99" s="14">
        <f>IF(T$12=0,0,T99/T$12)</f>
        <v>0.27679433316042418</v>
      </c>
      <c r="W99" s="8"/>
      <c r="X99" s="8">
        <f>+P99-T99</f>
        <v>-60004.5</v>
      </c>
      <c r="Y99" s="8"/>
      <c r="Z99" s="14">
        <f>IF(T99=0,0,X99/T99)</f>
        <v>-74.471293469357363</v>
      </c>
    </row>
    <row r="100" spans="1:26" ht="15" customHeight="1" x14ac:dyDescent="0.3">
      <c r="A100" s="12"/>
      <c r="B100" s="13"/>
      <c r="C100" s="13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O100" s="13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2" customFormat="1" ht="15" customHeight="1" x14ac:dyDescent="0.3">
      <c r="A101" s="13"/>
      <c r="B101" s="28" t="s">
        <v>293</v>
      </c>
      <c r="C101" s="28"/>
      <c r="D101" s="29">
        <f>+D97-D99</f>
        <v>72276.560000000012</v>
      </c>
      <c r="E101" s="15"/>
      <c r="F101" s="31">
        <f>IF(D$12=0,0,D101/D$12)</f>
        <v>4.6573969659751562</v>
      </c>
      <c r="G101" s="15"/>
      <c r="H101" s="29">
        <f>+H97-H99</f>
        <v>-11600.4</v>
      </c>
      <c r="I101" s="15"/>
      <c r="J101" s="31">
        <f>IF(H$12=0,0,H101/H$12)</f>
        <v>-340.68722466960355</v>
      </c>
      <c r="K101" s="17"/>
      <c r="L101" s="29">
        <f>D101-H101</f>
        <v>83876.960000000006</v>
      </c>
      <c r="M101" s="17"/>
      <c r="N101" s="31">
        <f>IF(H101=0,0,L101/H101)</f>
        <v>-7.2305230854108489</v>
      </c>
      <c r="O101" s="27"/>
      <c r="P101" s="29">
        <f>+P97-P99</f>
        <v>-82593.90000000014</v>
      </c>
      <c r="Q101" s="15"/>
      <c r="R101" s="31">
        <f>IF(P$12=0,0,P101/P$12)</f>
        <v>-0.16085044835797371</v>
      </c>
      <c r="S101" s="15"/>
      <c r="T101" s="29">
        <f>+T97-T99</f>
        <v>-285757.52</v>
      </c>
      <c r="U101" s="15"/>
      <c r="V101" s="31">
        <f>IF(T$12=0,0,T101/T$12)</f>
        <v>-98.165738568243569</v>
      </c>
      <c r="W101" s="17"/>
      <c r="X101" s="29">
        <f>P101-T101</f>
        <v>203163.61999999988</v>
      </c>
      <c r="Y101" s="17"/>
      <c r="Z101" s="31">
        <f>IF(T101=0,0,X101/T101)</f>
        <v>-0.71096508676307058</v>
      </c>
    </row>
    <row r="102" spans="1:26" ht="15" customHeight="1" x14ac:dyDescent="0.3">
      <c r="A102" s="12"/>
      <c r="B102" s="12"/>
      <c r="C102" s="12"/>
      <c r="D102" s="4"/>
      <c r="E102" s="4"/>
      <c r="F102" s="10"/>
      <c r="G102" s="4"/>
      <c r="H102" s="4"/>
      <c r="I102" s="4"/>
      <c r="J102" s="10"/>
      <c r="K102" s="4"/>
      <c r="L102" s="4"/>
      <c r="M102" s="4"/>
      <c r="N102" s="10"/>
      <c r="P102" s="4"/>
      <c r="Q102" s="4"/>
      <c r="R102" s="10"/>
      <c r="S102" s="4"/>
      <c r="T102" s="4"/>
      <c r="U102" s="4"/>
      <c r="V102" s="10"/>
      <c r="W102" s="4"/>
      <c r="X102" s="4"/>
      <c r="Y102" s="4"/>
      <c r="Z102" s="10"/>
    </row>
    <row r="103" spans="1:26" ht="15" customHeight="1" x14ac:dyDescent="0.3">
      <c r="A103" s="12"/>
      <c r="B103" s="12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2" customFormat="1" ht="15" customHeight="1" x14ac:dyDescent="0.3">
      <c r="A104" s="13"/>
      <c r="B104" s="28" t="s">
        <v>296</v>
      </c>
      <c r="C104" s="28"/>
      <c r="D104" s="30">
        <f>SUM(D101:D103)</f>
        <v>72276.560000000012</v>
      </c>
      <c r="E104" s="15"/>
      <c r="F104" s="35">
        <f>IF(D$12=0,0,D104/D$12)</f>
        <v>4.6573969659751562</v>
      </c>
      <c r="G104" s="15"/>
      <c r="H104" s="30">
        <f>SUM(H101:H103)</f>
        <v>-11600.4</v>
      </c>
      <c r="I104" s="15"/>
      <c r="J104" s="35">
        <f>IF(H$12=0,0,H104/H$12)</f>
        <v>-340.68722466960355</v>
      </c>
      <c r="K104" s="17"/>
      <c r="L104" s="30">
        <f>+D104-H104</f>
        <v>83876.960000000006</v>
      </c>
      <c r="M104" s="17"/>
      <c r="N104" s="35">
        <f>IF(H104=0,0,L104/H104)</f>
        <v>-7.2305230854108489</v>
      </c>
      <c r="O104" s="27"/>
      <c r="P104" s="30">
        <f>SUM(P101:P103)</f>
        <v>-82593.90000000014</v>
      </c>
      <c r="Q104" s="15"/>
      <c r="R104" s="35">
        <f>IF(P$12=0,0,P104/P$12)</f>
        <v>-0.16085044835797371</v>
      </c>
      <c r="S104" s="15"/>
      <c r="T104" s="30">
        <f>SUM(T101:T103)</f>
        <v>-285757.52</v>
      </c>
      <c r="U104" s="15"/>
      <c r="V104" s="35">
        <f>IF(T$12=0,0,T104/T$12)</f>
        <v>-98.165738568243569</v>
      </c>
      <c r="W104" s="17"/>
      <c r="X104" s="30">
        <f>+P104-T104</f>
        <v>203163.61999999988</v>
      </c>
      <c r="Y104" s="17"/>
      <c r="Z104" s="35">
        <f>IF(T104=0,0,X104/T104)</f>
        <v>-0.71096508676307058</v>
      </c>
    </row>
    <row r="105" spans="1:26" ht="15" customHeight="1" x14ac:dyDescent="0.3">
      <c r="A105" s="12"/>
      <c r="C105" s="12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2"/>
      <c r="B106" s="54">
        <v>44767.815829895837</v>
      </c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A107" s="12"/>
      <c r="B107" s="53" t="s">
        <v>297</v>
      </c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2"/>
      <c r="B108" s="51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A04F4-B21B-0F07-1666-20E4DF9F9AD3}">
  <sheetPr>
    <tabColor rgb="FF92D050"/>
    <outlinePr summaryBelow="0" summaryRight="0"/>
  </sheetPr>
  <dimension ref="A2:Z6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","313"," - ","Convenience Store")</f>
        <v>Department 313 - Convenience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0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","4034"," - ","TAXABLE SALES-SODA")</f>
        <v xml:space="preserve">          4034 - TAXABLE SALES-SODA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0</f>
        <v>0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0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","4132"," - ","NON-TAXABLE SALES-JUICE")</f>
        <v xml:space="preserve">          4132 - NON-TAXABLE SALES-JUICE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0</f>
        <v>0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0</v>
      </c>
      <c r="Y14" s="3"/>
      <c r="Z14" s="26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","4134"," - ","NON-TAXABLE SALES-SODA")</f>
        <v xml:space="preserve">          4134 - NON-TAXABLE SALES-SODA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0</f>
        <v>0</v>
      </c>
      <c r="Q15" s="3"/>
      <c r="R15" s="26"/>
      <c r="S15" s="3"/>
      <c r="T15" s="3">
        <f>0</f>
        <v>0</v>
      </c>
      <c r="U15" s="3"/>
      <c r="V15" s="26"/>
      <c r="W15" s="3"/>
      <c r="X15" s="3">
        <f>+P15-T15</f>
        <v>0</v>
      </c>
      <c r="Y15" s="3"/>
      <c r="Z15" s="26">
        <f>IF(T15=0,0,X15/T15)</f>
        <v>0</v>
      </c>
    </row>
    <row r="16" spans="1:26" s="69" customFormat="1" ht="15" hidden="1" customHeight="1" outlineLevel="1" x14ac:dyDescent="0.3">
      <c r="A16" s="47"/>
      <c r="B16" s="9" t="str">
        <f>CONCATENATE("          ","4137"," - ","NON-TAXABLE SALES-WATER")</f>
        <v xml:space="preserve">          4137 - NON-TAXABLE SALES-WATER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0</f>
        <v>0</v>
      </c>
      <c r="Q16" s="3"/>
      <c r="R16" s="26"/>
      <c r="S16" s="3"/>
      <c r="T16" s="3">
        <f>0</f>
        <v>0</v>
      </c>
      <c r="U16" s="3"/>
      <c r="V16" s="26"/>
      <c r="W16" s="3"/>
      <c r="X16" s="3">
        <f>+P16-T16</f>
        <v>0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collapsed="1" x14ac:dyDescent="0.3">
      <c r="A18" s="13"/>
      <c r="B18" s="27" t="s">
        <v>287</v>
      </c>
      <c r="C18" s="13"/>
      <c r="D18" s="8">
        <f>SUM(OSRRefD16x_0)</f>
        <v>0</v>
      </c>
      <c r="E18" s="8"/>
      <c r="F18" s="14">
        <f>IF(D$12=0,0,D18/D$12)</f>
        <v>0</v>
      </c>
      <c r="G18" s="8"/>
      <c r="H18" s="8">
        <f>SUM(OSRRefH16x_0)</f>
        <v>108</v>
      </c>
      <c r="I18" s="8"/>
      <c r="J18" s="14">
        <f>IF(H$12=0,0,H18/H$12)</f>
        <v>0</v>
      </c>
      <c r="K18" s="8"/>
      <c r="L18" s="8">
        <f>+D18-H18</f>
        <v>-108</v>
      </c>
      <c r="M18" s="8"/>
      <c r="N18" s="14">
        <f>IF(H18=0,0,L18/H18)</f>
        <v>-1</v>
      </c>
      <c r="O18" s="13"/>
      <c r="P18" s="8">
        <f>SUM(OSRRefP16x_0)</f>
        <v>0</v>
      </c>
      <c r="Q18" s="8"/>
      <c r="R18" s="14">
        <f>IF(P$12=0,0,P18/P$12)</f>
        <v>0</v>
      </c>
      <c r="S18" s="8"/>
      <c r="T18" s="8">
        <f>SUM(OSRRefT16x_0)</f>
        <v>-505.59</v>
      </c>
      <c r="U18" s="8"/>
      <c r="V18" s="14">
        <f>IF(T$12=0,0,T18/T$12)</f>
        <v>0</v>
      </c>
      <c r="W18" s="8"/>
      <c r="X18" s="8">
        <f>+P18-T18</f>
        <v>505.59</v>
      </c>
      <c r="Y18" s="8"/>
      <c r="Z18" s="14">
        <f>IF(T18=0,0,X18/T18)</f>
        <v>-1</v>
      </c>
    </row>
    <row r="19" spans="1:26" s="69" customFormat="1" ht="15" hidden="1" customHeight="1" outlineLevel="1" x14ac:dyDescent="0.3">
      <c r="A19" s="47"/>
      <c r="B19" s="9" t="str">
        <f>CONCATENATE("          ","5053"," - ","PURCHASES @ COST-FOOD")</f>
        <v xml:space="preserve">          5053 - PURCHASES @ COST-FOOD</v>
      </c>
      <c r="C19" s="9"/>
      <c r="D19" s="3"/>
      <c r="E19" s="3"/>
      <c r="F19" s="26">
        <f>IF(D$12=0,0,D19/D$12)</f>
        <v>0</v>
      </c>
      <c r="G19" s="3"/>
      <c r="H19" s="3">
        <v>108</v>
      </c>
      <c r="I19" s="3"/>
      <c r="J19" s="26">
        <f>IF(H$12=0,0,H19/H$12)</f>
        <v>0</v>
      </c>
      <c r="K19" s="3"/>
      <c r="L19" s="3">
        <f>+D19-H19</f>
        <v>-108</v>
      </c>
      <c r="M19" s="3"/>
      <c r="N19" s="26">
        <f>IF(H19=0,0,L19/H19)</f>
        <v>-1</v>
      </c>
      <c r="O19" s="9"/>
      <c r="P19" s="3"/>
      <c r="Q19" s="3"/>
      <c r="R19" s="26">
        <f>IF(P$12=0,0,P19/P$12)</f>
        <v>0</v>
      </c>
      <c r="S19" s="3"/>
      <c r="T19" s="3">
        <v>-505.59</v>
      </c>
      <c r="U19" s="3"/>
      <c r="V19" s="26">
        <f>IF(T$12=0,0,T19/T$12)</f>
        <v>0</v>
      </c>
      <c r="W19" s="3"/>
      <c r="X19" s="3">
        <f>+P19-T19</f>
        <v>505.59</v>
      </c>
      <c r="Y19" s="3"/>
      <c r="Z19" s="26">
        <f>IF(T19=0,0,X19/T19)</f>
        <v>-1</v>
      </c>
    </row>
    <row r="20" spans="1:26" ht="15" customHeight="1" x14ac:dyDescent="0.3">
      <c r="A20" s="12"/>
      <c r="B20" s="13"/>
      <c r="C20" s="13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O20" s="13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2" customFormat="1" ht="15" customHeight="1" x14ac:dyDescent="0.3">
      <c r="A21" s="13"/>
      <c r="B21" s="28" t="s">
        <v>288</v>
      </c>
      <c r="C21" s="28"/>
      <c r="D21" s="22">
        <f>D12-D18</f>
        <v>0</v>
      </c>
      <c r="E21" s="15"/>
      <c r="F21" s="24">
        <f>IF(D$12=0,0,D21/D$12)</f>
        <v>0</v>
      </c>
      <c r="G21" s="15"/>
      <c r="H21" s="22">
        <f>H12-H18</f>
        <v>-108</v>
      </c>
      <c r="I21" s="15"/>
      <c r="J21" s="24">
        <f>IF(H$12=0,0,H21/H$12)</f>
        <v>0</v>
      </c>
      <c r="K21" s="17"/>
      <c r="L21" s="22">
        <f>+D21-H21</f>
        <v>108</v>
      </c>
      <c r="M21" s="17"/>
      <c r="N21" s="24">
        <f>IF(H21=0,0,L21/H21)</f>
        <v>-1</v>
      </c>
      <c r="O21" s="27"/>
      <c r="P21" s="22">
        <f>P12-P18</f>
        <v>0</v>
      </c>
      <c r="Q21" s="15"/>
      <c r="R21" s="24">
        <f>IF(P$12=0,0,P21/P$12)</f>
        <v>0</v>
      </c>
      <c r="S21" s="15"/>
      <c r="T21" s="22">
        <f>T12-T18</f>
        <v>505.59</v>
      </c>
      <c r="U21" s="15"/>
      <c r="V21" s="24">
        <f>IF(T$12=0,0,T21/T$12)</f>
        <v>0</v>
      </c>
      <c r="W21" s="17"/>
      <c r="X21" s="22">
        <f>+P21-T21</f>
        <v>-505.59</v>
      </c>
      <c r="Y21" s="17"/>
      <c r="Z21" s="24">
        <f>IF(T21=0,0,X21/T21)</f>
        <v>-1</v>
      </c>
    </row>
    <row r="22" spans="1:26" ht="15" customHeight="1" x14ac:dyDescent="0.3">
      <c r="A22" s="12"/>
      <c r="B22" s="13"/>
      <c r="C22" s="12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7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2" customFormat="1" ht="15" customHeight="1" x14ac:dyDescent="0.3">
      <c r="A23" s="13"/>
      <c r="B23" s="27" t="s">
        <v>289</v>
      </c>
      <c r="C23" s="13"/>
      <c r="D23" s="23" cm="1">
        <f t="array" ref="D23">SUM(OSRRefD22x_0)</f>
        <v>0</v>
      </c>
      <c r="E23" s="23"/>
      <c r="F23" s="34">
        <f t="shared" ref="F23:F46" si="0">IF(D$12=0,0,D23/D$12)</f>
        <v>0</v>
      </c>
      <c r="G23" s="23"/>
      <c r="H23" s="23" cm="1">
        <f t="array" ref="H23">SUM(OSRRefH22x_0)</f>
        <v>96</v>
      </c>
      <c r="I23" s="23"/>
      <c r="J23" s="34">
        <f t="shared" ref="J23:J46" si="1">IF(H$12=0,0,H23/H$12)</f>
        <v>0</v>
      </c>
      <c r="K23" s="8"/>
      <c r="L23" s="23">
        <f t="shared" ref="L23:L46" si="2">+D23-H23</f>
        <v>-96</v>
      </c>
      <c r="M23" s="8"/>
      <c r="N23" s="34">
        <f t="shared" ref="N23:N46" si="3">IF(H23=0,0,L23/H23)</f>
        <v>-1</v>
      </c>
      <c r="O23" s="13"/>
      <c r="P23" s="23" cm="1">
        <f t="array" ref="P23">SUM(OSRRefP22x_0)</f>
        <v>0</v>
      </c>
      <c r="Q23" s="23"/>
      <c r="R23" s="34">
        <f t="shared" ref="R23:R46" si="4">IF(P$12=0,0,P23/P$12)</f>
        <v>0</v>
      </c>
      <c r="S23" s="23"/>
      <c r="T23" s="23" cm="1">
        <f t="array" ref="T23">SUM(OSRRefT22x_0)</f>
        <v>46930.159999999996</v>
      </c>
      <c r="U23" s="23"/>
      <c r="V23" s="34">
        <f t="shared" ref="V23:V46" si="5">IF(T$12=0,0,T23/T$12)</f>
        <v>0</v>
      </c>
      <c r="W23" s="8"/>
      <c r="X23" s="23">
        <f t="shared" ref="X23:X46" si="6">+P23-T23</f>
        <v>-46930.159999999996</v>
      </c>
      <c r="Y23" s="8"/>
      <c r="Z23" s="34">
        <f t="shared" ref="Z23:Z46" si="7">IF(T23=0,0,X23/T23)</f>
        <v>-1</v>
      </c>
    </row>
    <row r="24" spans="1:26" s="68" customFormat="1" ht="15" customHeight="1" outlineLevel="1" collapsed="1" x14ac:dyDescent="0.3">
      <c r="A24" s="20"/>
      <c r="B24" s="11" t="str">
        <f>CONCATENATE("     ","*Benefits                                         ")</f>
        <v xml:space="preserve">     *Benefits                                         </v>
      </c>
      <c r="C24" s="11"/>
      <c r="D24" s="2">
        <f>SUM(OSRRefD22_0x_0)</f>
        <v>0</v>
      </c>
      <c r="E24" s="2"/>
      <c r="F24" s="5">
        <f t="shared" si="0"/>
        <v>0</v>
      </c>
      <c r="G24" s="2"/>
      <c r="H24" s="2">
        <f>SUM(OSRRefH22_0x_0)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SUM(OSRRefP22_0x_0)</f>
        <v>0</v>
      </c>
      <c r="Q24" s="2"/>
      <c r="R24" s="5">
        <f t="shared" si="4"/>
        <v>0</v>
      </c>
      <c r="S24" s="2"/>
      <c r="T24" s="2">
        <f>SUM(OSRRefT22_0x_0)</f>
        <v>21787.579999999998</v>
      </c>
      <c r="U24" s="2"/>
      <c r="V24" s="5">
        <f t="shared" si="5"/>
        <v>0</v>
      </c>
      <c r="W24" s="2"/>
      <c r="X24" s="2">
        <f t="shared" si="6"/>
        <v>-21787.579999999998</v>
      </c>
      <c r="Y24" s="2"/>
      <c r="Z24" s="5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","6111"," - ","F.I.C.A.")</f>
        <v xml:space="preserve">          6111 - F.I.C.A.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1924.35</v>
      </c>
      <c r="U25" s="3"/>
      <c r="V25" s="7">
        <f t="shared" si="5"/>
        <v>0</v>
      </c>
      <c r="W25" s="3"/>
      <c r="X25" s="6">
        <f t="shared" si="6"/>
        <v>-1924.35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499.06</v>
      </c>
      <c r="U26" s="3"/>
      <c r="V26" s="7">
        <f t="shared" si="5"/>
        <v>0</v>
      </c>
      <c r="W26" s="3"/>
      <c r="X26" s="6">
        <f t="shared" si="6"/>
        <v>-499.06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1"/>
      <c r="B27" s="9" t="str">
        <f>CONCATENATE("          ","6113"," - ","GROUP INSURANCE")</f>
        <v xml:space="preserve">          6113 - GROUP INSURANCE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12083.19</v>
      </c>
      <c r="U27" s="3"/>
      <c r="V27" s="7">
        <f t="shared" si="5"/>
        <v>0</v>
      </c>
      <c r="W27" s="3"/>
      <c r="X27" s="6">
        <f t="shared" si="6"/>
        <v>-12083.19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70.14</v>
      </c>
      <c r="U28" s="3"/>
      <c r="V28" s="7">
        <f t="shared" si="5"/>
        <v>0</v>
      </c>
      <c r="W28" s="3"/>
      <c r="X28" s="6">
        <f t="shared" si="6"/>
        <v>-70.14</v>
      </c>
      <c r="Y28" s="3"/>
      <c r="Z28" s="7">
        <f t="shared" si="7"/>
        <v>-1</v>
      </c>
    </row>
    <row r="29" spans="1:26" s="69" customFormat="1" ht="15" hidden="1" customHeight="1" outlineLevel="2" x14ac:dyDescent="0.3">
      <c r="A29" s="21"/>
      <c r="B29" s="9" t="str">
        <f>CONCATENATE("          ","6115"," - ","P.E.R.S.")</f>
        <v xml:space="preserve">          6115 - P.E.R.S.</v>
      </c>
      <c r="C29" s="9"/>
      <c r="D29" s="6"/>
      <c r="E29" s="3"/>
      <c r="F29" s="7">
        <f t="shared" si="0"/>
        <v>0</v>
      </c>
      <c r="G29" s="3"/>
      <c r="H29" s="6"/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/>
      <c r="Q29" s="3"/>
      <c r="R29" s="7">
        <f t="shared" si="4"/>
        <v>0</v>
      </c>
      <c r="S29" s="3"/>
      <c r="T29" s="6">
        <v>3490.92</v>
      </c>
      <c r="U29" s="3"/>
      <c r="V29" s="7">
        <f t="shared" si="5"/>
        <v>0</v>
      </c>
      <c r="W29" s="3"/>
      <c r="X29" s="6">
        <f t="shared" si="6"/>
        <v>-3490.92</v>
      </c>
      <c r="Y29" s="3"/>
      <c r="Z29" s="7">
        <f t="shared" si="7"/>
        <v>-1</v>
      </c>
    </row>
    <row r="30" spans="1:26" s="69" customFormat="1" ht="15" hidden="1" customHeight="1" outlineLevel="2" x14ac:dyDescent="0.3">
      <c r="A30" s="21"/>
      <c r="B30" s="9" t="str">
        <f>CONCATENATE("          ","6118"," - ","VACATION")</f>
        <v xml:space="preserve">          6118 - VACATION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2035.3</v>
      </c>
      <c r="U30" s="3"/>
      <c r="V30" s="7">
        <f t="shared" si="5"/>
        <v>0</v>
      </c>
      <c r="W30" s="3"/>
      <c r="X30" s="6">
        <f t="shared" si="6"/>
        <v>-2035.3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1"/>
      <c r="B31" s="9" t="str">
        <f>CONCATENATE("          ","6119"," - ","SICK LEAVE")</f>
        <v xml:space="preserve">          6119 - SICK LEAVE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1283.8</v>
      </c>
      <c r="U31" s="3"/>
      <c r="V31" s="7">
        <f t="shared" si="5"/>
        <v>0</v>
      </c>
      <c r="W31" s="3"/>
      <c r="X31" s="6">
        <f t="shared" si="6"/>
        <v>-1283.8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1"/>
      <c r="B32" s="9" t="str">
        <f>CONCATENATE("          ","6156"," - ","EMPLOYEE MEALS")</f>
        <v xml:space="preserve">          6156 - EMPLOYEE MEALS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400.82</v>
      </c>
      <c r="U32" s="3"/>
      <c r="V32" s="7">
        <f t="shared" si="5"/>
        <v>0</v>
      </c>
      <c r="W32" s="3"/>
      <c r="X32" s="6">
        <f t="shared" si="6"/>
        <v>-400.82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0"/>
      <c r="B33" s="11" t="str">
        <f>CONCATENATE("     ","*Payroll                                          ")</f>
        <v xml:space="preserve">     *Payroll                                          </v>
      </c>
      <c r="C33" s="11"/>
      <c r="D33" s="2">
        <f>SUM(OSRRefD22_1x_0)</f>
        <v>0</v>
      </c>
      <c r="E33" s="2"/>
      <c r="F33" s="5">
        <f t="shared" si="0"/>
        <v>0</v>
      </c>
      <c r="G33" s="2"/>
      <c r="H33" s="2">
        <f>SUM(OSRRefH22_1x_0)</f>
        <v>0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SUM(OSRRefP22_1x_0)</f>
        <v>0</v>
      </c>
      <c r="Q33" s="2"/>
      <c r="R33" s="5">
        <f t="shared" si="4"/>
        <v>0</v>
      </c>
      <c r="S33" s="2"/>
      <c r="T33" s="2">
        <f>SUM(OSRRefT22_1x_0)</f>
        <v>23136.42</v>
      </c>
      <c r="U33" s="2"/>
      <c r="V33" s="5">
        <f t="shared" si="5"/>
        <v>0</v>
      </c>
      <c r="W33" s="2"/>
      <c r="X33" s="2">
        <f t="shared" si="6"/>
        <v>-23136.42</v>
      </c>
      <c r="Y33" s="2"/>
      <c r="Z33" s="5">
        <f t="shared" si="7"/>
        <v>-1</v>
      </c>
    </row>
    <row r="34" spans="1:26" s="69" customFormat="1" ht="15" hidden="1" customHeight="1" outlineLevel="2" x14ac:dyDescent="0.3">
      <c r="A34" s="21"/>
      <c r="B34" s="9" t="str">
        <f>CONCATENATE("          ","6002"," - ","STAFF SALARIES")</f>
        <v xml:space="preserve">          6002 - STAFF SALARIES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23136.42</v>
      </c>
      <c r="U34" s="3"/>
      <c r="V34" s="7">
        <f t="shared" si="5"/>
        <v>0</v>
      </c>
      <c r="W34" s="3"/>
      <c r="X34" s="6">
        <f t="shared" si="6"/>
        <v>-23136.42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0"/>
      <c r="B35" s="11" t="str">
        <f>CONCATENATE("     ","Bank/card Fees                                    ")</f>
        <v xml:space="preserve">     Bank/card Fees                                    </v>
      </c>
      <c r="C35" s="11"/>
      <c r="D35" s="2">
        <f>SUM(OSRRefD22_2x_0)</f>
        <v>0</v>
      </c>
      <c r="E35" s="2"/>
      <c r="F35" s="5">
        <f t="shared" si="0"/>
        <v>0</v>
      </c>
      <c r="G35" s="2"/>
      <c r="H35" s="2">
        <f>SUM(OSRRefH22_2x_0)</f>
        <v>0</v>
      </c>
      <c r="I35" s="2"/>
      <c r="J35" s="5">
        <f t="shared" si="1"/>
        <v>0</v>
      </c>
      <c r="K35" s="2"/>
      <c r="L35" s="2">
        <f t="shared" si="2"/>
        <v>0</v>
      </c>
      <c r="M35" s="2"/>
      <c r="N35" s="5">
        <f t="shared" si="3"/>
        <v>0</v>
      </c>
      <c r="O35" s="11"/>
      <c r="P35" s="2">
        <f>SUM(OSRRefP22_2x_0)</f>
        <v>0</v>
      </c>
      <c r="Q35" s="2"/>
      <c r="R35" s="5">
        <f t="shared" si="4"/>
        <v>0</v>
      </c>
      <c r="S35" s="2"/>
      <c r="T35" s="2">
        <f>SUM(OSRRefT22_2x_0)</f>
        <v>240</v>
      </c>
      <c r="U35" s="2"/>
      <c r="V35" s="5">
        <f t="shared" si="5"/>
        <v>0</v>
      </c>
      <c r="W35" s="2"/>
      <c r="X35" s="2">
        <f t="shared" si="6"/>
        <v>-240</v>
      </c>
      <c r="Y35" s="2"/>
      <c r="Z35" s="5">
        <f t="shared" si="7"/>
        <v>-1</v>
      </c>
    </row>
    <row r="36" spans="1:26" s="69" customFormat="1" ht="15" hidden="1" customHeight="1" outlineLevel="2" x14ac:dyDescent="0.3">
      <c r="A36" s="21"/>
      <c r="B36" s="9" t="str">
        <f>CONCATENATE("          ","6381"," - ","BANK/CREDIT CARD FEES")</f>
        <v xml:space="preserve">          6381 - BANK/CREDIT CARD FEES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240</v>
      </c>
      <c r="U36" s="3"/>
      <c r="V36" s="7">
        <f t="shared" si="5"/>
        <v>0</v>
      </c>
      <c r="W36" s="3"/>
      <c r="X36" s="6">
        <f t="shared" si="6"/>
        <v>-240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0"/>
      <c r="B37" s="11" t="str">
        <f>CONCATENATE("     ","Freight out/Postage                               ")</f>
        <v xml:space="preserve">     Freight out/Postage                               </v>
      </c>
      <c r="C37" s="11"/>
      <c r="D37" s="2">
        <f>SUM(OSRRefD22_3x_0)</f>
        <v>0</v>
      </c>
      <c r="E37" s="2"/>
      <c r="F37" s="5">
        <f t="shared" si="0"/>
        <v>0</v>
      </c>
      <c r="G37" s="2"/>
      <c r="H37" s="2">
        <f>SUM(OSRRefH22_3x_0)</f>
        <v>0</v>
      </c>
      <c r="I37" s="2"/>
      <c r="J37" s="5">
        <f t="shared" si="1"/>
        <v>0</v>
      </c>
      <c r="K37" s="2"/>
      <c r="L37" s="2">
        <f t="shared" si="2"/>
        <v>0</v>
      </c>
      <c r="M37" s="2"/>
      <c r="N37" s="5">
        <f t="shared" si="3"/>
        <v>0</v>
      </c>
      <c r="O37" s="11"/>
      <c r="P37" s="2">
        <f>SUM(OSRRefP22_3x_0)</f>
        <v>0</v>
      </c>
      <c r="Q37" s="2"/>
      <c r="R37" s="5">
        <f t="shared" si="4"/>
        <v>0</v>
      </c>
      <c r="S37" s="2"/>
      <c r="T37" s="2">
        <f>SUM(OSRRefT22_3x_0)</f>
        <v>280.10000000000002</v>
      </c>
      <c r="U37" s="2"/>
      <c r="V37" s="5">
        <f t="shared" si="5"/>
        <v>0</v>
      </c>
      <c r="W37" s="2"/>
      <c r="X37" s="2">
        <f t="shared" si="6"/>
        <v>-280.10000000000002</v>
      </c>
      <c r="Y37" s="2"/>
      <c r="Z37" s="5">
        <f t="shared" si="7"/>
        <v>-1</v>
      </c>
    </row>
    <row r="38" spans="1:26" s="69" customFormat="1" ht="15" hidden="1" customHeight="1" outlineLevel="2" x14ac:dyDescent="0.3">
      <c r="A38" s="21"/>
      <c r="B38" s="9" t="str">
        <f>CONCATENATE("          ","6305"," - ","FREIGHT OUT")</f>
        <v xml:space="preserve">          6305 - FREIGHT OUT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280.10000000000002</v>
      </c>
      <c r="U38" s="3"/>
      <c r="V38" s="7">
        <f t="shared" si="5"/>
        <v>0</v>
      </c>
      <c r="W38" s="3"/>
      <c r="X38" s="6">
        <f t="shared" si="6"/>
        <v>-280.10000000000002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0"/>
      <c r="B39" s="11" t="str">
        <f>CONCATENATE("     ","General                                           ")</f>
        <v xml:space="preserve">     General                                           </v>
      </c>
      <c r="C39" s="11"/>
      <c r="D39" s="2">
        <f>SUM(OSRRefD22_4x_0)</f>
        <v>0</v>
      </c>
      <c r="E39" s="2"/>
      <c r="F39" s="5">
        <f t="shared" si="0"/>
        <v>0</v>
      </c>
      <c r="G39" s="2"/>
      <c r="H39" s="2">
        <f>SUM(OSRRefH22_4x_0)</f>
        <v>0</v>
      </c>
      <c r="I39" s="2"/>
      <c r="J39" s="5">
        <f t="shared" si="1"/>
        <v>0</v>
      </c>
      <c r="K39" s="2"/>
      <c r="L39" s="2">
        <f t="shared" si="2"/>
        <v>0</v>
      </c>
      <c r="M39" s="2"/>
      <c r="N39" s="5">
        <f t="shared" si="3"/>
        <v>0</v>
      </c>
      <c r="O39" s="11"/>
      <c r="P39" s="2">
        <f>SUM(OSRRefP22_4x_0)</f>
        <v>0</v>
      </c>
      <c r="Q39" s="2"/>
      <c r="R39" s="5">
        <f t="shared" si="4"/>
        <v>0</v>
      </c>
      <c r="S39" s="2"/>
      <c r="T39" s="2">
        <f>SUM(OSRRefT22_4x_0)</f>
        <v>160</v>
      </c>
      <c r="U39" s="2"/>
      <c r="V39" s="5">
        <f t="shared" si="5"/>
        <v>0</v>
      </c>
      <c r="W39" s="2"/>
      <c r="X39" s="2">
        <f t="shared" si="6"/>
        <v>-160</v>
      </c>
      <c r="Y39" s="2"/>
      <c r="Z39" s="5">
        <f t="shared" si="7"/>
        <v>-1</v>
      </c>
    </row>
    <row r="40" spans="1:26" s="69" customFormat="1" ht="15" hidden="1" customHeight="1" outlineLevel="2" x14ac:dyDescent="0.3">
      <c r="A40" s="21"/>
      <c r="B40" s="9" t="str">
        <f>CONCATENATE("          ","6279"," - ","GENERAL EXPENSE")</f>
        <v xml:space="preserve">          6279 - GENERAL EXPENSE</v>
      </c>
      <c r="C40" s="9"/>
      <c r="D40" s="6"/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160</v>
      </c>
      <c r="U40" s="3"/>
      <c r="V40" s="7">
        <f t="shared" si="5"/>
        <v>0</v>
      </c>
      <c r="W40" s="3"/>
      <c r="X40" s="6">
        <f t="shared" si="6"/>
        <v>-160</v>
      </c>
      <c r="Y40" s="3"/>
      <c r="Z40" s="7">
        <f t="shared" si="7"/>
        <v>-1</v>
      </c>
    </row>
    <row r="41" spans="1:26" s="68" customFormat="1" ht="15" customHeight="1" outlineLevel="1" collapsed="1" x14ac:dyDescent="0.3">
      <c r="A41" s="20"/>
      <c r="B41" s="11" t="str">
        <f>CONCATENATE("     ","Repair and Maintenance                            ")</f>
        <v xml:space="preserve">     Repair and Maintenance                            </v>
      </c>
      <c r="C41" s="11"/>
      <c r="D41" s="2">
        <f>SUM(OSRRefD22_5x_0)</f>
        <v>0</v>
      </c>
      <c r="E41" s="2"/>
      <c r="F41" s="5">
        <f t="shared" si="0"/>
        <v>0</v>
      </c>
      <c r="G41" s="2"/>
      <c r="H41" s="2">
        <f>SUM(OSRRefH22_5x_0)</f>
        <v>23.95</v>
      </c>
      <c r="I41" s="2"/>
      <c r="J41" s="5">
        <f t="shared" si="1"/>
        <v>0</v>
      </c>
      <c r="K41" s="2"/>
      <c r="L41" s="2">
        <f t="shared" si="2"/>
        <v>-23.95</v>
      </c>
      <c r="M41" s="2"/>
      <c r="N41" s="5">
        <f t="shared" si="3"/>
        <v>-1</v>
      </c>
      <c r="O41" s="11"/>
      <c r="P41" s="2">
        <f>SUM(OSRRefP22_5x_0)</f>
        <v>0</v>
      </c>
      <c r="Q41" s="2"/>
      <c r="R41" s="5">
        <f t="shared" si="4"/>
        <v>0</v>
      </c>
      <c r="S41" s="2"/>
      <c r="T41" s="2">
        <f>SUM(OSRRefT22_5x_0)</f>
        <v>96.31</v>
      </c>
      <c r="U41" s="2"/>
      <c r="V41" s="5">
        <f t="shared" si="5"/>
        <v>0</v>
      </c>
      <c r="W41" s="2"/>
      <c r="X41" s="2">
        <f t="shared" si="6"/>
        <v>-96.31</v>
      </c>
      <c r="Y41" s="2"/>
      <c r="Z41" s="5">
        <f t="shared" si="7"/>
        <v>-1</v>
      </c>
    </row>
    <row r="42" spans="1:26" s="69" customFormat="1" ht="15" hidden="1" customHeight="1" outlineLevel="2" x14ac:dyDescent="0.3">
      <c r="A42" s="21"/>
      <c r="B42" s="9" t="str">
        <f>CONCATENATE("          ","6373"," - ","MAINTENANCE CONTRACTS")</f>
        <v xml:space="preserve">          6373 - MAINTENANCE CONTRACTS</v>
      </c>
      <c r="C42" s="9"/>
      <c r="D42" s="6"/>
      <c r="E42" s="3"/>
      <c r="F42" s="7">
        <f t="shared" si="0"/>
        <v>0</v>
      </c>
      <c r="G42" s="3"/>
      <c r="H42" s="6">
        <v>23.95</v>
      </c>
      <c r="I42" s="3"/>
      <c r="J42" s="7">
        <f t="shared" si="1"/>
        <v>0</v>
      </c>
      <c r="K42" s="3"/>
      <c r="L42" s="6">
        <f t="shared" si="2"/>
        <v>-23.95</v>
      </c>
      <c r="M42" s="3"/>
      <c r="N42" s="7">
        <f t="shared" si="3"/>
        <v>-1</v>
      </c>
      <c r="O42" s="9"/>
      <c r="P42" s="6">
        <v>0</v>
      </c>
      <c r="Q42" s="3"/>
      <c r="R42" s="7">
        <f t="shared" si="4"/>
        <v>0</v>
      </c>
      <c r="S42" s="3"/>
      <c r="T42" s="6">
        <v>96.31</v>
      </c>
      <c r="U42" s="3"/>
      <c r="V42" s="7">
        <f t="shared" si="5"/>
        <v>0</v>
      </c>
      <c r="W42" s="3"/>
      <c r="X42" s="6">
        <f t="shared" si="6"/>
        <v>-96.31</v>
      </c>
      <c r="Y42" s="3"/>
      <c r="Z42" s="7">
        <f t="shared" si="7"/>
        <v>-1</v>
      </c>
    </row>
    <row r="43" spans="1:26" s="68" customFormat="1" ht="15" customHeight="1" outlineLevel="1" collapsed="1" x14ac:dyDescent="0.3">
      <c r="A43" s="20"/>
      <c r="B43" s="11" t="str">
        <f>CONCATENATE("     ","Supplies                                          ")</f>
        <v xml:space="preserve">     Supplies                                          </v>
      </c>
      <c r="C43" s="11"/>
      <c r="D43" s="2">
        <f>SUM(OSRRefD22_6x_0)</f>
        <v>0</v>
      </c>
      <c r="E43" s="2"/>
      <c r="F43" s="5">
        <f t="shared" si="0"/>
        <v>0</v>
      </c>
      <c r="G43" s="2"/>
      <c r="H43" s="2">
        <f>SUM(OSRRefH22_6x_0)</f>
        <v>0</v>
      </c>
      <c r="I43" s="2"/>
      <c r="J43" s="5">
        <f t="shared" si="1"/>
        <v>0</v>
      </c>
      <c r="K43" s="2"/>
      <c r="L43" s="2">
        <f t="shared" si="2"/>
        <v>0</v>
      </c>
      <c r="M43" s="2"/>
      <c r="N43" s="5">
        <f t="shared" si="3"/>
        <v>0</v>
      </c>
      <c r="O43" s="11"/>
      <c r="P43" s="2">
        <f>SUM(OSRRefP22_6x_0)</f>
        <v>0</v>
      </c>
      <c r="Q43" s="2"/>
      <c r="R43" s="5">
        <f t="shared" si="4"/>
        <v>0</v>
      </c>
      <c r="S43" s="2"/>
      <c r="T43" s="2">
        <f>SUM(OSRRefT22_6x_0)</f>
        <v>0</v>
      </c>
      <c r="U43" s="2"/>
      <c r="V43" s="5">
        <f t="shared" si="5"/>
        <v>0</v>
      </c>
      <c r="W43" s="2"/>
      <c r="X43" s="2">
        <f t="shared" si="6"/>
        <v>0</v>
      </c>
      <c r="Y43" s="2"/>
      <c r="Z43" s="5">
        <f t="shared" si="7"/>
        <v>0</v>
      </c>
    </row>
    <row r="44" spans="1:26" s="69" customFormat="1" ht="15" hidden="1" customHeight="1" outlineLevel="2" x14ac:dyDescent="0.3">
      <c r="A44" s="21"/>
      <c r="B44" s="9" t="str">
        <f>CONCATENATE("          ","6247"," - ","STORE SUPPLIES")</f>
        <v xml:space="preserve">          6247 - STORE SUPPLIES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0</v>
      </c>
      <c r="Q44" s="3"/>
      <c r="R44" s="7">
        <f t="shared" si="4"/>
        <v>0</v>
      </c>
      <c r="S44" s="3"/>
      <c r="T44" s="6"/>
      <c r="U44" s="3"/>
      <c r="V44" s="7">
        <f t="shared" si="5"/>
        <v>0</v>
      </c>
      <c r="W44" s="3"/>
      <c r="X44" s="6">
        <f t="shared" si="6"/>
        <v>0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0"/>
      <c r="B45" s="11" t="str">
        <f>CONCATENATE("     ","Telephone/Data Lines                              ")</f>
        <v xml:space="preserve">     Telephone/Data Lines                              </v>
      </c>
      <c r="C45" s="11"/>
      <c r="D45" s="2">
        <f>SUM(OSRRefD22_7x_0)</f>
        <v>0</v>
      </c>
      <c r="E45" s="2"/>
      <c r="F45" s="5">
        <f t="shared" si="0"/>
        <v>0</v>
      </c>
      <c r="G45" s="2"/>
      <c r="H45" s="2">
        <f>SUM(OSRRefH22_7x_0)</f>
        <v>72.05</v>
      </c>
      <c r="I45" s="2"/>
      <c r="J45" s="5">
        <f t="shared" si="1"/>
        <v>0</v>
      </c>
      <c r="K45" s="2"/>
      <c r="L45" s="2">
        <f t="shared" si="2"/>
        <v>-72.05</v>
      </c>
      <c r="M45" s="2"/>
      <c r="N45" s="5">
        <f t="shared" si="3"/>
        <v>-1</v>
      </c>
      <c r="O45" s="11"/>
      <c r="P45" s="2">
        <f>SUM(OSRRefP22_7x_0)</f>
        <v>0</v>
      </c>
      <c r="Q45" s="2"/>
      <c r="R45" s="5">
        <f t="shared" si="4"/>
        <v>0</v>
      </c>
      <c r="S45" s="2"/>
      <c r="T45" s="2">
        <f>SUM(OSRRefT22_7x_0)</f>
        <v>1229.75</v>
      </c>
      <c r="U45" s="2"/>
      <c r="V45" s="5">
        <f t="shared" si="5"/>
        <v>0</v>
      </c>
      <c r="W45" s="2"/>
      <c r="X45" s="2">
        <f t="shared" si="6"/>
        <v>-1229.75</v>
      </c>
      <c r="Y45" s="2"/>
      <c r="Z45" s="5">
        <f t="shared" si="7"/>
        <v>-1</v>
      </c>
    </row>
    <row r="46" spans="1:26" s="69" customFormat="1" ht="15" hidden="1" customHeight="1" outlineLevel="2" x14ac:dyDescent="0.3">
      <c r="A46" s="21"/>
      <c r="B46" s="9" t="str">
        <f>CONCATENATE("          ","6309"," - ","TELEPHONE")</f>
        <v xml:space="preserve">          6309 - TELEPHONE</v>
      </c>
      <c r="C46" s="9"/>
      <c r="D46" s="6"/>
      <c r="E46" s="3"/>
      <c r="F46" s="7">
        <f t="shared" si="0"/>
        <v>0</v>
      </c>
      <c r="G46" s="3"/>
      <c r="H46" s="6">
        <v>72.05</v>
      </c>
      <c r="I46" s="3"/>
      <c r="J46" s="7">
        <f t="shared" si="1"/>
        <v>0</v>
      </c>
      <c r="K46" s="3"/>
      <c r="L46" s="6">
        <f t="shared" si="2"/>
        <v>-72.05</v>
      </c>
      <c r="M46" s="3"/>
      <c r="N46" s="7">
        <f t="shared" si="3"/>
        <v>-1</v>
      </c>
      <c r="O46" s="9"/>
      <c r="P46" s="6">
        <v>0</v>
      </c>
      <c r="Q46" s="3"/>
      <c r="R46" s="7">
        <f t="shared" si="4"/>
        <v>0</v>
      </c>
      <c r="S46" s="3"/>
      <c r="T46" s="6">
        <v>1229.75</v>
      </c>
      <c r="U46" s="3"/>
      <c r="V46" s="7">
        <f t="shared" si="5"/>
        <v>0</v>
      </c>
      <c r="W46" s="3"/>
      <c r="X46" s="6">
        <f t="shared" si="6"/>
        <v>-1229.75</v>
      </c>
      <c r="Y46" s="3"/>
      <c r="Z46" s="7">
        <f t="shared" si="7"/>
        <v>-1</v>
      </c>
    </row>
    <row r="47" spans="1:26" s="64" customFormat="1" ht="15" customHeight="1" x14ac:dyDescent="0.3">
      <c r="A47" s="37"/>
      <c r="B47" s="37"/>
      <c r="C47" s="37"/>
      <c r="D47" s="2"/>
      <c r="E47" s="2"/>
      <c r="F47" s="5"/>
      <c r="G47" s="2"/>
      <c r="H47" s="2"/>
      <c r="I47" s="2"/>
      <c r="J47" s="5"/>
      <c r="K47" s="2"/>
      <c r="L47" s="2"/>
      <c r="M47" s="2"/>
      <c r="N47" s="5"/>
      <c r="O47" s="37"/>
      <c r="P47" s="2"/>
      <c r="Q47" s="2"/>
      <c r="R47" s="5"/>
      <c r="S47" s="2"/>
      <c r="T47" s="2"/>
      <c r="U47" s="2"/>
      <c r="V47" s="5"/>
      <c r="W47" s="2"/>
      <c r="X47" s="2"/>
      <c r="Y47" s="2"/>
      <c r="Z47" s="5"/>
    </row>
    <row r="48" spans="1:26" s="62" customFormat="1" ht="15" customHeight="1" x14ac:dyDescent="0.3">
      <c r="A48" s="13"/>
      <c r="B48" s="27" t="s">
        <v>290</v>
      </c>
      <c r="C48" s="13"/>
      <c r="D48" s="8">
        <f>SUM(0)</f>
        <v>0</v>
      </c>
      <c r="E48" s="8"/>
      <c r="F48" s="14">
        <f>IF(D$12=0,0,D48/D$12)</f>
        <v>0</v>
      </c>
      <c r="G48" s="8"/>
      <c r="H48" s="8">
        <f>SUM(0)</f>
        <v>0</v>
      </c>
      <c r="I48" s="8"/>
      <c r="J48" s="14">
        <f>IF(H$12=0,0,H48/H$12)</f>
        <v>0</v>
      </c>
      <c r="K48" s="8"/>
      <c r="L48" s="8">
        <f>+D48-H48</f>
        <v>0</v>
      </c>
      <c r="M48" s="8"/>
      <c r="N48" s="14">
        <f>IF(H48=0,0,L48/H48)</f>
        <v>0</v>
      </c>
      <c r="O48" s="13"/>
      <c r="P48" s="8">
        <f>SUM(0)</f>
        <v>0</v>
      </c>
      <c r="Q48" s="8"/>
      <c r="R48" s="14">
        <f>IF(P$12=0,0,P48/P$12)</f>
        <v>0</v>
      </c>
      <c r="S48" s="8"/>
      <c r="T48" s="8">
        <f>SUM(0)</f>
        <v>0</v>
      </c>
      <c r="U48" s="8"/>
      <c r="V48" s="14">
        <f>IF(T$12=0,0,T48/T$12)</f>
        <v>0</v>
      </c>
      <c r="W48" s="8"/>
      <c r="X48" s="8">
        <f>+P48-T48</f>
        <v>0</v>
      </c>
      <c r="Y48" s="8"/>
      <c r="Z48" s="14">
        <f>IF(T48=0,0,X48/T48)</f>
        <v>0</v>
      </c>
    </row>
    <row r="49" spans="1:26" ht="15" customHeight="1" x14ac:dyDescent="0.3">
      <c r="A49" s="12"/>
      <c r="B49" s="13"/>
      <c r="C49" s="13"/>
      <c r="D49" s="4"/>
      <c r="E49" s="4"/>
      <c r="F49" s="10"/>
      <c r="G49" s="4"/>
      <c r="H49" s="4"/>
      <c r="I49" s="4"/>
      <c r="J49" s="10"/>
      <c r="K49" s="4"/>
      <c r="L49" s="4"/>
      <c r="M49" s="4"/>
      <c r="N49" s="10"/>
      <c r="O49" s="13"/>
      <c r="P49" s="4"/>
      <c r="Q49" s="4"/>
      <c r="R49" s="10"/>
      <c r="S49" s="4"/>
      <c r="T49" s="4"/>
      <c r="U49" s="4"/>
      <c r="V49" s="10"/>
      <c r="W49" s="4"/>
      <c r="X49" s="4"/>
      <c r="Y49" s="4"/>
      <c r="Z49" s="10"/>
    </row>
    <row r="50" spans="1:26" s="62" customFormat="1" ht="15" customHeight="1" x14ac:dyDescent="0.3">
      <c r="A50" s="13"/>
      <c r="B50" s="28" t="s">
        <v>291</v>
      </c>
      <c r="C50" s="28"/>
      <c r="D50" s="22">
        <f>+D21-D23+D48</f>
        <v>0</v>
      </c>
      <c r="E50" s="15"/>
      <c r="F50" s="24">
        <f>IF(D$12=0,0,D50/D$12)</f>
        <v>0</v>
      </c>
      <c r="G50" s="15"/>
      <c r="H50" s="22">
        <f>+H21-H23+H48</f>
        <v>-204</v>
      </c>
      <c r="I50" s="15"/>
      <c r="J50" s="24">
        <f>IF(H$12=0,0,H50/H$12)</f>
        <v>0</v>
      </c>
      <c r="K50" s="17"/>
      <c r="L50" s="22">
        <f>+D50-H50</f>
        <v>204</v>
      </c>
      <c r="M50" s="17"/>
      <c r="N50" s="24">
        <f>IF(H50=0,0,L50/H50)</f>
        <v>-1</v>
      </c>
      <c r="O50" s="27"/>
      <c r="P50" s="22">
        <f>+P21-P23+P48</f>
        <v>0</v>
      </c>
      <c r="Q50" s="15"/>
      <c r="R50" s="24">
        <f>IF(P$12=0,0,P50/P$12)</f>
        <v>0</v>
      </c>
      <c r="S50" s="15"/>
      <c r="T50" s="22">
        <f>+T21-T23+T48</f>
        <v>-46424.57</v>
      </c>
      <c r="U50" s="15"/>
      <c r="V50" s="24">
        <f>IF(T$12=0,0,T50/T$12)</f>
        <v>0</v>
      </c>
      <c r="W50" s="17"/>
      <c r="X50" s="22">
        <f>+P50-T50</f>
        <v>46424.57</v>
      </c>
      <c r="Y50" s="17"/>
      <c r="Z50" s="24">
        <f>IF(T50=0,0,X50/T50)</f>
        <v>-1</v>
      </c>
    </row>
    <row r="51" spans="1:26" ht="15" customHeight="1" x14ac:dyDescent="0.3">
      <c r="A51" s="12"/>
      <c r="B51" s="13"/>
      <c r="C51" s="12"/>
      <c r="D51" s="4"/>
      <c r="E51" s="4"/>
      <c r="F51" s="10"/>
      <c r="G51" s="4"/>
      <c r="H51" s="4"/>
      <c r="I51" s="4"/>
      <c r="J51" s="10"/>
      <c r="K51" s="4"/>
      <c r="L51" s="4"/>
      <c r="M51" s="4"/>
      <c r="N51" s="10"/>
      <c r="P51" s="4"/>
      <c r="Q51" s="4"/>
      <c r="R51" s="10"/>
      <c r="S51" s="4"/>
      <c r="T51" s="4"/>
      <c r="U51" s="4"/>
      <c r="V51" s="10"/>
      <c r="W51" s="4"/>
      <c r="X51" s="4"/>
      <c r="Y51" s="4"/>
      <c r="Z51" s="10"/>
    </row>
    <row r="52" spans="1:26" s="62" customFormat="1" ht="15" customHeight="1" x14ac:dyDescent="0.3">
      <c r="A52" s="48"/>
      <c r="B52" s="13" t="s">
        <v>292</v>
      </c>
      <c r="C52" s="13"/>
      <c r="D52" s="8"/>
      <c r="E52" s="8"/>
      <c r="F52" s="14">
        <f>IF(D$12=0,0,D52/D$12)</f>
        <v>0</v>
      </c>
      <c r="G52" s="8"/>
      <c r="H52" s="8"/>
      <c r="I52" s="8"/>
      <c r="J52" s="14">
        <f>IF(H$12=0,0,H52/H$12)</f>
        <v>0</v>
      </c>
      <c r="K52" s="8"/>
      <c r="L52" s="8">
        <f>+D52-H52</f>
        <v>0</v>
      </c>
      <c r="M52" s="8"/>
      <c r="N52" s="14">
        <f>IF(H52=0,0,L52/H52)</f>
        <v>0</v>
      </c>
      <c r="O52" s="13"/>
      <c r="P52" s="8"/>
      <c r="Q52" s="8"/>
      <c r="R52" s="14">
        <f>IF(P$12=0,0,P52/P$12)</f>
        <v>0</v>
      </c>
      <c r="S52" s="8"/>
      <c r="T52" s="8"/>
      <c r="U52" s="8"/>
      <c r="V52" s="14">
        <f>IF(T$12=0,0,T52/T$12)</f>
        <v>0</v>
      </c>
      <c r="W52" s="8"/>
      <c r="X52" s="8">
        <f>+P52-T52</f>
        <v>0</v>
      </c>
      <c r="Y52" s="8"/>
      <c r="Z52" s="14">
        <f>IF(T52=0,0,X52/T52)</f>
        <v>0</v>
      </c>
    </row>
    <row r="53" spans="1:26" ht="15" customHeight="1" x14ac:dyDescent="0.3">
      <c r="A53" s="12"/>
      <c r="B53" s="13"/>
      <c r="C53" s="13"/>
      <c r="D53" s="4"/>
      <c r="E53" s="4"/>
      <c r="F53" s="10"/>
      <c r="G53" s="4"/>
      <c r="H53" s="4"/>
      <c r="I53" s="4"/>
      <c r="J53" s="10"/>
      <c r="K53" s="4"/>
      <c r="L53" s="4"/>
      <c r="M53" s="4"/>
      <c r="N53" s="10"/>
      <c r="O53" s="13"/>
      <c r="P53" s="4"/>
      <c r="Q53" s="4"/>
      <c r="R53" s="10"/>
      <c r="S53" s="4"/>
      <c r="T53" s="4"/>
      <c r="U53" s="4"/>
      <c r="V53" s="10"/>
      <c r="W53" s="4"/>
      <c r="X53" s="4"/>
      <c r="Y53" s="4"/>
      <c r="Z53" s="10"/>
    </row>
    <row r="54" spans="1:26" s="62" customFormat="1" ht="15" customHeight="1" x14ac:dyDescent="0.3">
      <c r="A54" s="13"/>
      <c r="B54" s="28" t="s">
        <v>293</v>
      </c>
      <c r="C54" s="28"/>
      <c r="D54" s="29">
        <f>+D50-D52</f>
        <v>0</v>
      </c>
      <c r="E54" s="15"/>
      <c r="F54" s="31">
        <f>IF(D$12=0,0,D54/D$12)</f>
        <v>0</v>
      </c>
      <c r="G54" s="15"/>
      <c r="H54" s="29">
        <f>+H50-H52</f>
        <v>-204</v>
      </c>
      <c r="I54" s="15"/>
      <c r="J54" s="31">
        <f>IF(H$12=0,0,H54/H$12)</f>
        <v>0</v>
      </c>
      <c r="K54" s="17"/>
      <c r="L54" s="29">
        <f>D54-H54</f>
        <v>204</v>
      </c>
      <c r="M54" s="17"/>
      <c r="N54" s="31">
        <f>IF(H54=0,0,L54/H54)</f>
        <v>-1</v>
      </c>
      <c r="O54" s="27"/>
      <c r="P54" s="29">
        <f>+P50-P52</f>
        <v>0</v>
      </c>
      <c r="Q54" s="15"/>
      <c r="R54" s="31">
        <f>IF(P$12=0,0,P54/P$12)</f>
        <v>0</v>
      </c>
      <c r="S54" s="15"/>
      <c r="T54" s="29">
        <f>+T50-T52</f>
        <v>-46424.57</v>
      </c>
      <c r="U54" s="15"/>
      <c r="V54" s="31">
        <f>IF(T$12=0,0,T54/T$12)</f>
        <v>0</v>
      </c>
      <c r="W54" s="17"/>
      <c r="X54" s="29">
        <f>P54-T54</f>
        <v>46424.57</v>
      </c>
      <c r="Y54" s="17"/>
      <c r="Z54" s="31">
        <f>IF(T54=0,0,X54/T54)</f>
        <v>-1</v>
      </c>
    </row>
    <row r="55" spans="1:26" ht="15" customHeight="1" x14ac:dyDescent="0.3">
      <c r="A55" s="12"/>
      <c r="B55" s="12"/>
      <c r="C55" s="12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ht="15" customHeight="1" x14ac:dyDescent="0.3">
      <c r="A56" s="12"/>
      <c r="B56" s="12"/>
      <c r="C56" s="12"/>
      <c r="D56" s="4"/>
      <c r="E56" s="4"/>
      <c r="F56" s="10"/>
      <c r="G56" s="4"/>
      <c r="H56" s="4"/>
      <c r="I56" s="4"/>
      <c r="J56" s="10"/>
      <c r="K56" s="4"/>
      <c r="L56" s="4"/>
      <c r="M56" s="4"/>
      <c r="N56" s="10"/>
      <c r="P56" s="4"/>
      <c r="Q56" s="4"/>
      <c r="R56" s="10"/>
      <c r="S56" s="4"/>
      <c r="T56" s="4"/>
      <c r="U56" s="4"/>
      <c r="V56" s="10"/>
      <c r="W56" s="4"/>
      <c r="X56" s="4"/>
      <c r="Y56" s="4"/>
      <c r="Z56" s="10"/>
    </row>
    <row r="57" spans="1:26" s="62" customFormat="1" ht="15" customHeight="1" x14ac:dyDescent="0.3">
      <c r="A57" s="13"/>
      <c r="B57" s="28" t="s">
        <v>296</v>
      </c>
      <c r="C57" s="28"/>
      <c r="D57" s="30">
        <f>SUM(D54:D56)</f>
        <v>0</v>
      </c>
      <c r="E57" s="15"/>
      <c r="F57" s="35">
        <f>IF(D$12=0,0,D57/D$12)</f>
        <v>0</v>
      </c>
      <c r="G57" s="15"/>
      <c r="H57" s="30">
        <f>SUM(H54:H56)</f>
        <v>-204</v>
      </c>
      <c r="I57" s="15"/>
      <c r="J57" s="35">
        <f>IF(H$12=0,0,H57/H$12)</f>
        <v>0</v>
      </c>
      <c r="K57" s="17"/>
      <c r="L57" s="30">
        <f>+D57-H57</f>
        <v>204</v>
      </c>
      <c r="M57" s="17"/>
      <c r="N57" s="35">
        <f>IF(H57=0,0,L57/H57)</f>
        <v>-1</v>
      </c>
      <c r="O57" s="27"/>
      <c r="P57" s="30">
        <f>SUM(P54:P56)</f>
        <v>0</v>
      </c>
      <c r="Q57" s="15"/>
      <c r="R57" s="35">
        <f>IF(P$12=0,0,P57/P$12)</f>
        <v>0</v>
      </c>
      <c r="S57" s="15"/>
      <c r="T57" s="30">
        <f>SUM(T54:T56)</f>
        <v>-46424.57</v>
      </c>
      <c r="U57" s="15"/>
      <c r="V57" s="35">
        <f>IF(T$12=0,0,T57/T$12)</f>
        <v>0</v>
      </c>
      <c r="W57" s="17"/>
      <c r="X57" s="30">
        <f>+P57-T57</f>
        <v>46424.57</v>
      </c>
      <c r="Y57" s="17"/>
      <c r="Z57" s="35">
        <f>IF(T57=0,0,X57/T57)</f>
        <v>-1</v>
      </c>
    </row>
    <row r="58" spans="1:26" ht="15" customHeight="1" x14ac:dyDescent="0.3">
      <c r="A58" s="12"/>
      <c r="C58" s="12"/>
      <c r="D58" s="19"/>
      <c r="E58" s="19"/>
      <c r="G58" s="19"/>
      <c r="H58" s="19"/>
      <c r="I58" s="19"/>
      <c r="J58" s="41"/>
      <c r="K58" s="19"/>
      <c r="L58" s="19"/>
      <c r="M58" s="19"/>
      <c r="P58" s="19"/>
      <c r="Q58" s="19"/>
      <c r="R58" s="41"/>
      <c r="S58" s="19"/>
      <c r="T58" s="19"/>
      <c r="U58" s="19"/>
      <c r="V58" s="41"/>
      <c r="W58" s="19"/>
      <c r="X58" s="19"/>
    </row>
    <row r="59" spans="1:26" ht="15" customHeight="1" x14ac:dyDescent="0.3">
      <c r="A59" s="12"/>
      <c r="B59" s="54">
        <v>44767.815885219905</v>
      </c>
      <c r="D59" s="19"/>
      <c r="E59" s="19"/>
      <c r="G59" s="19"/>
      <c r="H59" s="19"/>
      <c r="I59" s="19"/>
      <c r="J59" s="41"/>
      <c r="K59" s="19"/>
      <c r="L59" s="19"/>
      <c r="M59" s="19"/>
      <c r="P59" s="19"/>
      <c r="Q59" s="19"/>
      <c r="R59" s="41"/>
      <c r="S59" s="19"/>
      <c r="T59" s="19"/>
      <c r="U59" s="19"/>
      <c r="V59" s="41"/>
      <c r="W59" s="19"/>
      <c r="X59" s="19"/>
    </row>
    <row r="60" spans="1:26" ht="15" customHeight="1" x14ac:dyDescent="0.3">
      <c r="A60" s="12"/>
      <c r="B60" s="53" t="s">
        <v>297</v>
      </c>
      <c r="D60" s="19"/>
      <c r="E60" s="19"/>
      <c r="G60" s="19"/>
      <c r="H60" s="19"/>
      <c r="I60" s="19"/>
      <c r="J60" s="41"/>
      <c r="K60" s="19"/>
      <c r="L60" s="19"/>
      <c r="M60" s="19"/>
      <c r="P60" s="19"/>
      <c r="Q60" s="19"/>
      <c r="R60" s="41"/>
      <c r="S60" s="19"/>
      <c r="T60" s="19"/>
      <c r="U60" s="19"/>
      <c r="V60" s="41"/>
      <c r="W60" s="19"/>
      <c r="X60" s="19"/>
    </row>
    <row r="61" spans="1:26" ht="15" customHeight="1" x14ac:dyDescent="0.3">
      <c r="A61" s="12"/>
      <c r="B61" s="51"/>
      <c r="D61" s="19"/>
      <c r="E61" s="19"/>
      <c r="G61" s="19"/>
      <c r="H61" s="19"/>
      <c r="I61" s="19"/>
      <c r="J61" s="41"/>
      <c r="K61" s="19"/>
      <c r="L61" s="19"/>
      <c r="M61" s="19"/>
      <c r="P61" s="19"/>
      <c r="Q61" s="19"/>
      <c r="R61" s="41"/>
      <c r="S61" s="19"/>
      <c r="T61" s="19"/>
      <c r="U61" s="19"/>
      <c r="V61" s="41"/>
      <c r="W61" s="19"/>
      <c r="X61" s="19"/>
    </row>
    <row r="62" spans="1:26" ht="15" customHeight="1" x14ac:dyDescent="0.3">
      <c r="D62" s="19"/>
      <c r="E62" s="19"/>
      <c r="G62" s="19"/>
      <c r="H62" s="19"/>
      <c r="I62" s="19"/>
      <c r="J62" s="41"/>
      <c r="K62" s="19"/>
      <c r="L62" s="19"/>
      <c r="M62" s="19"/>
      <c r="P62" s="19"/>
      <c r="Q62" s="19"/>
      <c r="R62" s="41"/>
      <c r="S62" s="19"/>
      <c r="T62" s="19"/>
      <c r="U62" s="19"/>
      <c r="V62" s="41"/>
      <c r="W62" s="19"/>
      <c r="X6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B4B31-A617-BFAF-47CE-9E20A4209777}">
  <sheetPr>
    <tabColor rgb="FF92D050"/>
    <outlinePr summaryBelow="0" summaryRight="0"/>
  </sheetPr>
  <dimension ref="A2:Z7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","309"," - ","Carts")</f>
        <v>Department 309 - Carts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92376.910000000018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92376.910000000018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--14961.18</f>
        <v>14961.18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14961.18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","4051"," - ","TAXABLE SALES-FOOD")</f>
        <v xml:space="preserve">          4051 - TAXABLE SALES-FOOD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--25.17</f>
        <v>25.17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25.17</v>
      </c>
      <c r="Y14" s="3"/>
      <c r="Z14" s="26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","4100"," - ","NON-TAXABLE SALES")</f>
        <v xml:space="preserve">          4100 - NON-TAXABLE SALES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--77184.24</f>
        <v>77184.240000000005</v>
      </c>
      <c r="Q15" s="3"/>
      <c r="R15" s="26"/>
      <c r="S15" s="3"/>
      <c r="T15" s="3">
        <f>0</f>
        <v>0</v>
      </c>
      <c r="U15" s="3"/>
      <c r="V15" s="26"/>
      <c r="W15" s="3"/>
      <c r="X15" s="3">
        <f>+P15-T15</f>
        <v>77184.240000000005</v>
      </c>
      <c r="Y15" s="3"/>
      <c r="Z15" s="26">
        <f>IF(T15=0,0,X15/T15)</f>
        <v>0</v>
      </c>
    </row>
    <row r="16" spans="1:26" s="69" customFormat="1" ht="15" hidden="1" customHeight="1" outlineLevel="1" x14ac:dyDescent="0.3">
      <c r="A16" s="47"/>
      <c r="B16" s="9" t="str">
        <f>CONCATENATE("          ","4151"," - ","NON-TAXABLE SALES-FOOD")</f>
        <v xml:space="preserve">          4151 - NON-TAXABLE SALES-FOOD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--206.32</f>
        <v>206.32</v>
      </c>
      <c r="Q16" s="3"/>
      <c r="R16" s="26"/>
      <c r="S16" s="3"/>
      <c r="T16" s="3">
        <f>0</f>
        <v>0</v>
      </c>
      <c r="U16" s="3"/>
      <c r="V16" s="26"/>
      <c r="W16" s="3"/>
      <c r="X16" s="3">
        <f>+P16-T16</f>
        <v>206.32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collapsed="1" x14ac:dyDescent="0.3">
      <c r="A18" s="13"/>
      <c r="B18" s="27" t="s">
        <v>287</v>
      </c>
      <c r="C18" s="13"/>
      <c r="D18" s="8">
        <f>SUM(OSRRefD16x_0)</f>
        <v>850</v>
      </c>
      <c r="E18" s="8"/>
      <c r="F18" s="14">
        <f>IF(D$12=0,0,D18/D$12)</f>
        <v>0</v>
      </c>
      <c r="G18" s="8"/>
      <c r="H18" s="8">
        <f>SUM(OSRRefH16x_0)</f>
        <v>-179.4</v>
      </c>
      <c r="I18" s="8"/>
      <c r="J18" s="14">
        <f>IF(H$12=0,0,H18/H$12)</f>
        <v>0</v>
      </c>
      <c r="K18" s="8"/>
      <c r="L18" s="8">
        <f>+D18-H18</f>
        <v>1029.4000000000001</v>
      </c>
      <c r="M18" s="8"/>
      <c r="N18" s="14">
        <f>IF(H18=0,0,L18/H18)</f>
        <v>-5.7380156075808255</v>
      </c>
      <c r="O18" s="13"/>
      <c r="P18" s="8">
        <f>SUM(OSRRefP16x_0)</f>
        <v>41822.97</v>
      </c>
      <c r="Q18" s="8"/>
      <c r="R18" s="14">
        <f>IF(P$12=0,0,P18/P$12)</f>
        <v>0.45274268212695135</v>
      </c>
      <c r="S18" s="8"/>
      <c r="T18" s="8">
        <f>SUM(OSRRefT16x_0)</f>
        <v>-179.4</v>
      </c>
      <c r="U18" s="8"/>
      <c r="V18" s="14">
        <f>IF(T$12=0,0,T18/T$12)</f>
        <v>0</v>
      </c>
      <c r="W18" s="8"/>
      <c r="X18" s="8">
        <f>+P18-T18</f>
        <v>42002.37</v>
      </c>
      <c r="Y18" s="8"/>
      <c r="Z18" s="14">
        <f>IF(T18=0,0,X18/T18)</f>
        <v>-234.12692307692308</v>
      </c>
    </row>
    <row r="19" spans="1:26" s="69" customFormat="1" ht="15" hidden="1" customHeight="1" outlineLevel="1" x14ac:dyDescent="0.3">
      <c r="A19" s="47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>
        <v>0</v>
      </c>
      <c r="Q19" s="3"/>
      <c r="R19" s="26">
        <f>IF(P$12=0,0,P19/P$12)</f>
        <v>0</v>
      </c>
      <c r="S19" s="3"/>
      <c r="T19" s="3"/>
      <c r="U19" s="3"/>
      <c r="V19" s="26">
        <f>IF(T$12=0,0,T19/T$12)</f>
        <v>0</v>
      </c>
      <c r="W19" s="3"/>
      <c r="X19" s="3">
        <f>+P19-T19</f>
        <v>0</v>
      </c>
      <c r="Y19" s="3"/>
      <c r="Z19" s="26">
        <f>IF(T19=0,0,X19/T19)</f>
        <v>0</v>
      </c>
    </row>
    <row r="20" spans="1:26" s="69" customFormat="1" ht="15" hidden="1" customHeight="1" outlineLevel="1" x14ac:dyDescent="0.3">
      <c r="A20" s="47"/>
      <c r="B20" s="9" t="str">
        <f>CONCATENATE("          ","5053"," - ","PURCHASES @ COST-FOOD")</f>
        <v xml:space="preserve">          5053 - PURCHASES @ COST-FOOD</v>
      </c>
      <c r="C20" s="9"/>
      <c r="D20" s="3"/>
      <c r="E20" s="3"/>
      <c r="F20" s="26">
        <f>IF(D$12=0,0,D20/D$12)</f>
        <v>0</v>
      </c>
      <c r="G20" s="3"/>
      <c r="H20" s="3">
        <v>-179.4</v>
      </c>
      <c r="I20" s="3"/>
      <c r="J20" s="26">
        <f>IF(H$12=0,0,H20/H$12)</f>
        <v>0</v>
      </c>
      <c r="K20" s="3"/>
      <c r="L20" s="3">
        <f>+D20-H20</f>
        <v>179.4</v>
      </c>
      <c r="M20" s="3"/>
      <c r="N20" s="26">
        <f>IF(H20=0,0,L20/H20)</f>
        <v>-1</v>
      </c>
      <c r="O20" s="9"/>
      <c r="P20" s="3"/>
      <c r="Q20" s="3"/>
      <c r="R20" s="26">
        <f>IF(P$12=0,0,P20/P$12)</f>
        <v>0</v>
      </c>
      <c r="S20" s="3"/>
      <c r="T20" s="3">
        <v>-179.4</v>
      </c>
      <c r="U20" s="3"/>
      <c r="V20" s="26">
        <f>IF(T$12=0,0,T20/T$12)</f>
        <v>0</v>
      </c>
      <c r="W20" s="3"/>
      <c r="X20" s="3">
        <f>+P20-T20</f>
        <v>179.4</v>
      </c>
      <c r="Y20" s="3"/>
      <c r="Z20" s="26">
        <f>IF(T20=0,0,X20/T20)</f>
        <v>-1</v>
      </c>
    </row>
    <row r="21" spans="1:26" s="69" customFormat="1" ht="15" hidden="1" customHeight="1" outlineLevel="1" x14ac:dyDescent="0.3">
      <c r="A21" s="47"/>
      <c r="B21" s="9" t="str">
        <f>CONCATENATE("          ","5059"," - ","PURCHASES @ COST-FOOD")</f>
        <v xml:space="preserve">          5059 - PURCHASES @ COST-FOOD</v>
      </c>
      <c r="C21" s="9"/>
      <c r="D21" s="3">
        <v>850</v>
      </c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850</v>
      </c>
      <c r="M21" s="3"/>
      <c r="N21" s="26">
        <f>IF(H21=0,0,L21/H21)</f>
        <v>0</v>
      </c>
      <c r="O21" s="9"/>
      <c r="P21" s="3">
        <v>41822.97</v>
      </c>
      <c r="Q21" s="3"/>
      <c r="R21" s="26">
        <f>IF(P$12=0,0,P21/P$12)</f>
        <v>0.45274268212695135</v>
      </c>
      <c r="S21" s="3"/>
      <c r="T21" s="3"/>
      <c r="U21" s="3"/>
      <c r="V21" s="26">
        <f>IF(T$12=0,0,T21/T$12)</f>
        <v>0</v>
      </c>
      <c r="W21" s="3"/>
      <c r="X21" s="3">
        <f>+P21-T21</f>
        <v>41822.97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2" customFormat="1" ht="15" customHeight="1" x14ac:dyDescent="0.3">
      <c r="A23" s="13"/>
      <c r="B23" s="28" t="s">
        <v>288</v>
      </c>
      <c r="C23" s="28"/>
      <c r="D23" s="22">
        <f>D12-D18</f>
        <v>-850</v>
      </c>
      <c r="E23" s="15"/>
      <c r="F23" s="24">
        <f>IF(D$12=0,0,D23/D$12)</f>
        <v>0</v>
      </c>
      <c r="G23" s="15"/>
      <c r="H23" s="22">
        <f>H12-H18</f>
        <v>179.4</v>
      </c>
      <c r="I23" s="15"/>
      <c r="J23" s="24">
        <f>IF(H$12=0,0,H23/H$12)</f>
        <v>0</v>
      </c>
      <c r="K23" s="17"/>
      <c r="L23" s="22">
        <f>+D23-H23</f>
        <v>-1029.4000000000001</v>
      </c>
      <c r="M23" s="17"/>
      <c r="N23" s="24">
        <f>IF(H23=0,0,L23/H23)</f>
        <v>-5.7380156075808255</v>
      </c>
      <c r="O23" s="27"/>
      <c r="P23" s="22">
        <f>P12-P18</f>
        <v>50553.940000000017</v>
      </c>
      <c r="Q23" s="15"/>
      <c r="R23" s="24">
        <f>IF(P$12=0,0,P23/P$12)</f>
        <v>0.54725731787304865</v>
      </c>
      <c r="S23" s="15"/>
      <c r="T23" s="22">
        <f>T12-T18</f>
        <v>179.4</v>
      </c>
      <c r="U23" s="15"/>
      <c r="V23" s="24">
        <f>IF(T$12=0,0,T23/T$12)</f>
        <v>0</v>
      </c>
      <c r="W23" s="17"/>
      <c r="X23" s="22">
        <f>+P23-T23</f>
        <v>50374.540000000015</v>
      </c>
      <c r="Y23" s="17"/>
      <c r="Z23" s="24">
        <f>IF(T23=0,0,X23/T23)</f>
        <v>280.79453734671131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7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2" customFormat="1" ht="15" customHeight="1" x14ac:dyDescent="0.3">
      <c r="A25" s="13"/>
      <c r="B25" s="27" t="s">
        <v>289</v>
      </c>
      <c r="C25" s="13"/>
      <c r="D25" s="23" cm="1">
        <f t="array" ref="D25">SUM(OSRRefD22x_0)</f>
        <v>1232.3599999999999</v>
      </c>
      <c r="E25" s="23"/>
      <c r="F25" s="34">
        <f t="shared" ref="F25:F56" si="0">IF(D$12=0,0,D25/D$12)</f>
        <v>0</v>
      </c>
      <c r="G25" s="23"/>
      <c r="H25" s="23" cm="1">
        <f t="array" ref="H25">SUM(OSRRefH22x_0)</f>
        <v>1071.29</v>
      </c>
      <c r="I25" s="23"/>
      <c r="J25" s="34">
        <f t="shared" ref="J25:J56" si="1">IF(H$12=0,0,H25/H$12)</f>
        <v>0</v>
      </c>
      <c r="K25" s="8"/>
      <c r="L25" s="23">
        <f t="shared" ref="L25:L56" si="2">+D25-H25</f>
        <v>161.06999999999994</v>
      </c>
      <c r="M25" s="8"/>
      <c r="N25" s="34">
        <f t="shared" ref="N25:N56" si="3">IF(H25=0,0,L25/H25)</f>
        <v>0.15035144545361195</v>
      </c>
      <c r="O25" s="13"/>
      <c r="P25" s="23" cm="1">
        <f t="array" ref="P25">SUM(OSRRefP22x_0)</f>
        <v>37739.17</v>
      </c>
      <c r="Q25" s="23"/>
      <c r="R25" s="34">
        <f t="shared" ref="R25:R56" si="4">IF(P$12=0,0,P25/P$12)</f>
        <v>0.40853466521016985</v>
      </c>
      <c r="S25" s="23"/>
      <c r="T25" s="23" cm="1">
        <f t="array" ref="T25">SUM(OSRRefT22x_0)</f>
        <v>11332.689999999999</v>
      </c>
      <c r="U25" s="23"/>
      <c r="V25" s="34">
        <f t="shared" ref="V25:V56" si="5">IF(T$12=0,0,T25/T$12)</f>
        <v>0</v>
      </c>
      <c r="W25" s="8"/>
      <c r="X25" s="23">
        <f t="shared" ref="X25:X56" si="6">+P25-T25</f>
        <v>26406.48</v>
      </c>
      <c r="Y25" s="8"/>
      <c r="Z25" s="34">
        <f t="shared" ref="Z25:Z56" si="7">IF(T25=0,0,X25/T25)</f>
        <v>2.3301157977496962</v>
      </c>
    </row>
    <row r="26" spans="1:26" s="68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0</v>
      </c>
      <c r="E26" s="2"/>
      <c r="F26" s="5">
        <f t="shared" si="0"/>
        <v>0</v>
      </c>
      <c r="G26" s="2"/>
      <c r="H26" s="2">
        <f>SUM(OSRRefH22_0x_0)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SUM(OSRRefP22_0x_0)</f>
        <v>332.97</v>
      </c>
      <c r="Q26" s="2"/>
      <c r="R26" s="5">
        <f t="shared" si="4"/>
        <v>3.6044721565161681E-3</v>
      </c>
      <c r="S26" s="2"/>
      <c r="T26" s="2">
        <f>SUM(OSRRefT22_0x_0)</f>
        <v>0</v>
      </c>
      <c r="U26" s="2"/>
      <c r="V26" s="5">
        <f t="shared" si="5"/>
        <v>0</v>
      </c>
      <c r="W26" s="2"/>
      <c r="X26" s="2">
        <f t="shared" si="6"/>
        <v>332.97</v>
      </c>
      <c r="Y26" s="2"/>
      <c r="Z26" s="5">
        <f t="shared" si="7"/>
        <v>0</v>
      </c>
    </row>
    <row r="27" spans="1:26" s="69" customFormat="1" ht="15" hidden="1" customHeight="1" outlineLevel="2" x14ac:dyDescent="0.3">
      <c r="A27" s="21"/>
      <c r="B27" s="9" t="str">
        <f>CONCATENATE("          ","6112"," - ","COMPENSATION INSURANCE")</f>
        <v xml:space="preserve">          6112 - COMPENSATION INSURANCE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283.22000000000003</v>
      </c>
      <c r="Q27" s="3"/>
      <c r="R27" s="7">
        <f t="shared" si="4"/>
        <v>3.0659176627579336E-3</v>
      </c>
      <c r="S27" s="3"/>
      <c r="T27" s="6"/>
      <c r="U27" s="3"/>
      <c r="V27" s="7">
        <f t="shared" si="5"/>
        <v>0</v>
      </c>
      <c r="W27" s="3"/>
      <c r="X27" s="6">
        <f t="shared" si="6"/>
        <v>283.22000000000003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>
        <v>49.75</v>
      </c>
      <c r="Q28" s="3"/>
      <c r="R28" s="7">
        <f t="shared" si="4"/>
        <v>5.385544937582345E-4</v>
      </c>
      <c r="S28" s="3"/>
      <c r="T28" s="6"/>
      <c r="U28" s="3"/>
      <c r="V28" s="7">
        <f t="shared" si="5"/>
        <v>0</v>
      </c>
      <c r="W28" s="3"/>
      <c r="X28" s="6">
        <f t="shared" si="6"/>
        <v>49.75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100.5</v>
      </c>
      <c r="E29" s="2"/>
      <c r="F29" s="5">
        <f t="shared" si="0"/>
        <v>0</v>
      </c>
      <c r="G29" s="2"/>
      <c r="H29" s="2">
        <f>SUM(OSRRefH22_1x_0)</f>
        <v>0</v>
      </c>
      <c r="I29" s="2"/>
      <c r="J29" s="5">
        <f t="shared" si="1"/>
        <v>0</v>
      </c>
      <c r="K29" s="2"/>
      <c r="L29" s="2">
        <f t="shared" si="2"/>
        <v>100.5</v>
      </c>
      <c r="M29" s="2"/>
      <c r="N29" s="5">
        <f t="shared" si="3"/>
        <v>0</v>
      </c>
      <c r="O29" s="11"/>
      <c r="P29" s="2">
        <f>SUM(OSRRefP22_1x_0)</f>
        <v>19083.75</v>
      </c>
      <c r="Q29" s="2"/>
      <c r="R29" s="5">
        <f t="shared" si="4"/>
        <v>0.20658571498007453</v>
      </c>
      <c r="S29" s="2"/>
      <c r="T29" s="2">
        <f>SUM(OSRRefT22_1x_0)</f>
        <v>0</v>
      </c>
      <c r="U29" s="2"/>
      <c r="V29" s="5">
        <f t="shared" si="5"/>
        <v>0</v>
      </c>
      <c r="W29" s="2"/>
      <c r="X29" s="2">
        <f t="shared" si="6"/>
        <v>19083.75</v>
      </c>
      <c r="Y29" s="2"/>
      <c r="Z29" s="5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","6007"," - ","STUDENT HOURLY")</f>
        <v xml:space="preserve">          6007 - STUDENT HOURLY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>
        <v>11956.84</v>
      </c>
      <c r="Q30" s="3"/>
      <c r="R30" s="7">
        <f t="shared" si="4"/>
        <v>0.12943537513865747</v>
      </c>
      <c r="S30" s="3"/>
      <c r="T30" s="6"/>
      <c r="U30" s="3"/>
      <c r="V30" s="7">
        <f t="shared" si="5"/>
        <v>0</v>
      </c>
      <c r="W30" s="3"/>
      <c r="X30" s="6">
        <f t="shared" si="6"/>
        <v>11956.84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1"/>
      <c r="B31" s="9" t="str">
        <f>CONCATENATE("          ","6008"," - ","STUDENT HOURLY-FICA EXEMPT")</f>
        <v xml:space="preserve">          6008 - STUDENT HOURLY-FICA EXEMPT</v>
      </c>
      <c r="C31" s="9"/>
      <c r="D31" s="6">
        <v>100.5</v>
      </c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100.5</v>
      </c>
      <c r="M31" s="3"/>
      <c r="N31" s="7">
        <f t="shared" si="3"/>
        <v>0</v>
      </c>
      <c r="O31" s="9"/>
      <c r="P31" s="6">
        <v>7126.91</v>
      </c>
      <c r="Q31" s="3"/>
      <c r="R31" s="7">
        <f t="shared" si="4"/>
        <v>7.7150339841417059E-2</v>
      </c>
      <c r="S31" s="3"/>
      <c r="T31" s="6"/>
      <c r="U31" s="3"/>
      <c r="V31" s="7">
        <f t="shared" si="5"/>
        <v>0</v>
      </c>
      <c r="W31" s="3"/>
      <c r="X31" s="6">
        <f t="shared" si="6"/>
        <v>7126.91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0"/>
      <c r="B32" s="11" t="str">
        <f>CONCATENATE("     ","Advertising/Promo                                 ")</f>
        <v xml:space="preserve">     Advertising/Promo                                 </v>
      </c>
      <c r="C32" s="11"/>
      <c r="D32" s="2">
        <f>SUM(OSRRefD22_2x_0)</f>
        <v>0</v>
      </c>
      <c r="E32" s="2"/>
      <c r="F32" s="5">
        <f t="shared" si="0"/>
        <v>0</v>
      </c>
      <c r="G32" s="2"/>
      <c r="H32" s="2">
        <f>SUM(OSRRefH22_2x_0)</f>
        <v>0</v>
      </c>
      <c r="I32" s="2"/>
      <c r="J32" s="5">
        <f t="shared" si="1"/>
        <v>0</v>
      </c>
      <c r="K32" s="2"/>
      <c r="L32" s="2">
        <f t="shared" si="2"/>
        <v>0</v>
      </c>
      <c r="M32" s="2"/>
      <c r="N32" s="5">
        <f t="shared" si="3"/>
        <v>0</v>
      </c>
      <c r="O32" s="11"/>
      <c r="P32" s="2">
        <f>SUM(OSRRefP22_2x_0)</f>
        <v>46.31</v>
      </c>
      <c r="Q32" s="2"/>
      <c r="R32" s="5">
        <f t="shared" si="4"/>
        <v>5.0131575087324304E-4</v>
      </c>
      <c r="S32" s="2"/>
      <c r="T32" s="2">
        <f>SUM(OSRRefT22_2x_0)</f>
        <v>0</v>
      </c>
      <c r="U32" s="2"/>
      <c r="V32" s="5">
        <f t="shared" si="5"/>
        <v>0</v>
      </c>
      <c r="W32" s="2"/>
      <c r="X32" s="2">
        <f t="shared" si="6"/>
        <v>46.31</v>
      </c>
      <c r="Y32" s="2"/>
      <c r="Z32" s="5">
        <f t="shared" si="7"/>
        <v>0</v>
      </c>
    </row>
    <row r="33" spans="1:26" s="69" customFormat="1" ht="15" hidden="1" customHeight="1" outlineLevel="2" x14ac:dyDescent="0.3">
      <c r="A33" s="21"/>
      <c r="B33" s="9" t="str">
        <f>CONCATENATE("          ","6362"," - ","ADVERTISING EXPENSE")</f>
        <v xml:space="preserve">          6362 - ADVERTISING EXPENSE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46.31</v>
      </c>
      <c r="Q33" s="3"/>
      <c r="R33" s="7">
        <f t="shared" si="4"/>
        <v>5.0131575087324304E-4</v>
      </c>
      <c r="S33" s="3"/>
      <c r="T33" s="6"/>
      <c r="U33" s="3"/>
      <c r="V33" s="7">
        <f t="shared" si="5"/>
        <v>0</v>
      </c>
      <c r="W33" s="3"/>
      <c r="X33" s="6">
        <f t="shared" si="6"/>
        <v>46.31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0"/>
      <c r="B34" s="11" t="str">
        <f>CONCATENATE("     ","Bad Debts/Over/Short                              ")</f>
        <v xml:space="preserve">     Bad Debts/Over/Short                              </v>
      </c>
      <c r="C34" s="11"/>
      <c r="D34" s="2">
        <f>SUM(OSRRefD22_3x_0)</f>
        <v>0</v>
      </c>
      <c r="E34" s="2"/>
      <c r="F34" s="5">
        <f t="shared" si="0"/>
        <v>0</v>
      </c>
      <c r="G34" s="2"/>
      <c r="H34" s="2">
        <f>SUM(OSRRefH22_3x_0)</f>
        <v>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SUM(OSRRefP22_3x_0)</f>
        <v>-2.98</v>
      </c>
      <c r="Q34" s="2"/>
      <c r="R34" s="5">
        <f t="shared" si="4"/>
        <v>-3.2259143545719376E-5</v>
      </c>
      <c r="S34" s="2"/>
      <c r="T34" s="2">
        <f>SUM(OSRRefT22_3x_0)</f>
        <v>0</v>
      </c>
      <c r="U34" s="2"/>
      <c r="V34" s="5">
        <f t="shared" si="5"/>
        <v>0</v>
      </c>
      <c r="W34" s="2"/>
      <c r="X34" s="2">
        <f t="shared" si="6"/>
        <v>-2.98</v>
      </c>
      <c r="Y34" s="2"/>
      <c r="Z34" s="5">
        <f t="shared" si="7"/>
        <v>0</v>
      </c>
    </row>
    <row r="35" spans="1:26" s="69" customFormat="1" ht="15" hidden="1" customHeight="1" outlineLevel="2" x14ac:dyDescent="0.3">
      <c r="A35" s="21"/>
      <c r="B35" s="9" t="str">
        <f>CONCATENATE("          ","6272"," - ","CASH (OVER/SHORT)")</f>
        <v xml:space="preserve">          6272 - CASH (OVER/SHORT)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-2.98</v>
      </c>
      <c r="Q35" s="3"/>
      <c r="R35" s="7">
        <f t="shared" si="4"/>
        <v>-3.2259143545719376E-5</v>
      </c>
      <c r="S35" s="3"/>
      <c r="T35" s="6"/>
      <c r="U35" s="3"/>
      <c r="V35" s="7">
        <f t="shared" si="5"/>
        <v>0</v>
      </c>
      <c r="W35" s="3"/>
      <c r="X35" s="6">
        <f t="shared" si="6"/>
        <v>-2.98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0"/>
      <c r="B36" s="11" t="str">
        <f>CONCATENATE("     ","Bank/card Fees                                    ")</f>
        <v xml:space="preserve">     Bank/card Fees                                    </v>
      </c>
      <c r="C36" s="11"/>
      <c r="D36" s="2">
        <f>SUM(OSRRefD22_4x_0)</f>
        <v>38.65</v>
      </c>
      <c r="E36" s="2"/>
      <c r="F36" s="5">
        <f t="shared" si="0"/>
        <v>0</v>
      </c>
      <c r="G36" s="2"/>
      <c r="H36" s="2">
        <f>SUM(OSRRefH22_4x_0)</f>
        <v>0</v>
      </c>
      <c r="I36" s="2"/>
      <c r="J36" s="5">
        <f t="shared" si="1"/>
        <v>0</v>
      </c>
      <c r="K36" s="2"/>
      <c r="L36" s="2">
        <f t="shared" si="2"/>
        <v>38.65</v>
      </c>
      <c r="M36" s="2"/>
      <c r="N36" s="5">
        <f t="shared" si="3"/>
        <v>0</v>
      </c>
      <c r="O36" s="11"/>
      <c r="P36" s="2">
        <f>SUM(OSRRefP22_4x_0)</f>
        <v>4735.4399999999996</v>
      </c>
      <c r="Q36" s="2"/>
      <c r="R36" s="5">
        <f t="shared" si="4"/>
        <v>5.1262160641658165E-2</v>
      </c>
      <c r="S36" s="2"/>
      <c r="T36" s="2">
        <f>SUM(OSRRefT22_4x_0)</f>
        <v>0</v>
      </c>
      <c r="U36" s="2"/>
      <c r="V36" s="5">
        <f t="shared" si="5"/>
        <v>0</v>
      </c>
      <c r="W36" s="2"/>
      <c r="X36" s="2">
        <f t="shared" si="6"/>
        <v>4735.4399999999996</v>
      </c>
      <c r="Y36" s="2"/>
      <c r="Z36" s="5">
        <f t="shared" si="7"/>
        <v>0</v>
      </c>
    </row>
    <row r="37" spans="1:26" s="69" customFormat="1" ht="15" hidden="1" customHeight="1" outlineLevel="2" x14ac:dyDescent="0.3">
      <c r="A37" s="21"/>
      <c r="B37" s="9" t="str">
        <f>CONCATENATE("          ","6381"," - ","BANK/CREDIT CARD FEES")</f>
        <v xml:space="preserve">          6381 - BANK/CREDIT CARD FEES</v>
      </c>
      <c r="C37" s="9"/>
      <c r="D37" s="6">
        <v>38.65</v>
      </c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38.65</v>
      </c>
      <c r="M37" s="3"/>
      <c r="N37" s="7">
        <f t="shared" si="3"/>
        <v>0</v>
      </c>
      <c r="O37" s="9"/>
      <c r="P37" s="6">
        <v>4735.4399999999996</v>
      </c>
      <c r="Q37" s="3"/>
      <c r="R37" s="7">
        <f t="shared" si="4"/>
        <v>5.1262160641658165E-2</v>
      </c>
      <c r="S37" s="3"/>
      <c r="T37" s="6"/>
      <c r="U37" s="3"/>
      <c r="V37" s="7">
        <f t="shared" si="5"/>
        <v>0</v>
      </c>
      <c r="W37" s="3"/>
      <c r="X37" s="6">
        <f t="shared" si="6"/>
        <v>4735.4399999999996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0"/>
      <c r="B38" s="11" t="str">
        <f>CONCATENATE("     ","Depreciation                                      ")</f>
        <v xml:space="preserve">     Depreciation                                      </v>
      </c>
      <c r="C38" s="11"/>
      <c r="D38" s="2">
        <f>SUM(OSRRefD22_5x_0)</f>
        <v>588.96</v>
      </c>
      <c r="E38" s="2"/>
      <c r="F38" s="5">
        <f t="shared" si="0"/>
        <v>0</v>
      </c>
      <c r="G38" s="2"/>
      <c r="H38" s="2">
        <f>SUM(OSRRefH22_5x_0)</f>
        <v>588.14</v>
      </c>
      <c r="I38" s="2"/>
      <c r="J38" s="5">
        <f t="shared" si="1"/>
        <v>0</v>
      </c>
      <c r="K38" s="2"/>
      <c r="L38" s="2">
        <f t="shared" si="2"/>
        <v>0.82000000000005002</v>
      </c>
      <c r="M38" s="2"/>
      <c r="N38" s="5">
        <f t="shared" si="3"/>
        <v>1.3942258645901486E-3</v>
      </c>
      <c r="O38" s="11"/>
      <c r="P38" s="2">
        <f>SUM(OSRRefP22_5x_0)</f>
        <v>7067.3</v>
      </c>
      <c r="Q38" s="2"/>
      <c r="R38" s="5">
        <f t="shared" si="4"/>
        <v>7.6505048718343127E-2</v>
      </c>
      <c r="S38" s="2"/>
      <c r="T38" s="2">
        <f>SUM(OSRRefT22_5x_0)</f>
        <v>6793.79</v>
      </c>
      <c r="U38" s="2"/>
      <c r="V38" s="5">
        <f t="shared" si="5"/>
        <v>0</v>
      </c>
      <c r="W38" s="2"/>
      <c r="X38" s="2">
        <f t="shared" si="6"/>
        <v>273.51000000000022</v>
      </c>
      <c r="Y38" s="2"/>
      <c r="Z38" s="5">
        <f t="shared" si="7"/>
        <v>4.0258824603056645E-2</v>
      </c>
    </row>
    <row r="39" spans="1:26" s="69" customFormat="1" ht="15" hidden="1" customHeight="1" outlineLevel="2" x14ac:dyDescent="0.3">
      <c r="A39" s="21"/>
      <c r="B39" s="9" t="str">
        <f>CONCATENATE("          ","6322"," - ","EQUIPMENT DEPRECIATION EXPENSE")</f>
        <v xml:space="preserve">          6322 - EQUIPMENT DEPRECIATION EXPENSE</v>
      </c>
      <c r="C39" s="9"/>
      <c r="D39" s="6">
        <v>588.96</v>
      </c>
      <c r="E39" s="3"/>
      <c r="F39" s="7">
        <f t="shared" si="0"/>
        <v>0</v>
      </c>
      <c r="G39" s="3"/>
      <c r="H39" s="6">
        <v>588.14</v>
      </c>
      <c r="I39" s="3"/>
      <c r="J39" s="7">
        <f t="shared" si="1"/>
        <v>0</v>
      </c>
      <c r="K39" s="3"/>
      <c r="L39" s="6">
        <f t="shared" si="2"/>
        <v>0.82000000000005002</v>
      </c>
      <c r="M39" s="3"/>
      <c r="N39" s="7">
        <f t="shared" si="3"/>
        <v>1.3942258645901486E-3</v>
      </c>
      <c r="O39" s="9"/>
      <c r="P39" s="6">
        <v>7067.3</v>
      </c>
      <c r="Q39" s="3"/>
      <c r="R39" s="7">
        <f t="shared" si="4"/>
        <v>7.6505048718343127E-2</v>
      </c>
      <c r="S39" s="3"/>
      <c r="T39" s="6">
        <v>6793.79</v>
      </c>
      <c r="U39" s="3"/>
      <c r="V39" s="7">
        <f t="shared" si="5"/>
        <v>0</v>
      </c>
      <c r="W39" s="3"/>
      <c r="X39" s="6">
        <f t="shared" si="6"/>
        <v>273.51000000000022</v>
      </c>
      <c r="Y39" s="3"/>
      <c r="Z39" s="7">
        <f t="shared" si="7"/>
        <v>4.0258824603056645E-2</v>
      </c>
    </row>
    <row r="40" spans="1:26" s="68" customFormat="1" ht="15" customHeight="1" outlineLevel="1" collapsed="1" x14ac:dyDescent="0.3">
      <c r="A40" s="20"/>
      <c r="B40" s="11" t="str">
        <f>CONCATENATE("     ","Equipment Rental                                  ")</f>
        <v xml:space="preserve">     Equipment Rental                                  </v>
      </c>
      <c r="C40" s="11"/>
      <c r="D40" s="2">
        <f>SUM(OSRRefD22_6x_0)</f>
        <v>0</v>
      </c>
      <c r="E40" s="2"/>
      <c r="F40" s="5">
        <f t="shared" si="0"/>
        <v>0</v>
      </c>
      <c r="G40" s="2"/>
      <c r="H40" s="2">
        <f>SUM(OSRRefH22_6x_0)</f>
        <v>0</v>
      </c>
      <c r="I40" s="2"/>
      <c r="J40" s="5">
        <f t="shared" si="1"/>
        <v>0</v>
      </c>
      <c r="K40" s="2"/>
      <c r="L40" s="2">
        <f t="shared" si="2"/>
        <v>0</v>
      </c>
      <c r="M40" s="2"/>
      <c r="N40" s="5">
        <f t="shared" si="3"/>
        <v>0</v>
      </c>
      <c r="O40" s="11"/>
      <c r="P40" s="2">
        <f>SUM(OSRRefP22_6x_0)</f>
        <v>30</v>
      </c>
      <c r="Q40" s="2"/>
      <c r="R40" s="5">
        <f t="shared" si="4"/>
        <v>3.2475647864818163E-4</v>
      </c>
      <c r="S40" s="2"/>
      <c r="T40" s="2">
        <f>SUM(OSRRefT22_6x_0)</f>
        <v>12</v>
      </c>
      <c r="U40" s="2"/>
      <c r="V40" s="5">
        <f t="shared" si="5"/>
        <v>0</v>
      </c>
      <c r="W40" s="2"/>
      <c r="X40" s="2">
        <f t="shared" si="6"/>
        <v>18</v>
      </c>
      <c r="Y40" s="2"/>
      <c r="Z40" s="5">
        <f t="shared" si="7"/>
        <v>1.5</v>
      </c>
    </row>
    <row r="41" spans="1:26" s="69" customFormat="1" ht="15" hidden="1" customHeight="1" outlineLevel="2" x14ac:dyDescent="0.3">
      <c r="A41" s="21"/>
      <c r="B41" s="9" t="str">
        <f>CONCATENATE("          ","6351"," - ","EQUIPMENT RENTAL")</f>
        <v xml:space="preserve">          6351 - EQUIPMENT RENTAL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30</v>
      </c>
      <c r="Q41" s="3"/>
      <c r="R41" s="7">
        <f t="shared" si="4"/>
        <v>3.2475647864818163E-4</v>
      </c>
      <c r="S41" s="3"/>
      <c r="T41" s="6">
        <v>12</v>
      </c>
      <c r="U41" s="3"/>
      <c r="V41" s="7">
        <f t="shared" si="5"/>
        <v>0</v>
      </c>
      <c r="W41" s="3"/>
      <c r="X41" s="6">
        <f t="shared" si="6"/>
        <v>18</v>
      </c>
      <c r="Y41" s="3"/>
      <c r="Z41" s="7">
        <f t="shared" si="7"/>
        <v>1.5</v>
      </c>
    </row>
    <row r="42" spans="1:26" s="68" customFormat="1" ht="15" customHeight="1" outlineLevel="1" collapsed="1" x14ac:dyDescent="0.3">
      <c r="A42" s="20"/>
      <c r="B42" s="11" t="str">
        <f>CONCATENATE("     ","General                                           ")</f>
        <v xml:space="preserve">     General                                           </v>
      </c>
      <c r="C42" s="11"/>
      <c r="D42" s="2">
        <f>SUM(OSRRefD22_7x_0)</f>
        <v>0</v>
      </c>
      <c r="E42" s="2"/>
      <c r="F42" s="5">
        <f t="shared" si="0"/>
        <v>0</v>
      </c>
      <c r="G42" s="2"/>
      <c r="H42" s="2">
        <f>SUM(OSRRefH22_7x_0)</f>
        <v>0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SUM(OSRRefP22_7x_0)</f>
        <v>1103.44</v>
      </c>
      <c r="Q42" s="2"/>
      <c r="R42" s="5">
        <f t="shared" si="4"/>
        <v>1.1944976293318317E-2</v>
      </c>
      <c r="S42" s="2"/>
      <c r="T42" s="2">
        <f>SUM(OSRRefT22_7x_0)</f>
        <v>575</v>
      </c>
      <c r="U42" s="2"/>
      <c r="V42" s="5">
        <f t="shared" si="5"/>
        <v>0</v>
      </c>
      <c r="W42" s="2"/>
      <c r="X42" s="2">
        <f t="shared" si="6"/>
        <v>528.44000000000005</v>
      </c>
      <c r="Y42" s="2"/>
      <c r="Z42" s="5">
        <f t="shared" si="7"/>
        <v>0.91902608695652188</v>
      </c>
    </row>
    <row r="43" spans="1:26" s="69" customFormat="1" ht="15" hidden="1" customHeight="1" outlineLevel="2" x14ac:dyDescent="0.3">
      <c r="A43" s="21"/>
      <c r="B43" s="9" t="str">
        <f>CONCATENATE("          ","6279"," - ","GENERAL EXPENSE")</f>
        <v xml:space="preserve">          6279 - GENERAL EXPENSE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1103.44</v>
      </c>
      <c r="Q43" s="3"/>
      <c r="R43" s="7">
        <f t="shared" si="4"/>
        <v>1.1944976293318317E-2</v>
      </c>
      <c r="S43" s="3"/>
      <c r="T43" s="6">
        <v>575</v>
      </c>
      <c r="U43" s="3"/>
      <c r="V43" s="7">
        <f t="shared" si="5"/>
        <v>0</v>
      </c>
      <c r="W43" s="3"/>
      <c r="X43" s="6">
        <f t="shared" si="6"/>
        <v>528.44000000000005</v>
      </c>
      <c r="Y43" s="3"/>
      <c r="Z43" s="7">
        <f t="shared" si="7"/>
        <v>0.91902608695652188</v>
      </c>
    </row>
    <row r="44" spans="1:26" s="68" customFormat="1" ht="15" customHeight="1" outlineLevel="1" collapsed="1" x14ac:dyDescent="0.3">
      <c r="A44" s="20"/>
      <c r="B44" s="11" t="str">
        <f>CONCATENATE("     ","Repair and Maintenance                            ")</f>
        <v xml:space="preserve">     Repair and Maintenance                            </v>
      </c>
      <c r="C44" s="11"/>
      <c r="D44" s="2">
        <f>SUM(OSRRefD22_8x_0)</f>
        <v>216.08</v>
      </c>
      <c r="E44" s="2"/>
      <c r="F44" s="5">
        <f t="shared" si="0"/>
        <v>0</v>
      </c>
      <c r="G44" s="2"/>
      <c r="H44" s="2">
        <f>SUM(OSRRefH22_8x_0)</f>
        <v>132.9</v>
      </c>
      <c r="I44" s="2"/>
      <c r="J44" s="5">
        <f t="shared" si="1"/>
        <v>0</v>
      </c>
      <c r="K44" s="2"/>
      <c r="L44" s="2">
        <f t="shared" si="2"/>
        <v>83.18</v>
      </c>
      <c r="M44" s="2"/>
      <c r="N44" s="5">
        <f t="shared" si="3"/>
        <v>0.62588412340105348</v>
      </c>
      <c r="O44" s="11"/>
      <c r="P44" s="2">
        <f>SUM(OSRRefP22_8x_0)</f>
        <v>2236.25</v>
      </c>
      <c r="Q44" s="2"/>
      <c r="R44" s="5">
        <f t="shared" si="4"/>
        <v>2.4207889179233204E-2</v>
      </c>
      <c r="S44" s="2"/>
      <c r="T44" s="2">
        <f>SUM(OSRRefT22_8x_0)</f>
        <v>1413.18</v>
      </c>
      <c r="U44" s="2"/>
      <c r="V44" s="5">
        <f t="shared" si="5"/>
        <v>0</v>
      </c>
      <c r="W44" s="2"/>
      <c r="X44" s="2">
        <f t="shared" si="6"/>
        <v>823.06999999999994</v>
      </c>
      <c r="Y44" s="2"/>
      <c r="Z44" s="5">
        <f t="shared" si="7"/>
        <v>0.58242403657000519</v>
      </c>
    </row>
    <row r="45" spans="1:26" s="69" customFormat="1" ht="15" hidden="1" customHeight="1" outlineLevel="2" x14ac:dyDescent="0.3">
      <c r="A45" s="21"/>
      <c r="B45" s="9" t="str">
        <f>CONCATENATE("          ","6373"," - ","MAINTENANCE CONTRACTS")</f>
        <v xml:space="preserve">          6373 - MAINTENANCE CONTRACTS</v>
      </c>
      <c r="C45" s="9"/>
      <c r="D45" s="6"/>
      <c r="E45" s="3"/>
      <c r="F45" s="7">
        <f t="shared" si="0"/>
        <v>0</v>
      </c>
      <c r="G45" s="3"/>
      <c r="H45" s="6">
        <v>47.9</v>
      </c>
      <c r="I45" s="3"/>
      <c r="J45" s="7">
        <f t="shared" si="1"/>
        <v>0</v>
      </c>
      <c r="K45" s="3"/>
      <c r="L45" s="6">
        <f t="shared" si="2"/>
        <v>-47.9</v>
      </c>
      <c r="M45" s="3"/>
      <c r="N45" s="7">
        <f t="shared" si="3"/>
        <v>-1</v>
      </c>
      <c r="O45" s="9"/>
      <c r="P45" s="6">
        <v>147.76</v>
      </c>
      <c r="Q45" s="3"/>
      <c r="R45" s="7">
        <f t="shared" si="4"/>
        <v>1.5995339095018436E-3</v>
      </c>
      <c r="S45" s="3"/>
      <c r="T45" s="6">
        <v>310.49</v>
      </c>
      <c r="U45" s="3"/>
      <c r="V45" s="7">
        <f t="shared" si="5"/>
        <v>0</v>
      </c>
      <c r="W45" s="3"/>
      <c r="X45" s="6">
        <f t="shared" si="6"/>
        <v>-162.73000000000002</v>
      </c>
      <c r="Y45" s="3"/>
      <c r="Z45" s="7">
        <f t="shared" si="7"/>
        <v>-0.52410705658797385</v>
      </c>
    </row>
    <row r="46" spans="1:26" s="69" customFormat="1" ht="15" hidden="1" customHeight="1" outlineLevel="2" x14ac:dyDescent="0.3">
      <c r="A46" s="21"/>
      <c r="B46" s="9" t="str">
        <f>CONCATENATE("          ","6375"," - ","OUTSIDE REPAIRS &amp; MAINTENANCE")</f>
        <v xml:space="preserve">          6375 - OUTSIDE REPAIRS &amp; MAINTENANCE</v>
      </c>
      <c r="C46" s="9"/>
      <c r="D46" s="6">
        <v>216.08</v>
      </c>
      <c r="E46" s="3"/>
      <c r="F46" s="7">
        <f t="shared" si="0"/>
        <v>0</v>
      </c>
      <c r="G46" s="3"/>
      <c r="H46" s="6">
        <v>85</v>
      </c>
      <c r="I46" s="3"/>
      <c r="J46" s="7">
        <f t="shared" si="1"/>
        <v>0</v>
      </c>
      <c r="K46" s="3"/>
      <c r="L46" s="6">
        <f t="shared" si="2"/>
        <v>131.08000000000001</v>
      </c>
      <c r="M46" s="3"/>
      <c r="N46" s="7">
        <f t="shared" si="3"/>
        <v>1.5421176470588236</v>
      </c>
      <c r="O46" s="9"/>
      <c r="P46" s="6">
        <v>2088.4899999999998</v>
      </c>
      <c r="Q46" s="3"/>
      <c r="R46" s="7">
        <f t="shared" si="4"/>
        <v>2.2608355269731359E-2</v>
      </c>
      <c r="S46" s="3"/>
      <c r="T46" s="6">
        <v>1102.69</v>
      </c>
      <c r="U46" s="3"/>
      <c r="V46" s="7">
        <f t="shared" si="5"/>
        <v>0</v>
      </c>
      <c r="W46" s="3"/>
      <c r="X46" s="6">
        <f t="shared" si="6"/>
        <v>985.79999999999973</v>
      </c>
      <c r="Y46" s="3"/>
      <c r="Z46" s="7">
        <f t="shared" si="7"/>
        <v>0.89399559259628691</v>
      </c>
    </row>
    <row r="47" spans="1:26" s="68" customFormat="1" ht="15" customHeight="1" outlineLevel="1" collapsed="1" x14ac:dyDescent="0.3">
      <c r="A47" s="20"/>
      <c r="B47" s="11" t="str">
        <f>CONCATENATE("     ","Services                                          ")</f>
        <v xml:space="preserve">     Services                                          </v>
      </c>
      <c r="C47" s="11"/>
      <c r="D47" s="2">
        <f>SUM(OSRRefD22_9x_0)</f>
        <v>296.05</v>
      </c>
      <c r="E47" s="2"/>
      <c r="F47" s="5">
        <f t="shared" si="0"/>
        <v>0</v>
      </c>
      <c r="G47" s="2"/>
      <c r="H47" s="2">
        <f>SUM(OSRRefH22_9x_0)</f>
        <v>320.25</v>
      </c>
      <c r="I47" s="2"/>
      <c r="J47" s="5">
        <f t="shared" si="1"/>
        <v>0</v>
      </c>
      <c r="K47" s="2"/>
      <c r="L47" s="2">
        <f t="shared" si="2"/>
        <v>-24.199999999999989</v>
      </c>
      <c r="M47" s="2"/>
      <c r="N47" s="5">
        <f t="shared" si="3"/>
        <v>-7.5565964090554216E-2</v>
      </c>
      <c r="O47" s="11"/>
      <c r="P47" s="2">
        <f>SUM(OSRRefP22_9x_0)</f>
        <v>2576.3900000000003</v>
      </c>
      <c r="Q47" s="2"/>
      <c r="R47" s="5">
        <f t="shared" si="4"/>
        <v>2.7889978134146291E-2</v>
      </c>
      <c r="S47" s="2"/>
      <c r="T47" s="2">
        <f>SUM(OSRRefT22_9x_0)</f>
        <v>2084.4</v>
      </c>
      <c r="U47" s="2"/>
      <c r="V47" s="5">
        <f t="shared" si="5"/>
        <v>0</v>
      </c>
      <c r="W47" s="2"/>
      <c r="X47" s="2">
        <f t="shared" si="6"/>
        <v>491.99000000000024</v>
      </c>
      <c r="Y47" s="2"/>
      <c r="Z47" s="5">
        <f t="shared" si="7"/>
        <v>0.23603435041258886</v>
      </c>
    </row>
    <row r="48" spans="1:26" s="69" customFormat="1" ht="15" hidden="1" customHeight="1" outlineLevel="2" x14ac:dyDescent="0.3">
      <c r="A48" s="21"/>
      <c r="B48" s="9" t="str">
        <f>CONCATENATE("          ","6282"," - ","JANITORIAL/EXTERMINATOR EXPENS")</f>
        <v xml:space="preserve">          6282 - JANITORIAL/EXTERMINATOR EXPENS</v>
      </c>
      <c r="C48" s="9"/>
      <c r="D48" s="6">
        <v>296.05</v>
      </c>
      <c r="E48" s="3"/>
      <c r="F48" s="7">
        <f t="shared" si="0"/>
        <v>0</v>
      </c>
      <c r="G48" s="3"/>
      <c r="H48" s="6">
        <v>320.25</v>
      </c>
      <c r="I48" s="3"/>
      <c r="J48" s="7">
        <f t="shared" si="1"/>
        <v>0</v>
      </c>
      <c r="K48" s="3"/>
      <c r="L48" s="6">
        <f t="shared" si="2"/>
        <v>-24.199999999999989</v>
      </c>
      <c r="M48" s="3"/>
      <c r="N48" s="7">
        <f t="shared" si="3"/>
        <v>-7.5565964090554216E-2</v>
      </c>
      <c r="O48" s="9"/>
      <c r="P48" s="6">
        <v>2330.5500000000002</v>
      </c>
      <c r="Q48" s="3"/>
      <c r="R48" s="7">
        <f t="shared" si="4"/>
        <v>2.522870704378399E-2</v>
      </c>
      <c r="S48" s="3"/>
      <c r="T48" s="6">
        <v>2257.44</v>
      </c>
      <c r="U48" s="3"/>
      <c r="V48" s="7">
        <f t="shared" si="5"/>
        <v>0</v>
      </c>
      <c r="W48" s="3"/>
      <c r="X48" s="6">
        <f t="shared" si="6"/>
        <v>73.110000000000127</v>
      </c>
      <c r="Y48" s="3"/>
      <c r="Z48" s="7">
        <f t="shared" si="7"/>
        <v>3.2386242823729587E-2</v>
      </c>
    </row>
    <row r="49" spans="1:26" s="69" customFormat="1" ht="15" hidden="1" customHeight="1" outlineLevel="2" x14ac:dyDescent="0.3">
      <c r="A49" s="21"/>
      <c r="B49" s="9" t="str">
        <f>CONCATENATE("          ","6285"," - ","JANITORIAL SERVICES")</f>
        <v xml:space="preserve">          6285 - JANITORIAL SERVICES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245.84</v>
      </c>
      <c r="Q49" s="3"/>
      <c r="R49" s="7">
        <f t="shared" si="4"/>
        <v>2.661271090362299E-3</v>
      </c>
      <c r="S49" s="3"/>
      <c r="T49" s="6">
        <v>-173.04</v>
      </c>
      <c r="U49" s="3"/>
      <c r="V49" s="7">
        <f t="shared" si="5"/>
        <v>0</v>
      </c>
      <c r="W49" s="3"/>
      <c r="X49" s="6">
        <f t="shared" si="6"/>
        <v>418.88</v>
      </c>
      <c r="Y49" s="3"/>
      <c r="Z49" s="7">
        <f t="shared" si="7"/>
        <v>-2.4207119741100325</v>
      </c>
    </row>
    <row r="50" spans="1:26" s="68" customFormat="1" ht="15" customHeight="1" outlineLevel="1" collapsed="1" x14ac:dyDescent="0.3">
      <c r="A50" s="20"/>
      <c r="B50" s="11" t="str">
        <f>CONCATENATE("     ","Supplies                                          ")</f>
        <v xml:space="preserve">     Supplies                                          </v>
      </c>
      <c r="C50" s="11"/>
      <c r="D50" s="2">
        <f>SUM(OSRRefD22_10x_0)</f>
        <v>-37.880000000000003</v>
      </c>
      <c r="E50" s="2"/>
      <c r="F50" s="5">
        <f t="shared" si="0"/>
        <v>0</v>
      </c>
      <c r="G50" s="2"/>
      <c r="H50" s="2">
        <f>SUM(OSRRefH22_10x_0)</f>
        <v>0</v>
      </c>
      <c r="I50" s="2"/>
      <c r="J50" s="5">
        <f t="shared" si="1"/>
        <v>0</v>
      </c>
      <c r="K50" s="2"/>
      <c r="L50" s="2">
        <f t="shared" si="2"/>
        <v>-37.880000000000003</v>
      </c>
      <c r="M50" s="2"/>
      <c r="N50" s="5">
        <f t="shared" si="3"/>
        <v>0</v>
      </c>
      <c r="O50" s="11"/>
      <c r="P50" s="2">
        <f>SUM(OSRRefP22_10x_0)</f>
        <v>50.3</v>
      </c>
      <c r="Q50" s="2"/>
      <c r="R50" s="5">
        <f t="shared" si="4"/>
        <v>5.4450836253345115E-4</v>
      </c>
      <c r="S50" s="2"/>
      <c r="T50" s="2">
        <f>SUM(OSRRefT22_10x_0)</f>
        <v>0</v>
      </c>
      <c r="U50" s="2"/>
      <c r="V50" s="5">
        <f t="shared" si="5"/>
        <v>0</v>
      </c>
      <c r="W50" s="2"/>
      <c r="X50" s="2">
        <f t="shared" si="6"/>
        <v>50.3</v>
      </c>
      <c r="Y50" s="2"/>
      <c r="Z50" s="5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","6241"," - ","OFFICE EXPENSE")</f>
        <v xml:space="preserve">          6241 - OFFICE EXPENSE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28.64</v>
      </c>
      <c r="Q51" s="3"/>
      <c r="R51" s="7">
        <f t="shared" si="4"/>
        <v>3.1003418494946405E-4</v>
      </c>
      <c r="S51" s="3"/>
      <c r="T51" s="6"/>
      <c r="U51" s="3"/>
      <c r="V51" s="7">
        <f t="shared" si="5"/>
        <v>0</v>
      </c>
      <c r="W51" s="3"/>
      <c r="X51" s="6">
        <f t="shared" si="6"/>
        <v>28.64</v>
      </c>
      <c r="Y51" s="3"/>
      <c r="Z51" s="7">
        <f t="shared" si="7"/>
        <v>0</v>
      </c>
    </row>
    <row r="52" spans="1:26" s="69" customFormat="1" ht="15" hidden="1" customHeight="1" outlineLevel="2" x14ac:dyDescent="0.3">
      <c r="A52" s="21"/>
      <c r="B52" s="9" t="str">
        <f>CONCATENATE("          ","6247"," - ","STORE SUPPLIES")</f>
        <v xml:space="preserve">          6247 - STORE SUPPLIES</v>
      </c>
      <c r="C52" s="9"/>
      <c r="D52" s="6">
        <v>-37.880000000000003</v>
      </c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-37.880000000000003</v>
      </c>
      <c r="M52" s="3"/>
      <c r="N52" s="7">
        <f t="shared" si="3"/>
        <v>0</v>
      </c>
      <c r="O52" s="9"/>
      <c r="P52" s="6">
        <v>21.66</v>
      </c>
      <c r="Q52" s="3"/>
      <c r="R52" s="7">
        <f t="shared" si="4"/>
        <v>2.3447417758398713E-4</v>
      </c>
      <c r="S52" s="3"/>
      <c r="T52" s="6"/>
      <c r="U52" s="3"/>
      <c r="V52" s="7">
        <f t="shared" si="5"/>
        <v>0</v>
      </c>
      <c r="W52" s="3"/>
      <c r="X52" s="6">
        <f t="shared" si="6"/>
        <v>21.66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0"/>
      <c r="B53" s="11" t="str">
        <f>CONCATENATE("     ","Telephone/Data Lines                              ")</f>
        <v xml:space="preserve">     Telephone/Data Lines                              </v>
      </c>
      <c r="C53" s="11"/>
      <c r="D53" s="2">
        <f>SUM(OSRRefD22_11x_0)</f>
        <v>30</v>
      </c>
      <c r="E53" s="2"/>
      <c r="F53" s="5">
        <f t="shared" si="0"/>
        <v>0</v>
      </c>
      <c r="G53" s="2"/>
      <c r="H53" s="2">
        <f>SUM(OSRRefH22_11x_0)</f>
        <v>30</v>
      </c>
      <c r="I53" s="2"/>
      <c r="J53" s="5">
        <f t="shared" si="1"/>
        <v>0</v>
      </c>
      <c r="K53" s="2"/>
      <c r="L53" s="2">
        <f t="shared" si="2"/>
        <v>0</v>
      </c>
      <c r="M53" s="2"/>
      <c r="N53" s="5">
        <f t="shared" si="3"/>
        <v>0</v>
      </c>
      <c r="O53" s="11"/>
      <c r="P53" s="2">
        <f>SUM(OSRRefP22_11x_0)</f>
        <v>360</v>
      </c>
      <c r="Q53" s="2"/>
      <c r="R53" s="5">
        <f t="shared" si="4"/>
        <v>3.8970777437781793E-3</v>
      </c>
      <c r="S53" s="2"/>
      <c r="T53" s="2">
        <f>SUM(OSRRefT22_11x_0)</f>
        <v>454.32</v>
      </c>
      <c r="U53" s="2"/>
      <c r="V53" s="5">
        <f t="shared" si="5"/>
        <v>0</v>
      </c>
      <c r="W53" s="2"/>
      <c r="X53" s="2">
        <f t="shared" si="6"/>
        <v>-94.32</v>
      </c>
      <c r="Y53" s="2"/>
      <c r="Z53" s="5">
        <f t="shared" si="7"/>
        <v>-0.20760697305863707</v>
      </c>
    </row>
    <row r="54" spans="1:26" s="69" customFormat="1" ht="15" hidden="1" customHeight="1" outlineLevel="2" x14ac:dyDescent="0.3">
      <c r="A54" s="21"/>
      <c r="B54" s="9" t="str">
        <f>CONCATENATE("          ","6309"," - ","TELEPHONE")</f>
        <v xml:space="preserve">          6309 - TELEPHONE</v>
      </c>
      <c r="C54" s="9"/>
      <c r="D54" s="6">
        <v>30</v>
      </c>
      <c r="E54" s="3"/>
      <c r="F54" s="7">
        <f t="shared" si="0"/>
        <v>0</v>
      </c>
      <c r="G54" s="3"/>
      <c r="H54" s="6">
        <v>30</v>
      </c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>
        <v>360</v>
      </c>
      <c r="Q54" s="3"/>
      <c r="R54" s="7">
        <f t="shared" si="4"/>
        <v>3.8970777437781793E-3</v>
      </c>
      <c r="S54" s="3"/>
      <c r="T54" s="6">
        <v>454.32</v>
      </c>
      <c r="U54" s="3"/>
      <c r="V54" s="7">
        <f t="shared" si="5"/>
        <v>0</v>
      </c>
      <c r="W54" s="3"/>
      <c r="X54" s="6">
        <f t="shared" si="6"/>
        <v>-94.32</v>
      </c>
      <c r="Y54" s="3"/>
      <c r="Z54" s="7">
        <f t="shared" si="7"/>
        <v>-0.20760697305863707</v>
      </c>
    </row>
    <row r="55" spans="1:26" s="68" customFormat="1" ht="15" customHeight="1" outlineLevel="1" collapsed="1" x14ac:dyDescent="0.3">
      <c r="A55" s="20"/>
      <c r="B55" s="11" t="str">
        <f>CONCATENATE("     ","Training                                          ")</f>
        <v xml:space="preserve">     Training                                          </v>
      </c>
      <c r="C55" s="11"/>
      <c r="D55" s="2">
        <f>SUM(OSRRefD22_12x_0)</f>
        <v>0</v>
      </c>
      <c r="E55" s="2"/>
      <c r="F55" s="5">
        <f t="shared" si="0"/>
        <v>0</v>
      </c>
      <c r="G55" s="2"/>
      <c r="H55" s="2">
        <f>SUM(OSRRefH22_12x_0)</f>
        <v>0</v>
      </c>
      <c r="I55" s="2"/>
      <c r="J55" s="5">
        <f t="shared" si="1"/>
        <v>0</v>
      </c>
      <c r="K55" s="2"/>
      <c r="L55" s="2">
        <f t="shared" si="2"/>
        <v>0</v>
      </c>
      <c r="M55" s="2"/>
      <c r="N55" s="5">
        <f t="shared" si="3"/>
        <v>0</v>
      </c>
      <c r="O55" s="11"/>
      <c r="P55" s="2">
        <f>SUM(OSRRefP22_12x_0)</f>
        <v>120</v>
      </c>
      <c r="Q55" s="2"/>
      <c r="R55" s="5">
        <f t="shared" si="4"/>
        <v>1.2990259145927265E-3</v>
      </c>
      <c r="S55" s="2"/>
      <c r="T55" s="2">
        <f>SUM(OSRRefT22_12x_0)</f>
        <v>0</v>
      </c>
      <c r="U55" s="2"/>
      <c r="V55" s="5">
        <f t="shared" si="5"/>
        <v>0</v>
      </c>
      <c r="W55" s="2"/>
      <c r="X55" s="2">
        <f t="shared" si="6"/>
        <v>120</v>
      </c>
      <c r="Y55" s="2"/>
      <c r="Z55" s="5">
        <f t="shared" si="7"/>
        <v>0</v>
      </c>
    </row>
    <row r="56" spans="1:26" s="69" customFormat="1" ht="15" hidden="1" customHeight="1" outlineLevel="2" x14ac:dyDescent="0.3">
      <c r="A56" s="21"/>
      <c r="B56" s="9" t="str">
        <f>CONCATENATE("          ","6376"," - ","TRAINING")</f>
        <v xml:space="preserve">          6376 - TRAINING</v>
      </c>
      <c r="C56" s="9"/>
      <c r="D56" s="6"/>
      <c r="E56" s="3"/>
      <c r="F56" s="7">
        <f t="shared" si="0"/>
        <v>0</v>
      </c>
      <c r="G56" s="3"/>
      <c r="H56" s="6"/>
      <c r="I56" s="3"/>
      <c r="J56" s="7">
        <f t="shared" si="1"/>
        <v>0</v>
      </c>
      <c r="K56" s="3"/>
      <c r="L56" s="6">
        <f t="shared" si="2"/>
        <v>0</v>
      </c>
      <c r="M56" s="3"/>
      <c r="N56" s="7">
        <f t="shared" si="3"/>
        <v>0</v>
      </c>
      <c r="O56" s="9"/>
      <c r="P56" s="6">
        <v>120</v>
      </c>
      <c r="Q56" s="3"/>
      <c r="R56" s="7">
        <f t="shared" si="4"/>
        <v>1.2990259145927265E-3</v>
      </c>
      <c r="S56" s="3"/>
      <c r="T56" s="6"/>
      <c r="U56" s="3"/>
      <c r="V56" s="7">
        <f t="shared" si="5"/>
        <v>0</v>
      </c>
      <c r="W56" s="3"/>
      <c r="X56" s="6">
        <f t="shared" si="6"/>
        <v>120</v>
      </c>
      <c r="Y56" s="3"/>
      <c r="Z56" s="7">
        <f t="shared" si="7"/>
        <v>0</v>
      </c>
    </row>
    <row r="57" spans="1:26" s="64" customFormat="1" ht="15" customHeight="1" x14ac:dyDescent="0.3">
      <c r="A57" s="37"/>
      <c r="B57" s="37"/>
      <c r="C57" s="37"/>
      <c r="D57" s="2"/>
      <c r="E57" s="2"/>
      <c r="F57" s="5"/>
      <c r="G57" s="2"/>
      <c r="H57" s="2"/>
      <c r="I57" s="2"/>
      <c r="J57" s="5"/>
      <c r="K57" s="2"/>
      <c r="L57" s="2"/>
      <c r="M57" s="2"/>
      <c r="N57" s="5"/>
      <c r="O57" s="37"/>
      <c r="P57" s="2"/>
      <c r="Q57" s="2"/>
      <c r="R57" s="5"/>
      <c r="S57" s="2"/>
      <c r="T57" s="2"/>
      <c r="U57" s="2"/>
      <c r="V57" s="5"/>
      <c r="W57" s="2"/>
      <c r="X57" s="2"/>
      <c r="Y57" s="2"/>
      <c r="Z57" s="5"/>
    </row>
    <row r="58" spans="1:26" s="62" customFormat="1" ht="15" customHeight="1" x14ac:dyDescent="0.3">
      <c r="A58" s="13"/>
      <c r="B58" s="27" t="s">
        <v>290</v>
      </c>
      <c r="C58" s="13"/>
      <c r="D58" s="8">
        <f>SUM(0)</f>
        <v>0</v>
      </c>
      <c r="E58" s="8"/>
      <c r="F58" s="14">
        <f>IF(D$12=0,0,D58/D$12)</f>
        <v>0</v>
      </c>
      <c r="G58" s="8"/>
      <c r="H58" s="8">
        <f>SUM(0)</f>
        <v>0</v>
      </c>
      <c r="I58" s="8"/>
      <c r="J58" s="14">
        <f>IF(H$12=0,0,H58/H$12)</f>
        <v>0</v>
      </c>
      <c r="K58" s="8"/>
      <c r="L58" s="8">
        <f>+D58-H58</f>
        <v>0</v>
      </c>
      <c r="M58" s="8"/>
      <c r="N58" s="14">
        <f>IF(H58=0,0,L58/H58)</f>
        <v>0</v>
      </c>
      <c r="O58" s="13"/>
      <c r="P58" s="8">
        <f>SUM(0)</f>
        <v>0</v>
      </c>
      <c r="Q58" s="8"/>
      <c r="R58" s="14">
        <f>IF(P$12=0,0,P58/P$12)</f>
        <v>0</v>
      </c>
      <c r="S58" s="8"/>
      <c r="T58" s="8">
        <f>SUM(0)</f>
        <v>0</v>
      </c>
      <c r="U58" s="8"/>
      <c r="V58" s="14">
        <f>IF(T$12=0,0,T58/T$12)</f>
        <v>0</v>
      </c>
      <c r="W58" s="8"/>
      <c r="X58" s="8">
        <f>+P58-T58</f>
        <v>0</v>
      </c>
      <c r="Y58" s="8"/>
      <c r="Z58" s="14">
        <f>IF(T58=0,0,X58/T58)</f>
        <v>0</v>
      </c>
    </row>
    <row r="59" spans="1:26" ht="15" customHeight="1" x14ac:dyDescent="0.3">
      <c r="A59" s="12"/>
      <c r="B59" s="13"/>
      <c r="C59" s="13"/>
      <c r="D59" s="4"/>
      <c r="E59" s="4"/>
      <c r="F59" s="10"/>
      <c r="G59" s="4"/>
      <c r="H59" s="4"/>
      <c r="I59" s="4"/>
      <c r="J59" s="10"/>
      <c r="K59" s="4"/>
      <c r="L59" s="4"/>
      <c r="M59" s="4"/>
      <c r="N59" s="10"/>
      <c r="O59" s="13"/>
      <c r="P59" s="4"/>
      <c r="Q59" s="4"/>
      <c r="R59" s="10"/>
      <c r="S59" s="4"/>
      <c r="T59" s="4"/>
      <c r="U59" s="4"/>
      <c r="V59" s="10"/>
      <c r="W59" s="4"/>
      <c r="X59" s="4"/>
      <c r="Y59" s="4"/>
      <c r="Z59" s="10"/>
    </row>
    <row r="60" spans="1:26" s="62" customFormat="1" ht="15" customHeight="1" x14ac:dyDescent="0.3">
      <c r="A60" s="13"/>
      <c r="B60" s="28" t="s">
        <v>291</v>
      </c>
      <c r="C60" s="28"/>
      <c r="D60" s="22">
        <f>+D23-D25+D58</f>
        <v>-2082.3599999999997</v>
      </c>
      <c r="E60" s="15"/>
      <c r="F60" s="24">
        <f>IF(D$12=0,0,D60/D$12)</f>
        <v>0</v>
      </c>
      <c r="G60" s="15"/>
      <c r="H60" s="22">
        <f>+H23-H25+H58</f>
        <v>-891.89</v>
      </c>
      <c r="I60" s="15"/>
      <c r="J60" s="24">
        <f>IF(H$12=0,0,H60/H$12)</f>
        <v>0</v>
      </c>
      <c r="K60" s="17"/>
      <c r="L60" s="22">
        <f>+D60-H60</f>
        <v>-1190.4699999999998</v>
      </c>
      <c r="M60" s="17"/>
      <c r="N60" s="24">
        <f>IF(H60=0,0,L60/H60)</f>
        <v>1.334772225274417</v>
      </c>
      <c r="O60" s="27"/>
      <c r="P60" s="22">
        <f>+P23-P25+P58</f>
        <v>12814.770000000019</v>
      </c>
      <c r="Q60" s="15"/>
      <c r="R60" s="24">
        <f>IF(P$12=0,0,P60/P$12)</f>
        <v>0.13872265266287881</v>
      </c>
      <c r="S60" s="15"/>
      <c r="T60" s="22">
        <f>+T23-T25+T58</f>
        <v>-11153.289999999999</v>
      </c>
      <c r="U60" s="15"/>
      <c r="V60" s="24">
        <f>IF(T$12=0,0,T60/T$12)</f>
        <v>0</v>
      </c>
      <c r="W60" s="17"/>
      <c r="X60" s="22">
        <f>+P60-T60</f>
        <v>23968.060000000019</v>
      </c>
      <c r="Y60" s="17"/>
      <c r="Z60" s="24">
        <f>IF(T60=0,0,X60/T60)</f>
        <v>-2.1489677036999866</v>
      </c>
    </row>
    <row r="61" spans="1:26" ht="15" customHeight="1" x14ac:dyDescent="0.3">
      <c r="A61" s="12"/>
      <c r="B61" s="13"/>
      <c r="C61" s="12"/>
      <c r="D61" s="4"/>
      <c r="E61" s="4"/>
      <c r="F61" s="10"/>
      <c r="G61" s="4"/>
      <c r="H61" s="4"/>
      <c r="I61" s="4"/>
      <c r="J61" s="10"/>
      <c r="K61" s="4"/>
      <c r="L61" s="4"/>
      <c r="M61" s="4"/>
      <c r="N61" s="10"/>
      <c r="P61" s="4"/>
      <c r="Q61" s="4"/>
      <c r="R61" s="10"/>
      <c r="S61" s="4"/>
      <c r="T61" s="4"/>
      <c r="U61" s="4"/>
      <c r="V61" s="10"/>
      <c r="W61" s="4"/>
      <c r="X61" s="4"/>
      <c r="Y61" s="4"/>
      <c r="Z61" s="10"/>
    </row>
    <row r="62" spans="1:26" s="62" customFormat="1" ht="15" customHeight="1" x14ac:dyDescent="0.3">
      <c r="A62" s="48"/>
      <c r="B62" s="13" t="s">
        <v>292</v>
      </c>
      <c r="C62" s="13"/>
      <c r="D62" s="8">
        <v>-21035.53</v>
      </c>
      <c r="E62" s="8"/>
      <c r="F62" s="14">
        <f>IF(D$12=0,0,D62/D$12)</f>
        <v>0</v>
      </c>
      <c r="G62" s="8"/>
      <c r="H62" s="8"/>
      <c r="I62" s="8"/>
      <c r="J62" s="14">
        <f>IF(H$12=0,0,H62/H$12)</f>
        <v>0</v>
      </c>
      <c r="K62" s="8"/>
      <c r="L62" s="8">
        <f>+D62-H62</f>
        <v>-21035.53</v>
      </c>
      <c r="M62" s="8"/>
      <c r="N62" s="14">
        <f>IF(H62=0,0,L62/H62)</f>
        <v>0</v>
      </c>
      <c r="O62" s="13"/>
      <c r="P62" s="8">
        <v>-10650.02</v>
      </c>
      <c r="Q62" s="8"/>
      <c r="R62" s="14">
        <f>IF(P$12=0,0,P62/P$12)</f>
        <v>-0.11528876642442358</v>
      </c>
      <c r="S62" s="8"/>
      <c r="T62" s="8"/>
      <c r="U62" s="8"/>
      <c r="V62" s="14">
        <f>IF(T$12=0,0,T62/T$12)</f>
        <v>0</v>
      </c>
      <c r="W62" s="8"/>
      <c r="X62" s="8">
        <f>+P62-T62</f>
        <v>-10650.02</v>
      </c>
      <c r="Y62" s="8"/>
      <c r="Z62" s="14">
        <f>IF(T62=0,0,X62/T62)</f>
        <v>0</v>
      </c>
    </row>
    <row r="63" spans="1:26" ht="15" customHeight="1" x14ac:dyDescent="0.3">
      <c r="A63" s="12"/>
      <c r="B63" s="13"/>
      <c r="C63" s="13"/>
      <c r="D63" s="4"/>
      <c r="E63" s="4"/>
      <c r="F63" s="10"/>
      <c r="G63" s="4"/>
      <c r="H63" s="4"/>
      <c r="I63" s="4"/>
      <c r="J63" s="10"/>
      <c r="K63" s="4"/>
      <c r="L63" s="4"/>
      <c r="M63" s="4"/>
      <c r="N63" s="10"/>
      <c r="O63" s="13"/>
      <c r="P63" s="4"/>
      <c r="Q63" s="4"/>
      <c r="R63" s="10"/>
      <c r="S63" s="4"/>
      <c r="T63" s="4"/>
      <c r="U63" s="4"/>
      <c r="V63" s="10"/>
      <c r="W63" s="4"/>
      <c r="X63" s="4"/>
      <c r="Y63" s="4"/>
      <c r="Z63" s="10"/>
    </row>
    <row r="64" spans="1:26" s="62" customFormat="1" ht="15" customHeight="1" x14ac:dyDescent="0.3">
      <c r="A64" s="13"/>
      <c r="B64" s="28" t="s">
        <v>293</v>
      </c>
      <c r="C64" s="28"/>
      <c r="D64" s="29">
        <f>+D60-D62</f>
        <v>18953.169999999998</v>
      </c>
      <c r="E64" s="15"/>
      <c r="F64" s="31">
        <f>IF(D$12=0,0,D64/D$12)</f>
        <v>0</v>
      </c>
      <c r="G64" s="15"/>
      <c r="H64" s="29">
        <f>+H60-H62</f>
        <v>-891.89</v>
      </c>
      <c r="I64" s="15"/>
      <c r="J64" s="31">
        <f>IF(H$12=0,0,H64/H$12)</f>
        <v>0</v>
      </c>
      <c r="K64" s="17"/>
      <c r="L64" s="29">
        <f>D64-H64</f>
        <v>19845.059999999998</v>
      </c>
      <c r="M64" s="17"/>
      <c r="N64" s="31">
        <f>IF(H64=0,0,L64/H64)</f>
        <v>-22.250569016358519</v>
      </c>
      <c r="O64" s="27"/>
      <c r="P64" s="29">
        <f>+P60-P62</f>
        <v>23464.790000000019</v>
      </c>
      <c r="Q64" s="15"/>
      <c r="R64" s="31">
        <f>IF(P$12=0,0,P64/P$12)</f>
        <v>0.2540114190873024</v>
      </c>
      <c r="S64" s="15"/>
      <c r="T64" s="29">
        <f>+T60-T62</f>
        <v>-11153.289999999999</v>
      </c>
      <c r="U64" s="15"/>
      <c r="V64" s="31">
        <f>IF(T$12=0,0,T64/T$12)</f>
        <v>0</v>
      </c>
      <c r="W64" s="17"/>
      <c r="X64" s="29">
        <f>P64-T64</f>
        <v>34618.080000000016</v>
      </c>
      <c r="Y64" s="17"/>
      <c r="Z64" s="31">
        <f>IF(T64=0,0,X64/T64)</f>
        <v>-3.1038446951527323</v>
      </c>
    </row>
    <row r="65" spans="1:26" ht="15" customHeight="1" x14ac:dyDescent="0.3">
      <c r="A65" s="12"/>
      <c r="B65" s="12"/>
      <c r="C65" s="12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ht="15" customHeight="1" x14ac:dyDescent="0.3">
      <c r="A66" s="12"/>
      <c r="B66" s="12"/>
      <c r="C66" s="12"/>
      <c r="D66" s="4"/>
      <c r="E66" s="4"/>
      <c r="F66" s="10"/>
      <c r="G66" s="4"/>
      <c r="H66" s="4"/>
      <c r="I66" s="4"/>
      <c r="J66" s="10"/>
      <c r="K66" s="4"/>
      <c r="L66" s="4"/>
      <c r="M66" s="4"/>
      <c r="N66" s="10"/>
      <c r="P66" s="4"/>
      <c r="Q66" s="4"/>
      <c r="R66" s="10"/>
      <c r="S66" s="4"/>
      <c r="T66" s="4"/>
      <c r="U66" s="4"/>
      <c r="V66" s="10"/>
      <c r="W66" s="4"/>
      <c r="X66" s="4"/>
      <c r="Y66" s="4"/>
      <c r="Z66" s="10"/>
    </row>
    <row r="67" spans="1:26" s="62" customFormat="1" ht="15" customHeight="1" x14ac:dyDescent="0.3">
      <c r="A67" s="13"/>
      <c r="B67" s="28" t="s">
        <v>296</v>
      </c>
      <c r="C67" s="28"/>
      <c r="D67" s="30">
        <f>SUM(D64:D66)</f>
        <v>18953.169999999998</v>
      </c>
      <c r="E67" s="15"/>
      <c r="F67" s="35">
        <f>IF(D$12=0,0,D67/D$12)</f>
        <v>0</v>
      </c>
      <c r="G67" s="15"/>
      <c r="H67" s="30">
        <f>SUM(H64:H66)</f>
        <v>-891.89</v>
      </c>
      <c r="I67" s="15"/>
      <c r="J67" s="35">
        <f>IF(H$12=0,0,H67/H$12)</f>
        <v>0</v>
      </c>
      <c r="K67" s="17"/>
      <c r="L67" s="30">
        <f>+D67-H67</f>
        <v>19845.059999999998</v>
      </c>
      <c r="M67" s="17"/>
      <c r="N67" s="35">
        <f>IF(H67=0,0,L67/H67)</f>
        <v>-22.250569016358519</v>
      </c>
      <c r="O67" s="27"/>
      <c r="P67" s="30">
        <f>SUM(P64:P66)</f>
        <v>23464.790000000019</v>
      </c>
      <c r="Q67" s="15"/>
      <c r="R67" s="35">
        <f>IF(P$12=0,0,P67/P$12)</f>
        <v>0.2540114190873024</v>
      </c>
      <c r="S67" s="15"/>
      <c r="T67" s="30">
        <f>SUM(T64:T66)</f>
        <v>-11153.289999999999</v>
      </c>
      <c r="U67" s="15"/>
      <c r="V67" s="35">
        <f>IF(T$12=0,0,T67/T$12)</f>
        <v>0</v>
      </c>
      <c r="W67" s="17"/>
      <c r="X67" s="30">
        <f>+P67-T67</f>
        <v>34618.080000000016</v>
      </c>
      <c r="Y67" s="17"/>
      <c r="Z67" s="35">
        <f>IF(T67=0,0,X67/T67)</f>
        <v>-3.1038446951527323</v>
      </c>
    </row>
    <row r="68" spans="1:26" ht="15" customHeight="1" x14ac:dyDescent="0.3">
      <c r="A68" s="12"/>
      <c r="C68" s="12"/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2"/>
      <c r="B69" s="54">
        <v>44767.815885219905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2"/>
      <c r="B70" s="53" t="s">
        <v>297</v>
      </c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A71" s="12"/>
      <c r="B71" s="51"/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  <row r="72" spans="1:26" ht="15" customHeight="1" x14ac:dyDescent="0.3">
      <c r="D72" s="19"/>
      <c r="E72" s="19"/>
      <c r="G72" s="19"/>
      <c r="H72" s="19"/>
      <c r="I72" s="19"/>
      <c r="J72" s="41"/>
      <c r="K72" s="19"/>
      <c r="L72" s="19"/>
      <c r="M72" s="19"/>
      <c r="P72" s="19"/>
      <c r="Q72" s="19"/>
      <c r="R72" s="41"/>
      <c r="S72" s="19"/>
      <c r="T72" s="19"/>
      <c r="U72" s="19"/>
      <c r="V72" s="41"/>
      <c r="W72" s="19"/>
      <c r="X7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5662C-6527-4639-71F9-D7CAA3B19C24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","321"," - ","Corner Market")</f>
        <v>Department 321 - Corner Market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2745.06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2745.06</v>
      </c>
      <c r="M12" s="8"/>
      <c r="N12" s="14">
        <f>IF(H12=0,0,L12/H12)</f>
        <v>0</v>
      </c>
      <c r="O12" s="13"/>
      <c r="P12" s="8">
        <f>SUM(OSRRefP13x_0)</f>
        <v>118752.9</v>
      </c>
      <c r="Q12" s="8"/>
      <c r="R12" s="14"/>
      <c r="S12" s="8"/>
      <c r="T12" s="8">
        <f>SUM(OSRRefT13x_0)</f>
        <v>2476.4700000000003</v>
      </c>
      <c r="U12" s="8"/>
      <c r="V12" s="14"/>
      <c r="W12" s="8"/>
      <c r="X12" s="8">
        <f>+P12-T12</f>
        <v>116276.43</v>
      </c>
      <c r="Y12" s="8"/>
      <c r="Z12" s="14">
        <f>IF(T12=0,0,X12/T12)</f>
        <v>46.952488824819191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--423.81</f>
        <v>423.81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423.81</v>
      </c>
      <c r="M13" s="3"/>
      <c r="N13" s="26">
        <f>IF(H13=0,0,L13/H13)</f>
        <v>0</v>
      </c>
      <c r="O13" s="9"/>
      <c r="P13" s="3">
        <f>--19184.6</f>
        <v>19184.599999999999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19184.599999999999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","4032"," - ","TAXABLE SALES-JUICE")</f>
        <v xml:space="preserve">          4032 - TAXABLE SALES-JUICE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0</f>
        <v>0</v>
      </c>
      <c r="Q14" s="3"/>
      <c r="R14" s="26"/>
      <c r="S14" s="3"/>
      <c r="T14" s="3">
        <f>--444.59</f>
        <v>444.59</v>
      </c>
      <c r="U14" s="3"/>
      <c r="V14" s="26"/>
      <c r="W14" s="3"/>
      <c r="X14" s="3">
        <f>+P14-T14</f>
        <v>-444.59</v>
      </c>
      <c r="Y14" s="3"/>
      <c r="Z14" s="26">
        <f>IF(T14=0,0,X14/T14)</f>
        <v>-1</v>
      </c>
    </row>
    <row r="15" spans="1:26" s="69" customFormat="1" ht="15" hidden="1" customHeight="1" outlineLevel="1" x14ac:dyDescent="0.3">
      <c r="A15" s="47"/>
      <c r="B15" s="9" t="str">
        <f>CONCATENATE("          ","4100"," - ","NON-TAXABLE SALES")</f>
        <v xml:space="preserve">          4100 - NON-TAXABLE SALES</v>
      </c>
      <c r="C15" s="9"/>
      <c r="D15" s="3">
        <f>--2321.25</f>
        <v>2321.25</v>
      </c>
      <c r="E15" s="3"/>
      <c r="F15" s="26"/>
      <c r="G15" s="3"/>
      <c r="H15" s="3">
        <f>0</f>
        <v>0</v>
      </c>
      <c r="I15" s="3"/>
      <c r="J15" s="26"/>
      <c r="K15" s="3"/>
      <c r="L15" s="3">
        <f>+D15-H15</f>
        <v>2321.25</v>
      </c>
      <c r="M15" s="3"/>
      <c r="N15" s="26">
        <f>IF(H15=0,0,L15/H15)</f>
        <v>0</v>
      </c>
      <c r="O15" s="9"/>
      <c r="P15" s="3">
        <f>--99568.3</f>
        <v>99568.3</v>
      </c>
      <c r="Q15" s="3"/>
      <c r="R15" s="26"/>
      <c r="S15" s="3"/>
      <c r="T15" s="3">
        <f>0</f>
        <v>0</v>
      </c>
      <c r="U15" s="3"/>
      <c r="V15" s="26"/>
      <c r="W15" s="3"/>
      <c r="X15" s="3">
        <f>+P15-T15</f>
        <v>99568.3</v>
      </c>
      <c r="Y15" s="3"/>
      <c r="Z15" s="26">
        <f>IF(T15=0,0,X15/T15)</f>
        <v>0</v>
      </c>
    </row>
    <row r="16" spans="1:26" s="69" customFormat="1" ht="15" hidden="1" customHeight="1" outlineLevel="1" x14ac:dyDescent="0.3">
      <c r="A16" s="47"/>
      <c r="B16" s="9" t="str">
        <f>CONCATENATE("          ","4132"," - ","NON-TAXABLE SALES-JUICE")</f>
        <v xml:space="preserve">          4132 - NON-TAXABLE SALES-JUICE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0</f>
        <v>0</v>
      </c>
      <c r="Q16" s="3"/>
      <c r="R16" s="26"/>
      <c r="S16" s="3"/>
      <c r="T16" s="3">
        <f>--2031.88</f>
        <v>2031.88</v>
      </c>
      <c r="U16" s="3"/>
      <c r="V16" s="26"/>
      <c r="W16" s="3"/>
      <c r="X16" s="3">
        <f>+P16-T16</f>
        <v>-2031.88</v>
      </c>
      <c r="Y16" s="3"/>
      <c r="Z16" s="26">
        <f>IF(T16=0,0,X16/T16)</f>
        <v>-1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collapsed="1" x14ac:dyDescent="0.3">
      <c r="A18" s="13"/>
      <c r="B18" s="27" t="s">
        <v>287</v>
      </c>
      <c r="C18" s="13"/>
      <c r="D18" s="8">
        <f>SUM(OSRRefD16x_0)</f>
        <v>2133.92</v>
      </c>
      <c r="E18" s="8"/>
      <c r="F18" s="14">
        <f>IF(D$12=0,0,D18/D$12)</f>
        <v>0.77736734351890313</v>
      </c>
      <c r="G18" s="8"/>
      <c r="H18" s="8">
        <f>SUM(OSRRefH16x_0)</f>
        <v>174.1</v>
      </c>
      <c r="I18" s="8"/>
      <c r="J18" s="14">
        <f>IF(H$12=0,0,H18/H$12)</f>
        <v>0</v>
      </c>
      <c r="K18" s="8"/>
      <c r="L18" s="8">
        <f>+D18-H18</f>
        <v>1959.8200000000002</v>
      </c>
      <c r="M18" s="8"/>
      <c r="N18" s="14">
        <f>IF(H18=0,0,L18/H18)</f>
        <v>11.256863871338313</v>
      </c>
      <c r="O18" s="13"/>
      <c r="P18" s="8">
        <f>SUM(OSRRefP16x_0)</f>
        <v>64069.210000000006</v>
      </c>
      <c r="Q18" s="8"/>
      <c r="R18" s="14">
        <f>IF(P$12=0,0,P18/P$12)</f>
        <v>0.53951701390029216</v>
      </c>
      <c r="S18" s="8"/>
      <c r="T18" s="8">
        <f>SUM(OSRRefT16x_0)</f>
        <v>19753.830000000002</v>
      </c>
      <c r="U18" s="8"/>
      <c r="V18" s="14">
        <f>IF(T$12=0,0,T18/T$12)</f>
        <v>7.9766078329234755</v>
      </c>
      <c r="W18" s="8"/>
      <c r="X18" s="8">
        <f>+P18-T18</f>
        <v>44315.380000000005</v>
      </c>
      <c r="Y18" s="8"/>
      <c r="Z18" s="14">
        <f>IF(T18=0,0,X18/T18)</f>
        <v>2.2433816632015158</v>
      </c>
    </row>
    <row r="19" spans="1:26" s="69" customFormat="1" ht="15" hidden="1" customHeight="1" outlineLevel="1" x14ac:dyDescent="0.3">
      <c r="A19" s="47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>
        <v>-8062</v>
      </c>
      <c r="Q19" s="3"/>
      <c r="R19" s="26">
        <f>IF(P$12=0,0,P19/P$12)</f>
        <v>-6.7888868398161231E-2</v>
      </c>
      <c r="S19" s="3"/>
      <c r="T19" s="3"/>
      <c r="U19" s="3"/>
      <c r="V19" s="26">
        <f>IF(T$12=0,0,T19/T$12)</f>
        <v>0</v>
      </c>
      <c r="W19" s="3"/>
      <c r="X19" s="3">
        <f>+P19-T19</f>
        <v>-8062</v>
      </c>
      <c r="Y19" s="3"/>
      <c r="Z19" s="26">
        <f>IF(T19=0,0,X19/T19)</f>
        <v>0</v>
      </c>
    </row>
    <row r="20" spans="1:26" s="69" customFormat="1" ht="15" hidden="1" customHeight="1" outlineLevel="1" x14ac:dyDescent="0.3">
      <c r="A20" s="47"/>
      <c r="B20" s="9" t="str">
        <f>CONCATENATE("          ","5053"," - ","PURCHASES @ COST-FOOD")</f>
        <v xml:space="preserve">          5053 - PURCHASES @ COST-FOOD</v>
      </c>
      <c r="C20" s="9"/>
      <c r="D20" s="3"/>
      <c r="E20" s="3"/>
      <c r="F20" s="26">
        <f>IF(D$12=0,0,D20/D$12)</f>
        <v>0</v>
      </c>
      <c r="G20" s="3"/>
      <c r="H20" s="3">
        <v>15.1</v>
      </c>
      <c r="I20" s="3"/>
      <c r="J20" s="26">
        <f>IF(H$12=0,0,H20/H$12)</f>
        <v>0</v>
      </c>
      <c r="K20" s="3"/>
      <c r="L20" s="3">
        <f>+D20-H20</f>
        <v>-15.1</v>
      </c>
      <c r="M20" s="3"/>
      <c r="N20" s="26">
        <f>IF(H20=0,0,L20/H20)</f>
        <v>-1</v>
      </c>
      <c r="O20" s="9"/>
      <c r="P20" s="3"/>
      <c r="Q20" s="3"/>
      <c r="R20" s="26">
        <f>IF(P$12=0,0,P20/P$12)</f>
        <v>0</v>
      </c>
      <c r="S20" s="3"/>
      <c r="T20" s="3">
        <v>15.83</v>
      </c>
      <c r="U20" s="3"/>
      <c r="V20" s="26">
        <f>IF(T$12=0,0,T20/T$12)</f>
        <v>6.3921630385185358E-3</v>
      </c>
      <c r="W20" s="3"/>
      <c r="X20" s="3">
        <f>+P20-T20</f>
        <v>-15.83</v>
      </c>
      <c r="Y20" s="3"/>
      <c r="Z20" s="26">
        <f>IF(T20=0,0,X20/T20)</f>
        <v>-1</v>
      </c>
    </row>
    <row r="21" spans="1:26" s="69" customFormat="1" ht="15" hidden="1" customHeight="1" outlineLevel="1" x14ac:dyDescent="0.3">
      <c r="A21" s="47"/>
      <c r="B21" s="9" t="str">
        <f>CONCATENATE("          ","5059"," - ","PURCHASES @ COST-FOOD")</f>
        <v xml:space="preserve">          5059 - PURCHASES @ COST-FOOD</v>
      </c>
      <c r="C21" s="9"/>
      <c r="D21" s="3">
        <v>2133.92</v>
      </c>
      <c r="E21" s="3"/>
      <c r="F21" s="26">
        <f>IF(D$12=0,0,D21/D$12)</f>
        <v>0.77736734351890313</v>
      </c>
      <c r="G21" s="3"/>
      <c r="H21" s="3">
        <v>159</v>
      </c>
      <c r="I21" s="3"/>
      <c r="J21" s="26">
        <f>IF(H$12=0,0,H21/H$12)</f>
        <v>0</v>
      </c>
      <c r="K21" s="3"/>
      <c r="L21" s="3">
        <f>+D21-H21</f>
        <v>1974.92</v>
      </c>
      <c r="M21" s="3"/>
      <c r="N21" s="26">
        <f>IF(H21=0,0,L21/H21)</f>
        <v>12.420880503144655</v>
      </c>
      <c r="O21" s="9"/>
      <c r="P21" s="3">
        <v>72131.210000000006</v>
      </c>
      <c r="Q21" s="3"/>
      <c r="R21" s="26">
        <f>IF(P$12=0,0,P21/P$12)</f>
        <v>0.60740588229845338</v>
      </c>
      <c r="S21" s="3"/>
      <c r="T21" s="3">
        <v>19738</v>
      </c>
      <c r="U21" s="3"/>
      <c r="V21" s="26">
        <f>IF(T$12=0,0,T21/T$12)</f>
        <v>7.970215669884956</v>
      </c>
      <c r="W21" s="3"/>
      <c r="X21" s="3">
        <f>+P21-T21</f>
        <v>52393.210000000006</v>
      </c>
      <c r="Y21" s="3"/>
      <c r="Z21" s="26">
        <f>IF(T21=0,0,X21/T21)</f>
        <v>2.6544335798966463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2" customFormat="1" ht="15" customHeight="1" x14ac:dyDescent="0.3">
      <c r="A23" s="13"/>
      <c r="B23" s="28" t="s">
        <v>288</v>
      </c>
      <c r="C23" s="28"/>
      <c r="D23" s="22">
        <f>D12-D18</f>
        <v>611.13999999999987</v>
      </c>
      <c r="E23" s="15"/>
      <c r="F23" s="24">
        <f>IF(D$12=0,0,D23/D$12)</f>
        <v>0.2226326564810969</v>
      </c>
      <c r="G23" s="15"/>
      <c r="H23" s="22">
        <f>H12-H18</f>
        <v>-174.1</v>
      </c>
      <c r="I23" s="15"/>
      <c r="J23" s="24">
        <f>IF(H$12=0,0,H23/H$12)</f>
        <v>0</v>
      </c>
      <c r="K23" s="17"/>
      <c r="L23" s="22">
        <f>+D23-H23</f>
        <v>785.2399999999999</v>
      </c>
      <c r="M23" s="17"/>
      <c r="N23" s="24">
        <f>IF(H23=0,0,L23/H23)</f>
        <v>-4.5102814474439974</v>
      </c>
      <c r="O23" s="27"/>
      <c r="P23" s="22">
        <f>P12-P18</f>
        <v>54683.689999999988</v>
      </c>
      <c r="Q23" s="15"/>
      <c r="R23" s="24">
        <f>IF(P$12=0,0,P23/P$12)</f>
        <v>0.46048298609970778</v>
      </c>
      <c r="S23" s="15"/>
      <c r="T23" s="22">
        <f>T12-T18</f>
        <v>-17277.36</v>
      </c>
      <c r="U23" s="15"/>
      <c r="V23" s="24">
        <f>IF(T$12=0,0,T23/T$12)</f>
        <v>-6.9766078329234755</v>
      </c>
      <c r="W23" s="17"/>
      <c r="X23" s="22">
        <f>+P23-T23</f>
        <v>71961.049999999988</v>
      </c>
      <c r="Y23" s="17"/>
      <c r="Z23" s="24">
        <f>IF(T23=0,0,X23/T23)</f>
        <v>-4.1650489426625352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7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2" customFormat="1" ht="15" customHeight="1" x14ac:dyDescent="0.3">
      <c r="A25" s="13"/>
      <c r="B25" s="27" t="s">
        <v>289</v>
      </c>
      <c r="C25" s="13"/>
      <c r="D25" s="23" cm="1">
        <f t="array" ref="D25">SUM(OSRRefD22x_0)</f>
        <v>6177.4500000000007</v>
      </c>
      <c r="E25" s="23"/>
      <c r="F25" s="34">
        <f t="shared" ref="F25:F56" si="0">IF(D$12=0,0,D25/D$12)</f>
        <v>2.2503879696618658</v>
      </c>
      <c r="G25" s="23"/>
      <c r="H25" s="23" cm="1">
        <f t="array" ref="H25">SUM(OSRRefH22x_0)</f>
        <v>1324.8500000000001</v>
      </c>
      <c r="I25" s="23"/>
      <c r="J25" s="34">
        <f t="shared" ref="J25:J56" si="1">IF(H$12=0,0,H25/H$12)</f>
        <v>0</v>
      </c>
      <c r="K25" s="8"/>
      <c r="L25" s="23">
        <f t="shared" ref="L25:L56" si="2">+D25-H25</f>
        <v>4852.6000000000004</v>
      </c>
      <c r="M25" s="8"/>
      <c r="N25" s="34">
        <f t="shared" ref="N25:N56" si="3">IF(H25=0,0,L25/H25)</f>
        <v>3.6627542740687624</v>
      </c>
      <c r="O25" s="13"/>
      <c r="P25" s="23" cm="1">
        <f t="array" ref="P25">SUM(OSRRefP22x_0)</f>
        <v>86873.429999999964</v>
      </c>
      <c r="Q25" s="23"/>
      <c r="R25" s="34">
        <f t="shared" ref="R25:R56" si="4">IF(P$12=0,0,P25/P$12)</f>
        <v>0.73154786114696957</v>
      </c>
      <c r="S25" s="23"/>
      <c r="T25" s="23" cm="1">
        <f t="array" ref="T25">SUM(OSRRefT22x_0)</f>
        <v>43012.979999999996</v>
      </c>
      <c r="U25" s="23"/>
      <c r="V25" s="34">
        <f t="shared" ref="V25:V56" si="5">IF(T$12=0,0,T25/T$12)</f>
        <v>17.368665883293556</v>
      </c>
      <c r="W25" s="8"/>
      <c r="X25" s="23">
        <f t="shared" ref="X25:X56" si="6">+P25-T25</f>
        <v>43860.449999999968</v>
      </c>
      <c r="Y25" s="8"/>
      <c r="Z25" s="34">
        <f t="shared" ref="Z25:Z56" si="7">IF(T25=0,0,X25/T25)</f>
        <v>1.0197026571978964</v>
      </c>
    </row>
    <row r="26" spans="1:26" s="68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2224.06</v>
      </c>
      <c r="E26" s="2"/>
      <c r="F26" s="5">
        <f t="shared" si="0"/>
        <v>0.81020451283396355</v>
      </c>
      <c r="G26" s="2"/>
      <c r="H26" s="2">
        <f>SUM(OSRRefH22_0x_0)</f>
        <v>0</v>
      </c>
      <c r="I26" s="2"/>
      <c r="J26" s="5">
        <f t="shared" si="1"/>
        <v>0</v>
      </c>
      <c r="K26" s="2"/>
      <c r="L26" s="2">
        <f t="shared" si="2"/>
        <v>2224.06</v>
      </c>
      <c r="M26" s="2"/>
      <c r="N26" s="5">
        <f t="shared" si="3"/>
        <v>0</v>
      </c>
      <c r="O26" s="11"/>
      <c r="P26" s="2">
        <f>SUM(OSRRefP22_0x_0)</f>
        <v>17313.929999999997</v>
      </c>
      <c r="Q26" s="2"/>
      <c r="R26" s="5">
        <f t="shared" si="4"/>
        <v>0.14579795524993494</v>
      </c>
      <c r="S26" s="2"/>
      <c r="T26" s="2">
        <f>SUM(OSRRefT22_0x_0)</f>
        <v>8751.99</v>
      </c>
      <c r="U26" s="2"/>
      <c r="V26" s="5">
        <f t="shared" si="5"/>
        <v>3.5340585591588023</v>
      </c>
      <c r="W26" s="2"/>
      <c r="X26" s="2">
        <f t="shared" si="6"/>
        <v>8561.9399999999969</v>
      </c>
      <c r="Y26" s="2"/>
      <c r="Z26" s="5">
        <f t="shared" si="7"/>
        <v>0.97828493862538657</v>
      </c>
    </row>
    <row r="27" spans="1:26" s="69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367.77</v>
      </c>
      <c r="E27" s="3"/>
      <c r="F27" s="7">
        <f t="shared" si="0"/>
        <v>0.13397521365653209</v>
      </c>
      <c r="G27" s="3"/>
      <c r="H27" s="6"/>
      <c r="I27" s="3"/>
      <c r="J27" s="7">
        <f t="shared" si="1"/>
        <v>0</v>
      </c>
      <c r="K27" s="3"/>
      <c r="L27" s="6">
        <f t="shared" si="2"/>
        <v>367.77</v>
      </c>
      <c r="M27" s="3"/>
      <c r="N27" s="7">
        <f t="shared" si="3"/>
        <v>0</v>
      </c>
      <c r="O27" s="9"/>
      <c r="P27" s="6">
        <v>3190.59</v>
      </c>
      <c r="Q27" s="3"/>
      <c r="R27" s="7">
        <f t="shared" si="4"/>
        <v>2.6867470183886039E-2</v>
      </c>
      <c r="S27" s="3"/>
      <c r="T27" s="6">
        <v>1667.09</v>
      </c>
      <c r="U27" s="3"/>
      <c r="V27" s="7">
        <f t="shared" si="5"/>
        <v>0.67317189386505782</v>
      </c>
      <c r="W27" s="3"/>
      <c r="X27" s="6">
        <f t="shared" si="6"/>
        <v>1523.5000000000002</v>
      </c>
      <c r="Y27" s="3"/>
      <c r="Z27" s="7">
        <f t="shared" si="7"/>
        <v>0.91386787755910015</v>
      </c>
    </row>
    <row r="28" spans="1:26" s="69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-208.71</v>
      </c>
      <c r="E28" s="3"/>
      <c r="F28" s="7">
        <f t="shared" si="0"/>
        <v>-7.6031125002732181E-2</v>
      </c>
      <c r="G28" s="3"/>
      <c r="H28" s="6"/>
      <c r="I28" s="3"/>
      <c r="J28" s="7">
        <f t="shared" si="1"/>
        <v>0</v>
      </c>
      <c r="K28" s="3"/>
      <c r="L28" s="6">
        <f t="shared" si="2"/>
        <v>-208.71</v>
      </c>
      <c r="M28" s="3"/>
      <c r="N28" s="7">
        <f t="shared" si="3"/>
        <v>0</v>
      </c>
      <c r="O28" s="9"/>
      <c r="P28" s="6">
        <v>455.53</v>
      </c>
      <c r="Q28" s="3"/>
      <c r="R28" s="7">
        <f t="shared" si="4"/>
        <v>3.8359484273647214E-3</v>
      </c>
      <c r="S28" s="3"/>
      <c r="T28" s="6">
        <v>331.61</v>
      </c>
      <c r="U28" s="3"/>
      <c r="V28" s="7">
        <f t="shared" si="5"/>
        <v>0.13390430734069056</v>
      </c>
      <c r="W28" s="3"/>
      <c r="X28" s="6">
        <f t="shared" si="6"/>
        <v>123.91999999999996</v>
      </c>
      <c r="Y28" s="3"/>
      <c r="Z28" s="7">
        <f t="shared" si="7"/>
        <v>0.37369198757576655</v>
      </c>
    </row>
    <row r="29" spans="1:26" s="69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1284.4100000000001</v>
      </c>
      <c r="E29" s="3"/>
      <c r="F29" s="7">
        <f t="shared" si="0"/>
        <v>0.46789869802481554</v>
      </c>
      <c r="G29" s="3"/>
      <c r="H29" s="6"/>
      <c r="I29" s="3"/>
      <c r="J29" s="7">
        <f t="shared" si="1"/>
        <v>0</v>
      </c>
      <c r="K29" s="3"/>
      <c r="L29" s="6">
        <f t="shared" si="2"/>
        <v>1284.4100000000001</v>
      </c>
      <c r="M29" s="3"/>
      <c r="N29" s="7">
        <f t="shared" si="3"/>
        <v>0</v>
      </c>
      <c r="O29" s="9"/>
      <c r="P29" s="6">
        <v>7740.3</v>
      </c>
      <c r="Q29" s="3"/>
      <c r="R29" s="7">
        <f t="shared" si="4"/>
        <v>6.517988192288357E-2</v>
      </c>
      <c r="S29" s="3"/>
      <c r="T29" s="6">
        <v>3385.22</v>
      </c>
      <c r="U29" s="3"/>
      <c r="V29" s="7">
        <f t="shared" si="5"/>
        <v>1.366953768872629</v>
      </c>
      <c r="W29" s="3"/>
      <c r="X29" s="6">
        <f t="shared" si="6"/>
        <v>4355.08</v>
      </c>
      <c r="Y29" s="3"/>
      <c r="Z29" s="7">
        <f t="shared" si="7"/>
        <v>1.2864983664281791</v>
      </c>
    </row>
    <row r="30" spans="1:26" s="69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>
        <v>114.96</v>
      </c>
      <c r="Q30" s="3"/>
      <c r="R30" s="7">
        <f t="shared" si="4"/>
        <v>9.6806056946819826E-4</v>
      </c>
      <c r="S30" s="3"/>
      <c r="T30" s="6">
        <v>62.01</v>
      </c>
      <c r="U30" s="3"/>
      <c r="V30" s="7">
        <f t="shared" si="5"/>
        <v>2.5039673406098192E-2</v>
      </c>
      <c r="W30" s="3"/>
      <c r="X30" s="6">
        <f t="shared" si="6"/>
        <v>52.949999999999996</v>
      </c>
      <c r="Y30" s="3"/>
      <c r="Z30" s="7">
        <f t="shared" si="7"/>
        <v>0.85389453313981611</v>
      </c>
    </row>
    <row r="31" spans="1:26" s="69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1254.1099999999999</v>
      </c>
      <c r="U31" s="3"/>
      <c r="V31" s="7">
        <f t="shared" si="5"/>
        <v>0.50641033406421232</v>
      </c>
      <c r="W31" s="3"/>
      <c r="X31" s="6">
        <f t="shared" si="6"/>
        <v>-1254.1099999999999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1"/>
      <c r="B32" s="9" t="str">
        <f>CONCATENATE("          ","6117"," - ","RETIREMENT STAFF HOURLY")</f>
        <v xml:space="preserve">          6117 - RETIREMENT STAFF HOURLY</v>
      </c>
      <c r="C32" s="9"/>
      <c r="D32" s="6">
        <v>206.24</v>
      </c>
      <c r="E32" s="3"/>
      <c r="F32" s="7">
        <f t="shared" si="0"/>
        <v>7.5131326819814506E-2</v>
      </c>
      <c r="G32" s="3"/>
      <c r="H32" s="6"/>
      <c r="I32" s="3"/>
      <c r="J32" s="7">
        <f t="shared" si="1"/>
        <v>0</v>
      </c>
      <c r="K32" s="3"/>
      <c r="L32" s="6">
        <f t="shared" si="2"/>
        <v>206.24</v>
      </c>
      <c r="M32" s="3"/>
      <c r="N32" s="7">
        <f t="shared" si="3"/>
        <v>0</v>
      </c>
      <c r="O32" s="9"/>
      <c r="P32" s="6">
        <v>1386.73</v>
      </c>
      <c r="Q32" s="3"/>
      <c r="R32" s="7">
        <f t="shared" si="4"/>
        <v>1.1677441140384782E-2</v>
      </c>
      <c r="S32" s="3"/>
      <c r="T32" s="6"/>
      <c r="U32" s="3"/>
      <c r="V32" s="7">
        <f t="shared" si="5"/>
        <v>0</v>
      </c>
      <c r="W32" s="3"/>
      <c r="X32" s="6">
        <f t="shared" si="6"/>
        <v>1386.73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1"/>
      <c r="B33" s="9" t="str">
        <f>CONCATENATE("          ","6118"," - ","VACATION")</f>
        <v xml:space="preserve">          6118 - VACATION</v>
      </c>
      <c r="C33" s="9"/>
      <c r="D33" s="6">
        <v>163.24</v>
      </c>
      <c r="E33" s="3"/>
      <c r="F33" s="7">
        <f t="shared" si="0"/>
        <v>5.9466824040275992E-2</v>
      </c>
      <c r="G33" s="3"/>
      <c r="H33" s="6"/>
      <c r="I33" s="3"/>
      <c r="J33" s="7">
        <f t="shared" si="1"/>
        <v>0</v>
      </c>
      <c r="K33" s="3"/>
      <c r="L33" s="6">
        <f t="shared" si="2"/>
        <v>163.24</v>
      </c>
      <c r="M33" s="3"/>
      <c r="N33" s="7">
        <f t="shared" si="3"/>
        <v>0</v>
      </c>
      <c r="O33" s="9"/>
      <c r="P33" s="6">
        <v>1305.92</v>
      </c>
      <c r="Q33" s="3"/>
      <c r="R33" s="7">
        <f t="shared" si="4"/>
        <v>1.0996952495475901E-2</v>
      </c>
      <c r="S33" s="3"/>
      <c r="T33" s="6">
        <v>958.88</v>
      </c>
      <c r="U33" s="3"/>
      <c r="V33" s="7">
        <f t="shared" si="5"/>
        <v>0.38719629149555612</v>
      </c>
      <c r="W33" s="3"/>
      <c r="X33" s="6">
        <f t="shared" si="6"/>
        <v>347.04000000000008</v>
      </c>
      <c r="Y33" s="3"/>
      <c r="Z33" s="7">
        <f t="shared" si="7"/>
        <v>0.36192224261638589</v>
      </c>
    </row>
    <row r="34" spans="1:26" s="69" customFormat="1" ht="15" hidden="1" customHeight="1" outlineLevel="2" x14ac:dyDescent="0.3">
      <c r="A34" s="21"/>
      <c r="B34" s="9" t="str">
        <f>CONCATENATE("          ","6119"," - ","SICK LEAVE")</f>
        <v xml:space="preserve">          6119 - SICK LEAVE</v>
      </c>
      <c r="C34" s="9"/>
      <c r="D34" s="6">
        <v>195.58</v>
      </c>
      <c r="E34" s="3"/>
      <c r="F34" s="7">
        <f t="shared" si="0"/>
        <v>7.124798729353822E-2</v>
      </c>
      <c r="G34" s="3"/>
      <c r="H34" s="6"/>
      <c r="I34" s="3"/>
      <c r="J34" s="7">
        <f t="shared" si="1"/>
        <v>0</v>
      </c>
      <c r="K34" s="3"/>
      <c r="L34" s="6">
        <f t="shared" si="2"/>
        <v>195.58</v>
      </c>
      <c r="M34" s="3"/>
      <c r="N34" s="7">
        <f t="shared" si="3"/>
        <v>0</v>
      </c>
      <c r="O34" s="9"/>
      <c r="P34" s="6">
        <v>1564.64</v>
      </c>
      <c r="Q34" s="3"/>
      <c r="R34" s="7">
        <f t="shared" si="4"/>
        <v>1.3175594027598485E-2</v>
      </c>
      <c r="S34" s="3"/>
      <c r="T34" s="6">
        <v>767.52</v>
      </c>
      <c r="U34" s="3"/>
      <c r="V34" s="7">
        <f t="shared" si="5"/>
        <v>0.30992501423397006</v>
      </c>
      <c r="W34" s="3"/>
      <c r="X34" s="6">
        <f t="shared" si="6"/>
        <v>797.12000000000012</v>
      </c>
      <c r="Y34" s="3"/>
      <c r="Z34" s="7">
        <f t="shared" si="7"/>
        <v>1.0385657702730875</v>
      </c>
    </row>
    <row r="35" spans="1:26" s="69" customFormat="1" ht="15" hidden="1" customHeight="1" outlineLevel="2" x14ac:dyDescent="0.3">
      <c r="A35" s="21"/>
      <c r="B35" s="9" t="str">
        <f>CONCATENATE("          ","6156"," - ","EMPLOYEE MEALS")</f>
        <v xml:space="preserve">          6156 - EMPLOYEE MEALS</v>
      </c>
      <c r="C35" s="9"/>
      <c r="D35" s="6">
        <v>215.53</v>
      </c>
      <c r="E35" s="3"/>
      <c r="F35" s="7">
        <f t="shared" si="0"/>
        <v>7.8515588001719455E-2</v>
      </c>
      <c r="G35" s="3"/>
      <c r="H35" s="6"/>
      <c r="I35" s="3"/>
      <c r="J35" s="7">
        <f t="shared" si="1"/>
        <v>0</v>
      </c>
      <c r="K35" s="3"/>
      <c r="L35" s="6">
        <f t="shared" si="2"/>
        <v>215.53</v>
      </c>
      <c r="M35" s="3"/>
      <c r="N35" s="7">
        <f t="shared" si="3"/>
        <v>0</v>
      </c>
      <c r="O35" s="9"/>
      <c r="P35" s="6">
        <v>1555.26</v>
      </c>
      <c r="Q35" s="3"/>
      <c r="R35" s="7">
        <f t="shared" si="4"/>
        <v>1.3096606482873261E-2</v>
      </c>
      <c r="S35" s="3"/>
      <c r="T35" s="6">
        <v>325.55</v>
      </c>
      <c r="U35" s="3"/>
      <c r="V35" s="7">
        <f t="shared" si="5"/>
        <v>0.13145727588058809</v>
      </c>
      <c r="W35" s="3"/>
      <c r="X35" s="6">
        <f t="shared" si="6"/>
        <v>1229.71</v>
      </c>
      <c r="Y35" s="3"/>
      <c r="Z35" s="7">
        <f t="shared" si="7"/>
        <v>3.7773306711718631</v>
      </c>
    </row>
    <row r="36" spans="1:26" s="68" customFormat="1" ht="15" customHeight="1" outlineLevel="1" collapsed="1" x14ac:dyDescent="0.3">
      <c r="A36" s="20"/>
      <c r="B36" s="11" t="str">
        <f>CONCATENATE("     ","*Payroll                                          ")</f>
        <v xml:space="preserve">     *Payroll                                          </v>
      </c>
      <c r="C36" s="11"/>
      <c r="D36" s="2">
        <f>SUM(OSRRefD22_1x_0)</f>
        <v>4118.87</v>
      </c>
      <c r="E36" s="2"/>
      <c r="F36" s="5">
        <f t="shared" si="0"/>
        <v>1.500466292175763</v>
      </c>
      <c r="G36" s="2"/>
      <c r="H36" s="2">
        <f>SUM(OSRRefH22_1x_0)</f>
        <v>0</v>
      </c>
      <c r="I36" s="2"/>
      <c r="J36" s="5">
        <f t="shared" si="1"/>
        <v>0</v>
      </c>
      <c r="K36" s="2"/>
      <c r="L36" s="2">
        <f t="shared" si="2"/>
        <v>4118.87</v>
      </c>
      <c r="M36" s="2"/>
      <c r="N36" s="5">
        <f t="shared" si="3"/>
        <v>0</v>
      </c>
      <c r="O36" s="11"/>
      <c r="P36" s="2">
        <f>SUM(OSRRefP22_1x_0)</f>
        <v>48483.74</v>
      </c>
      <c r="Q36" s="2"/>
      <c r="R36" s="5">
        <f t="shared" si="4"/>
        <v>0.40827415583114179</v>
      </c>
      <c r="S36" s="2"/>
      <c r="T36" s="2">
        <f>SUM(OSRRefT22_1x_0)</f>
        <v>15859.96</v>
      </c>
      <c r="U36" s="2"/>
      <c r="V36" s="5">
        <f t="shared" si="5"/>
        <v>6.404260903624917</v>
      </c>
      <c r="W36" s="2"/>
      <c r="X36" s="2">
        <f t="shared" si="6"/>
        <v>32623.78</v>
      </c>
      <c r="Y36" s="2"/>
      <c r="Z36" s="5">
        <f t="shared" si="7"/>
        <v>2.0569900554604175</v>
      </c>
    </row>
    <row r="37" spans="1:26" s="69" customFormat="1" ht="15" hidden="1" customHeight="1" outlineLevel="2" x14ac:dyDescent="0.3">
      <c r="A37" s="21"/>
      <c r="B37" s="9" t="str">
        <f>CONCATENATE("          ","6002"," - ","STAFF SALARIES")</f>
        <v xml:space="preserve">          6002 - STAFF SALARIES</v>
      </c>
      <c r="C37" s="9"/>
      <c r="D37" s="6"/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13728</v>
      </c>
      <c r="U37" s="3"/>
      <c r="V37" s="7">
        <f t="shared" si="5"/>
        <v>5.5433742383311726</v>
      </c>
      <c r="W37" s="3"/>
      <c r="X37" s="6">
        <f t="shared" si="6"/>
        <v>-13728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1"/>
      <c r="B38" s="9" t="str">
        <f>CONCATENATE("          ","6004"," - ","STAFF HOURLY")</f>
        <v xml:space="preserve">          6004 - STAFF HOURLY</v>
      </c>
      <c r="C38" s="9"/>
      <c r="D38" s="6">
        <v>2824.37</v>
      </c>
      <c r="E38" s="3"/>
      <c r="F38" s="7">
        <f t="shared" si="0"/>
        <v>1.0288919003591908</v>
      </c>
      <c r="G38" s="3"/>
      <c r="H38" s="6"/>
      <c r="I38" s="3"/>
      <c r="J38" s="7">
        <f t="shared" si="1"/>
        <v>0</v>
      </c>
      <c r="K38" s="3"/>
      <c r="L38" s="6">
        <f t="shared" si="2"/>
        <v>2824.37</v>
      </c>
      <c r="M38" s="3"/>
      <c r="N38" s="7">
        <f t="shared" si="3"/>
        <v>0</v>
      </c>
      <c r="O38" s="9"/>
      <c r="P38" s="6">
        <v>31451.45</v>
      </c>
      <c r="Q38" s="3"/>
      <c r="R38" s="7">
        <f t="shared" si="4"/>
        <v>0.26484784792624011</v>
      </c>
      <c r="S38" s="3"/>
      <c r="T38" s="6"/>
      <c r="U38" s="3"/>
      <c r="V38" s="7">
        <f t="shared" si="5"/>
        <v>0</v>
      </c>
      <c r="W38" s="3"/>
      <c r="X38" s="6">
        <f t="shared" si="6"/>
        <v>31451.45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","6005"," - ","TEMPORARY WAGES-HOURLY")</f>
        <v xml:space="preserve">          6005 - TEMPORARY WAGES-HOURLY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638.94000000000005</v>
      </c>
      <c r="Q39" s="3"/>
      <c r="R39" s="7">
        <f t="shared" si="4"/>
        <v>5.3804159729993967E-3</v>
      </c>
      <c r="S39" s="3"/>
      <c r="T39" s="6">
        <v>2131.96</v>
      </c>
      <c r="U39" s="3"/>
      <c r="V39" s="7">
        <f t="shared" si="5"/>
        <v>0.86088666529374469</v>
      </c>
      <c r="W39" s="3"/>
      <c r="X39" s="6">
        <f t="shared" si="6"/>
        <v>-1493.02</v>
      </c>
      <c r="Y39" s="3"/>
      <c r="Z39" s="7">
        <f t="shared" si="7"/>
        <v>-0.70030394566502185</v>
      </c>
    </row>
    <row r="40" spans="1:26" s="69" customFormat="1" ht="15" hidden="1" customHeight="1" outlineLevel="2" x14ac:dyDescent="0.3">
      <c r="A40" s="21"/>
      <c r="B40" s="9" t="str">
        <f>CONCATENATE("          ","6006"," - ","TEMPORARY PART TIME")</f>
        <v xml:space="preserve">          6006 - TEMPORARY PART TIME</v>
      </c>
      <c r="C40" s="9"/>
      <c r="D40" s="6">
        <v>1152</v>
      </c>
      <c r="E40" s="3"/>
      <c r="F40" s="7">
        <f t="shared" si="0"/>
        <v>0.41966295818670629</v>
      </c>
      <c r="G40" s="3"/>
      <c r="H40" s="6"/>
      <c r="I40" s="3"/>
      <c r="J40" s="7">
        <f t="shared" si="1"/>
        <v>0</v>
      </c>
      <c r="K40" s="3"/>
      <c r="L40" s="6">
        <f t="shared" si="2"/>
        <v>1152</v>
      </c>
      <c r="M40" s="3"/>
      <c r="N40" s="7">
        <f t="shared" si="3"/>
        <v>0</v>
      </c>
      <c r="O40" s="9"/>
      <c r="P40" s="6">
        <v>7943.04</v>
      </c>
      <c r="Q40" s="3"/>
      <c r="R40" s="7">
        <f t="shared" si="4"/>
        <v>6.6887124440750498E-2</v>
      </c>
      <c r="S40" s="3"/>
      <c r="T40" s="6"/>
      <c r="U40" s="3"/>
      <c r="V40" s="7">
        <f t="shared" si="5"/>
        <v>0</v>
      </c>
      <c r="W40" s="3"/>
      <c r="X40" s="6">
        <f t="shared" si="6"/>
        <v>7943.04</v>
      </c>
      <c r="Y40" s="3"/>
      <c r="Z40" s="7">
        <f t="shared" si="7"/>
        <v>0</v>
      </c>
    </row>
    <row r="41" spans="1:26" s="69" customFormat="1" ht="15" hidden="1" customHeight="1" outlineLevel="2" x14ac:dyDescent="0.3">
      <c r="A41" s="21"/>
      <c r="B41" s="9" t="str">
        <f>CONCATENATE("          ","6007"," - ","STUDENT HOURLY")</f>
        <v xml:space="preserve">          6007 - STUDENT HOURLY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6285.66</v>
      </c>
      <c r="Q41" s="3"/>
      <c r="R41" s="7">
        <f t="shared" si="4"/>
        <v>5.2930581063704553E-2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6285.66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","6008"," - ","STUDENT HOURLY-FICA EXEMPT")</f>
        <v xml:space="preserve">          6008 - STUDENT HOURLY-FICA EXEMPT</v>
      </c>
      <c r="C42" s="9"/>
      <c r="D42" s="6">
        <v>142.5</v>
      </c>
      <c r="E42" s="3"/>
      <c r="F42" s="7">
        <f t="shared" si="0"/>
        <v>5.1911433629866013E-2</v>
      </c>
      <c r="G42" s="3"/>
      <c r="H42" s="6"/>
      <c r="I42" s="3"/>
      <c r="J42" s="7">
        <f t="shared" si="1"/>
        <v>0</v>
      </c>
      <c r="K42" s="3"/>
      <c r="L42" s="6">
        <f t="shared" si="2"/>
        <v>142.5</v>
      </c>
      <c r="M42" s="3"/>
      <c r="N42" s="7">
        <f t="shared" si="3"/>
        <v>0</v>
      </c>
      <c r="O42" s="9"/>
      <c r="P42" s="6">
        <v>2164.65</v>
      </c>
      <c r="Q42" s="3"/>
      <c r="R42" s="7">
        <f t="shared" si="4"/>
        <v>1.8228186427447248E-2</v>
      </c>
      <c r="S42" s="3"/>
      <c r="T42" s="6"/>
      <c r="U42" s="3"/>
      <c r="V42" s="7">
        <f t="shared" si="5"/>
        <v>0</v>
      </c>
      <c r="W42" s="3"/>
      <c r="X42" s="6">
        <f t="shared" si="6"/>
        <v>2164.65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0"/>
      <c r="B43" s="11" t="str">
        <f>CONCATENATE("     ","Advertising/Promo                                 ")</f>
        <v xml:space="preserve">     Advertising/Promo                                 </v>
      </c>
      <c r="C43" s="11"/>
      <c r="D43" s="2">
        <f>SUM(OSRRefD22_2x_0)</f>
        <v>0</v>
      </c>
      <c r="E43" s="2"/>
      <c r="F43" s="5">
        <f t="shared" si="0"/>
        <v>0</v>
      </c>
      <c r="G43" s="2"/>
      <c r="H43" s="2">
        <f>SUM(OSRRefH22_2x_0)</f>
        <v>0</v>
      </c>
      <c r="I43" s="2"/>
      <c r="J43" s="5">
        <f t="shared" si="1"/>
        <v>0</v>
      </c>
      <c r="K43" s="2"/>
      <c r="L43" s="2">
        <f t="shared" si="2"/>
        <v>0</v>
      </c>
      <c r="M43" s="2"/>
      <c r="N43" s="5">
        <f t="shared" si="3"/>
        <v>0</v>
      </c>
      <c r="O43" s="11"/>
      <c r="P43" s="2">
        <f>SUM(OSRRefP22_2x_0)</f>
        <v>487.64</v>
      </c>
      <c r="Q43" s="2"/>
      <c r="R43" s="5">
        <f t="shared" si="4"/>
        <v>4.106341824073349E-3</v>
      </c>
      <c r="S43" s="2"/>
      <c r="T43" s="2">
        <f>SUM(OSRRefT22_2x_0)</f>
        <v>0</v>
      </c>
      <c r="U43" s="2"/>
      <c r="V43" s="5">
        <f t="shared" si="5"/>
        <v>0</v>
      </c>
      <c r="W43" s="2"/>
      <c r="X43" s="2">
        <f t="shared" si="6"/>
        <v>487.64</v>
      </c>
      <c r="Y43" s="2"/>
      <c r="Z43" s="5">
        <f t="shared" si="7"/>
        <v>0</v>
      </c>
    </row>
    <row r="44" spans="1:26" s="69" customFormat="1" ht="15" hidden="1" customHeight="1" outlineLevel="2" x14ac:dyDescent="0.3">
      <c r="A44" s="21"/>
      <c r="B44" s="9" t="str">
        <f>CONCATENATE("          ","6362"," - ","ADVERTISING EXPENSE")</f>
        <v xml:space="preserve">          6362 - ADVERTISING EXPENSE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487.64</v>
      </c>
      <c r="Q44" s="3"/>
      <c r="R44" s="7">
        <f t="shared" si="4"/>
        <v>4.106341824073349E-3</v>
      </c>
      <c r="S44" s="3"/>
      <c r="T44" s="6"/>
      <c r="U44" s="3"/>
      <c r="V44" s="7">
        <f t="shared" si="5"/>
        <v>0</v>
      </c>
      <c r="W44" s="3"/>
      <c r="X44" s="6">
        <f t="shared" si="6"/>
        <v>487.64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0"/>
      <c r="B45" s="11" t="str">
        <f>CONCATENATE("     ","Bad Debts/Over/Short                              ")</f>
        <v xml:space="preserve">     Bad Debts/Over/Short                              </v>
      </c>
      <c r="C45" s="11"/>
      <c r="D45" s="2">
        <f>SUM(OSRRefD22_3x_0)</f>
        <v>-1.82</v>
      </c>
      <c r="E45" s="2"/>
      <c r="F45" s="5">
        <f t="shared" si="0"/>
        <v>-6.6300918741302563E-4</v>
      </c>
      <c r="G45" s="2"/>
      <c r="H45" s="2">
        <f>SUM(OSRRefH22_3x_0)</f>
        <v>0</v>
      </c>
      <c r="I45" s="2"/>
      <c r="J45" s="5">
        <f t="shared" si="1"/>
        <v>0</v>
      </c>
      <c r="K45" s="2"/>
      <c r="L45" s="2">
        <f t="shared" si="2"/>
        <v>-1.82</v>
      </c>
      <c r="M45" s="2"/>
      <c r="N45" s="5">
        <f t="shared" si="3"/>
        <v>0</v>
      </c>
      <c r="O45" s="11"/>
      <c r="P45" s="2">
        <f>SUM(OSRRefP22_3x_0)</f>
        <v>-14.56</v>
      </c>
      <c r="Q45" s="2"/>
      <c r="R45" s="5">
        <f t="shared" si="4"/>
        <v>-1.2260753211079477E-4</v>
      </c>
      <c r="S45" s="2"/>
      <c r="T45" s="2">
        <f>SUM(OSRRefT22_3x_0)</f>
        <v>3.31</v>
      </c>
      <c r="U45" s="2"/>
      <c r="V45" s="5">
        <f t="shared" si="5"/>
        <v>1.3365798899239642E-3</v>
      </c>
      <c r="W45" s="2"/>
      <c r="X45" s="2">
        <f t="shared" si="6"/>
        <v>-17.87</v>
      </c>
      <c r="Y45" s="2"/>
      <c r="Z45" s="5">
        <f t="shared" si="7"/>
        <v>-5.3987915407854983</v>
      </c>
    </row>
    <row r="46" spans="1:26" s="69" customFormat="1" ht="15" hidden="1" customHeight="1" outlineLevel="2" x14ac:dyDescent="0.3">
      <c r="A46" s="21"/>
      <c r="B46" s="9" t="str">
        <f>CONCATENATE("          ","6272"," - ","CASH (OVER/SHORT)")</f>
        <v xml:space="preserve">          6272 - CASH (OVER/SHORT)</v>
      </c>
      <c r="C46" s="9"/>
      <c r="D46" s="6">
        <v>-1.82</v>
      </c>
      <c r="E46" s="3"/>
      <c r="F46" s="7">
        <f t="shared" si="0"/>
        <v>-6.6300918741302563E-4</v>
      </c>
      <c r="G46" s="3"/>
      <c r="H46" s="6"/>
      <c r="I46" s="3"/>
      <c r="J46" s="7">
        <f t="shared" si="1"/>
        <v>0</v>
      </c>
      <c r="K46" s="3"/>
      <c r="L46" s="6">
        <f t="shared" si="2"/>
        <v>-1.82</v>
      </c>
      <c r="M46" s="3"/>
      <c r="N46" s="7">
        <f t="shared" si="3"/>
        <v>0</v>
      </c>
      <c r="O46" s="9"/>
      <c r="P46" s="6">
        <v>-14.56</v>
      </c>
      <c r="Q46" s="3"/>
      <c r="R46" s="7">
        <f t="shared" si="4"/>
        <v>-1.2260753211079477E-4</v>
      </c>
      <c r="S46" s="3"/>
      <c r="T46" s="6">
        <v>3.31</v>
      </c>
      <c r="U46" s="3"/>
      <c r="V46" s="7">
        <f t="shared" si="5"/>
        <v>1.3365798899239642E-3</v>
      </c>
      <c r="W46" s="3"/>
      <c r="X46" s="6">
        <f t="shared" si="6"/>
        <v>-17.87</v>
      </c>
      <c r="Y46" s="3"/>
      <c r="Z46" s="7">
        <f t="shared" si="7"/>
        <v>-5.3987915407854983</v>
      </c>
    </row>
    <row r="47" spans="1:26" s="68" customFormat="1" ht="15" customHeight="1" outlineLevel="1" collapsed="1" x14ac:dyDescent="0.3">
      <c r="A47" s="20"/>
      <c r="B47" s="11" t="str">
        <f>CONCATENATE("     ","Bank/card Fees                                    ")</f>
        <v xml:space="preserve">     Bank/card Fees                                    </v>
      </c>
      <c r="C47" s="11"/>
      <c r="D47" s="2">
        <f>SUM(OSRRefD22_4x_0)</f>
        <v>109.87</v>
      </c>
      <c r="E47" s="2"/>
      <c r="F47" s="5">
        <f t="shared" si="0"/>
        <v>4.0024626055532489E-2</v>
      </c>
      <c r="G47" s="2"/>
      <c r="H47" s="2">
        <f>SUM(OSRRefH22_4x_0)</f>
        <v>100.01</v>
      </c>
      <c r="I47" s="2"/>
      <c r="J47" s="5">
        <f t="shared" si="1"/>
        <v>0</v>
      </c>
      <c r="K47" s="2"/>
      <c r="L47" s="2">
        <f t="shared" si="2"/>
        <v>9.86</v>
      </c>
      <c r="M47" s="2"/>
      <c r="N47" s="5">
        <f t="shared" si="3"/>
        <v>9.8590140985901395E-2</v>
      </c>
      <c r="O47" s="11"/>
      <c r="P47" s="2">
        <f>SUM(OSRRefP22_4x_0)</f>
        <v>5027.26</v>
      </c>
      <c r="Q47" s="2"/>
      <c r="R47" s="5">
        <f t="shared" si="4"/>
        <v>4.2333787216985864E-2</v>
      </c>
      <c r="S47" s="2"/>
      <c r="T47" s="2">
        <f>SUM(OSRRefT22_4x_0)</f>
        <v>1773.09</v>
      </c>
      <c r="U47" s="2"/>
      <c r="V47" s="5">
        <f t="shared" si="5"/>
        <v>0.7159747543883026</v>
      </c>
      <c r="W47" s="2"/>
      <c r="X47" s="2">
        <f t="shared" si="6"/>
        <v>3254.17</v>
      </c>
      <c r="Y47" s="2"/>
      <c r="Z47" s="5">
        <f t="shared" si="7"/>
        <v>1.8353101083419343</v>
      </c>
    </row>
    <row r="48" spans="1:26" s="69" customFormat="1" ht="15" hidden="1" customHeight="1" outlineLevel="2" x14ac:dyDescent="0.3">
      <c r="A48" s="21"/>
      <c r="B48" s="9" t="str">
        <f>CONCATENATE("          ","6381"," - ","BANK/CREDIT CARD FEES")</f>
        <v xml:space="preserve">          6381 - BANK/CREDIT CARD FEES</v>
      </c>
      <c r="C48" s="9"/>
      <c r="D48" s="6">
        <v>109.87</v>
      </c>
      <c r="E48" s="3"/>
      <c r="F48" s="7">
        <f t="shared" si="0"/>
        <v>4.0024626055532489E-2</v>
      </c>
      <c r="G48" s="3"/>
      <c r="H48" s="6">
        <v>100.01</v>
      </c>
      <c r="I48" s="3"/>
      <c r="J48" s="7">
        <f t="shared" si="1"/>
        <v>0</v>
      </c>
      <c r="K48" s="3"/>
      <c r="L48" s="6">
        <f t="shared" si="2"/>
        <v>9.86</v>
      </c>
      <c r="M48" s="3"/>
      <c r="N48" s="7">
        <f t="shared" si="3"/>
        <v>9.8590140985901395E-2</v>
      </c>
      <c r="O48" s="9"/>
      <c r="P48" s="6">
        <v>5027.26</v>
      </c>
      <c r="Q48" s="3"/>
      <c r="R48" s="7">
        <f t="shared" si="4"/>
        <v>4.2333787216985864E-2</v>
      </c>
      <c r="S48" s="3"/>
      <c r="T48" s="6">
        <v>1773.09</v>
      </c>
      <c r="U48" s="3"/>
      <c r="V48" s="7">
        <f t="shared" si="5"/>
        <v>0.7159747543883026</v>
      </c>
      <c r="W48" s="3"/>
      <c r="X48" s="6">
        <f t="shared" si="6"/>
        <v>3254.17</v>
      </c>
      <c r="Y48" s="3"/>
      <c r="Z48" s="7">
        <f t="shared" si="7"/>
        <v>1.8353101083419343</v>
      </c>
    </row>
    <row r="49" spans="1:26" s="68" customFormat="1" ht="15" customHeight="1" outlineLevel="1" collapsed="1" x14ac:dyDescent="0.3">
      <c r="A49" s="20"/>
      <c r="B49" s="11" t="str">
        <f>CONCATENATE("     ","Depreciation                                      ")</f>
        <v xml:space="preserve">     Depreciation                                      </v>
      </c>
      <c r="C49" s="11"/>
      <c r="D49" s="2">
        <f>SUM(OSRRefD22_5x_0)</f>
        <v>106.52</v>
      </c>
      <c r="E49" s="2"/>
      <c r="F49" s="5">
        <f t="shared" si="0"/>
        <v>3.8804252001777735E-2</v>
      </c>
      <c r="G49" s="2"/>
      <c r="H49" s="2">
        <f>SUM(OSRRefH22_5x_0)</f>
        <v>1075.44</v>
      </c>
      <c r="I49" s="2"/>
      <c r="J49" s="5">
        <f t="shared" si="1"/>
        <v>0</v>
      </c>
      <c r="K49" s="2"/>
      <c r="L49" s="2">
        <f t="shared" si="2"/>
        <v>-968.92000000000007</v>
      </c>
      <c r="M49" s="2"/>
      <c r="N49" s="5">
        <f t="shared" si="3"/>
        <v>-0.90095216841478842</v>
      </c>
      <c r="O49" s="11"/>
      <c r="P49" s="2">
        <f>SUM(OSRRefP22_5x_0)</f>
        <v>5449.44</v>
      </c>
      <c r="Q49" s="2"/>
      <c r="R49" s="5">
        <f t="shared" si="4"/>
        <v>4.5888900397379771E-2</v>
      </c>
      <c r="S49" s="2"/>
      <c r="T49" s="2">
        <f>SUM(OSRRefT22_5x_0)</f>
        <v>12904.51</v>
      </c>
      <c r="U49" s="2"/>
      <c r="V49" s="5">
        <f t="shared" si="5"/>
        <v>5.2108485061397873</v>
      </c>
      <c r="W49" s="2"/>
      <c r="X49" s="2">
        <f t="shared" si="6"/>
        <v>-7455.0700000000006</v>
      </c>
      <c r="Y49" s="2"/>
      <c r="Z49" s="5">
        <f t="shared" si="7"/>
        <v>-0.5777104283696165</v>
      </c>
    </row>
    <row r="50" spans="1:26" s="69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106.52</v>
      </c>
      <c r="E50" s="3"/>
      <c r="F50" s="7">
        <f t="shared" si="0"/>
        <v>3.8804252001777735E-2</v>
      </c>
      <c r="G50" s="3"/>
      <c r="H50" s="6">
        <v>1075.44</v>
      </c>
      <c r="I50" s="3"/>
      <c r="J50" s="7">
        <f t="shared" si="1"/>
        <v>0</v>
      </c>
      <c r="K50" s="3"/>
      <c r="L50" s="6">
        <f t="shared" si="2"/>
        <v>-968.92000000000007</v>
      </c>
      <c r="M50" s="3"/>
      <c r="N50" s="7">
        <f t="shared" si="3"/>
        <v>-0.90095216841478842</v>
      </c>
      <c r="O50" s="9"/>
      <c r="P50" s="6">
        <v>5449.44</v>
      </c>
      <c r="Q50" s="3"/>
      <c r="R50" s="7">
        <f t="shared" si="4"/>
        <v>4.5888900397379771E-2</v>
      </c>
      <c r="S50" s="3"/>
      <c r="T50" s="6">
        <v>12904.51</v>
      </c>
      <c r="U50" s="3"/>
      <c r="V50" s="7">
        <f t="shared" si="5"/>
        <v>5.2108485061397873</v>
      </c>
      <c r="W50" s="3"/>
      <c r="X50" s="6">
        <f t="shared" si="6"/>
        <v>-7455.0700000000006</v>
      </c>
      <c r="Y50" s="3"/>
      <c r="Z50" s="7">
        <f t="shared" si="7"/>
        <v>-0.5777104283696165</v>
      </c>
    </row>
    <row r="51" spans="1:26" s="68" customFormat="1" ht="15" customHeight="1" outlineLevel="1" collapsed="1" x14ac:dyDescent="0.3">
      <c r="A51" s="20"/>
      <c r="B51" s="11" t="str">
        <f>CONCATENATE("     ","General                                           ")</f>
        <v xml:space="preserve">     General                                           </v>
      </c>
      <c r="C51" s="11"/>
      <c r="D51" s="2">
        <f>SUM(OSRRefD22_6x_0)</f>
        <v>0</v>
      </c>
      <c r="E51" s="2"/>
      <c r="F51" s="5">
        <f t="shared" si="0"/>
        <v>0</v>
      </c>
      <c r="G51" s="2"/>
      <c r="H51" s="2">
        <f>SUM(OSRRefH22_6x_0)</f>
        <v>0</v>
      </c>
      <c r="I51" s="2"/>
      <c r="J51" s="5">
        <f t="shared" si="1"/>
        <v>0</v>
      </c>
      <c r="K51" s="2"/>
      <c r="L51" s="2">
        <f t="shared" si="2"/>
        <v>0</v>
      </c>
      <c r="M51" s="2"/>
      <c r="N51" s="5">
        <f t="shared" si="3"/>
        <v>0</v>
      </c>
      <c r="O51" s="11"/>
      <c r="P51" s="2">
        <f>SUM(OSRRefP22_6x_0)</f>
        <v>1153.93</v>
      </c>
      <c r="Q51" s="2"/>
      <c r="R51" s="5">
        <f t="shared" si="4"/>
        <v>9.7170679621297676E-3</v>
      </c>
      <c r="S51" s="2"/>
      <c r="T51" s="2">
        <f>SUM(OSRRefT22_6x_0)</f>
        <v>1138.94</v>
      </c>
      <c r="U51" s="2"/>
      <c r="V51" s="5">
        <f t="shared" si="5"/>
        <v>0.4599046223051359</v>
      </c>
      <c r="W51" s="2"/>
      <c r="X51" s="2">
        <f t="shared" si="6"/>
        <v>14.990000000000009</v>
      </c>
      <c r="Y51" s="2"/>
      <c r="Z51" s="5">
        <f t="shared" si="7"/>
        <v>1.3161360563330823E-2</v>
      </c>
    </row>
    <row r="52" spans="1:26" s="69" customFormat="1" ht="15" hidden="1" customHeight="1" outlineLevel="2" x14ac:dyDescent="0.3">
      <c r="A52" s="21"/>
      <c r="B52" s="9" t="str">
        <f>CONCATENATE("          ","6279"," - ","GENERAL EXPENSE")</f>
        <v xml:space="preserve">          6279 - GENERAL EXPENSE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1153.93</v>
      </c>
      <c r="Q52" s="3"/>
      <c r="R52" s="7">
        <f t="shared" si="4"/>
        <v>9.7170679621297676E-3</v>
      </c>
      <c r="S52" s="3"/>
      <c r="T52" s="6">
        <v>1138.94</v>
      </c>
      <c r="U52" s="3"/>
      <c r="V52" s="7">
        <f t="shared" si="5"/>
        <v>0.4599046223051359</v>
      </c>
      <c r="W52" s="3"/>
      <c r="X52" s="6">
        <f t="shared" si="6"/>
        <v>14.990000000000009</v>
      </c>
      <c r="Y52" s="3"/>
      <c r="Z52" s="7">
        <f t="shared" si="7"/>
        <v>1.3161360563330823E-2</v>
      </c>
    </row>
    <row r="53" spans="1:26" s="68" customFormat="1" ht="15" customHeight="1" outlineLevel="1" collapsed="1" x14ac:dyDescent="0.3">
      <c r="A53" s="20"/>
      <c r="B53" s="11" t="str">
        <f>CONCATENATE("     ","Repair and Maintenance                            ")</f>
        <v xml:space="preserve">     Repair and Maintenance                            </v>
      </c>
      <c r="C53" s="11"/>
      <c r="D53" s="2">
        <f>SUM(OSRRefD22_7x_0)</f>
        <v>324.45</v>
      </c>
      <c r="E53" s="2"/>
      <c r="F53" s="5">
        <f t="shared" si="0"/>
        <v>0.11819413783305283</v>
      </c>
      <c r="G53" s="2"/>
      <c r="H53" s="2">
        <f>SUM(OSRRefH22_7x_0)</f>
        <v>47.9</v>
      </c>
      <c r="I53" s="2"/>
      <c r="J53" s="5">
        <f t="shared" si="1"/>
        <v>0</v>
      </c>
      <c r="K53" s="2"/>
      <c r="L53" s="2">
        <f t="shared" si="2"/>
        <v>276.55</v>
      </c>
      <c r="M53" s="2"/>
      <c r="N53" s="5">
        <f t="shared" si="3"/>
        <v>5.773486430062631</v>
      </c>
      <c r="O53" s="11"/>
      <c r="P53" s="2">
        <f>SUM(OSRRefP22_7x_0)</f>
        <v>2535.6999999999998</v>
      </c>
      <c r="Q53" s="2"/>
      <c r="R53" s="5">
        <f t="shared" si="4"/>
        <v>2.1352741701465817E-2</v>
      </c>
      <c r="S53" s="2"/>
      <c r="T53" s="2">
        <f>SUM(OSRRefT22_7x_0)</f>
        <v>588.75</v>
      </c>
      <c r="U53" s="2"/>
      <c r="V53" s="5">
        <f t="shared" si="5"/>
        <v>0.23773758616094681</v>
      </c>
      <c r="W53" s="2"/>
      <c r="X53" s="2">
        <f t="shared" si="6"/>
        <v>1946.9499999999998</v>
      </c>
      <c r="Y53" s="2"/>
      <c r="Z53" s="5">
        <f t="shared" si="7"/>
        <v>3.30692144373673</v>
      </c>
    </row>
    <row r="54" spans="1:26" s="69" customFormat="1" ht="15" hidden="1" customHeight="1" outlineLevel="2" x14ac:dyDescent="0.3">
      <c r="A54" s="21"/>
      <c r="B54" s="9" t="str">
        <f>CONCATENATE("          ","6373"," - ","MAINTENANCE CONTRACTS")</f>
        <v xml:space="preserve">          6373 - MAINTENANCE CONTRACTS</v>
      </c>
      <c r="C54" s="9"/>
      <c r="D54" s="6"/>
      <c r="E54" s="3"/>
      <c r="F54" s="7">
        <f t="shared" si="0"/>
        <v>0</v>
      </c>
      <c r="G54" s="3"/>
      <c r="H54" s="6">
        <v>47.9</v>
      </c>
      <c r="I54" s="3"/>
      <c r="J54" s="7">
        <f t="shared" si="1"/>
        <v>0</v>
      </c>
      <c r="K54" s="3"/>
      <c r="L54" s="6">
        <f t="shared" si="2"/>
        <v>-47.9</v>
      </c>
      <c r="M54" s="3"/>
      <c r="N54" s="7">
        <f t="shared" si="3"/>
        <v>-1</v>
      </c>
      <c r="O54" s="9"/>
      <c r="P54" s="6">
        <v>531.95000000000005</v>
      </c>
      <c r="Q54" s="3"/>
      <c r="R54" s="7">
        <f t="shared" si="4"/>
        <v>4.4794695540066815E-3</v>
      </c>
      <c r="S54" s="3"/>
      <c r="T54" s="6">
        <v>271.19</v>
      </c>
      <c r="U54" s="3"/>
      <c r="V54" s="7">
        <f t="shared" si="5"/>
        <v>0.10950667684244104</v>
      </c>
      <c r="W54" s="3"/>
      <c r="X54" s="6">
        <f t="shared" si="6"/>
        <v>260.76000000000005</v>
      </c>
      <c r="Y54" s="3"/>
      <c r="Z54" s="7">
        <f t="shared" si="7"/>
        <v>0.96153987978907796</v>
      </c>
    </row>
    <row r="55" spans="1:26" s="69" customFormat="1" ht="15" hidden="1" customHeight="1" outlineLevel="2" x14ac:dyDescent="0.3">
      <c r="A55" s="21"/>
      <c r="B55" s="9" t="str">
        <f>CONCATENATE("          ","6375"," - ","OUTSIDE REPAIRS &amp; MAINTENANCE")</f>
        <v xml:space="preserve">          6375 - OUTSIDE REPAIRS &amp; MAINTENANCE</v>
      </c>
      <c r="C55" s="9"/>
      <c r="D55" s="6">
        <v>324.45</v>
      </c>
      <c r="E55" s="3"/>
      <c r="F55" s="7">
        <f t="shared" si="0"/>
        <v>0.11819413783305283</v>
      </c>
      <c r="G55" s="3"/>
      <c r="H55" s="6"/>
      <c r="I55" s="3"/>
      <c r="J55" s="7">
        <f t="shared" si="1"/>
        <v>0</v>
      </c>
      <c r="K55" s="3"/>
      <c r="L55" s="6">
        <f t="shared" si="2"/>
        <v>324.45</v>
      </c>
      <c r="M55" s="3"/>
      <c r="N55" s="7">
        <f t="shared" si="3"/>
        <v>0</v>
      </c>
      <c r="O55" s="9"/>
      <c r="P55" s="6">
        <v>2003.75</v>
      </c>
      <c r="Q55" s="3"/>
      <c r="R55" s="7">
        <f t="shared" si="4"/>
        <v>1.6873272147459137E-2</v>
      </c>
      <c r="S55" s="3"/>
      <c r="T55" s="6">
        <v>317.56</v>
      </c>
      <c r="U55" s="3"/>
      <c r="V55" s="7">
        <f t="shared" si="5"/>
        <v>0.12823090931850575</v>
      </c>
      <c r="W55" s="3"/>
      <c r="X55" s="6">
        <f t="shared" si="6"/>
        <v>1686.19</v>
      </c>
      <c r="Y55" s="3"/>
      <c r="Z55" s="7">
        <f t="shared" si="7"/>
        <v>5.3098312129991188</v>
      </c>
    </row>
    <row r="56" spans="1:26" s="68" customFormat="1" ht="15" customHeight="1" outlineLevel="1" collapsed="1" x14ac:dyDescent="0.3">
      <c r="A56" s="20"/>
      <c r="B56" s="11" t="str">
        <f>CONCATENATE("     ","Royalty &amp; Commissions                             ")</f>
        <v xml:space="preserve">     Royalty &amp; Commissions                             </v>
      </c>
      <c r="C56" s="11"/>
      <c r="D56" s="2">
        <f>SUM(OSRRefD22_8x_0)</f>
        <v>0</v>
      </c>
      <c r="E56" s="2"/>
      <c r="F56" s="5">
        <f t="shared" si="0"/>
        <v>0</v>
      </c>
      <c r="G56" s="2"/>
      <c r="H56" s="2">
        <f>SUM(OSRRefH22_8x_0)</f>
        <v>0</v>
      </c>
      <c r="I56" s="2"/>
      <c r="J56" s="5">
        <f t="shared" si="1"/>
        <v>0</v>
      </c>
      <c r="K56" s="2"/>
      <c r="L56" s="2">
        <f t="shared" si="2"/>
        <v>0</v>
      </c>
      <c r="M56" s="2"/>
      <c r="N56" s="5">
        <f t="shared" si="3"/>
        <v>0</v>
      </c>
      <c r="O56" s="11"/>
      <c r="P56" s="2">
        <f>SUM(OSRRefP22_8x_0)</f>
        <v>4367.51</v>
      </c>
      <c r="Q56" s="2"/>
      <c r="R56" s="5">
        <f t="shared" si="4"/>
        <v>3.6778133418215474E-2</v>
      </c>
      <c r="S56" s="2"/>
      <c r="T56" s="2">
        <f>SUM(OSRRefT22_8x_0)</f>
        <v>185.7</v>
      </c>
      <c r="U56" s="2"/>
      <c r="V56" s="5">
        <f t="shared" si="5"/>
        <v>7.4985766029873155E-2</v>
      </c>
      <c r="W56" s="2"/>
      <c r="X56" s="2">
        <f t="shared" si="6"/>
        <v>4181.8100000000004</v>
      </c>
      <c r="Y56" s="2"/>
      <c r="Z56" s="5">
        <f t="shared" si="7"/>
        <v>22.519170705438885</v>
      </c>
    </row>
    <row r="57" spans="1:26" s="69" customFormat="1" ht="15" hidden="1" customHeight="1" outlineLevel="2" x14ac:dyDescent="0.3">
      <c r="A57" s="21"/>
      <c r="B57" s="9" t="str">
        <f>CONCATENATE("          ","6254"," - ","ROYALTY &amp; COMMISSIONS")</f>
        <v xml:space="preserve">          6254 - ROYALTY &amp; COMMISSIONS</v>
      </c>
      <c r="C57" s="9"/>
      <c r="D57" s="6"/>
      <c r="E57" s="3"/>
      <c r="F57" s="7">
        <f t="shared" ref="F57:F73" si="8">IF(D$12=0,0,D57/D$12)</f>
        <v>0</v>
      </c>
      <c r="G57" s="3"/>
      <c r="H57" s="6"/>
      <c r="I57" s="3"/>
      <c r="J57" s="7">
        <f t="shared" ref="J57:J73" si="9">IF(H$12=0,0,H57/H$12)</f>
        <v>0</v>
      </c>
      <c r="K57" s="3"/>
      <c r="L57" s="6">
        <f t="shared" ref="L57:L73" si="10">+D57-H57</f>
        <v>0</v>
      </c>
      <c r="M57" s="3"/>
      <c r="N57" s="7">
        <f t="shared" ref="N57:N73" si="11">IF(H57=0,0,L57/H57)</f>
        <v>0</v>
      </c>
      <c r="O57" s="9"/>
      <c r="P57" s="6">
        <v>4367.51</v>
      </c>
      <c r="Q57" s="3"/>
      <c r="R57" s="7">
        <f t="shared" ref="R57:R73" si="12">IF(P$12=0,0,P57/P$12)</f>
        <v>3.6778133418215474E-2</v>
      </c>
      <c r="S57" s="3"/>
      <c r="T57" s="6">
        <v>185.7</v>
      </c>
      <c r="U57" s="3"/>
      <c r="V57" s="7">
        <f t="shared" ref="V57:V73" si="13">IF(T$12=0,0,T57/T$12)</f>
        <v>7.4985766029873155E-2</v>
      </c>
      <c r="W57" s="3"/>
      <c r="X57" s="6">
        <f t="shared" ref="X57:X73" si="14">+P57-T57</f>
        <v>4181.8100000000004</v>
      </c>
      <c r="Y57" s="3"/>
      <c r="Z57" s="7">
        <f t="shared" ref="Z57:Z73" si="15">IF(T57=0,0,X57/T57)</f>
        <v>22.519170705438885</v>
      </c>
    </row>
    <row r="58" spans="1:26" s="68" customFormat="1" ht="15" customHeight="1" outlineLevel="1" collapsed="1" x14ac:dyDescent="0.3">
      <c r="A58" s="20"/>
      <c r="B58" s="11" t="str">
        <f>CONCATENATE("     ","Services                                          ")</f>
        <v xml:space="preserve">     Services                                          </v>
      </c>
      <c r="C58" s="11"/>
      <c r="D58" s="2">
        <f>SUM(OSRRefD22_9x_0)</f>
        <v>0</v>
      </c>
      <c r="E58" s="2"/>
      <c r="F58" s="5">
        <f t="shared" si="8"/>
        <v>0</v>
      </c>
      <c r="G58" s="2"/>
      <c r="H58" s="2">
        <f>SUM(OSRRefH22_9x_0)</f>
        <v>0</v>
      </c>
      <c r="I58" s="2"/>
      <c r="J58" s="5">
        <f t="shared" si="9"/>
        <v>0</v>
      </c>
      <c r="K58" s="2"/>
      <c r="L58" s="2">
        <f t="shared" si="10"/>
        <v>0</v>
      </c>
      <c r="M58" s="2"/>
      <c r="N58" s="5">
        <f t="shared" si="11"/>
        <v>0</v>
      </c>
      <c r="O58" s="11"/>
      <c r="P58" s="2">
        <f>SUM(OSRRefP22_9x_0)</f>
        <v>422.24</v>
      </c>
      <c r="Q58" s="2"/>
      <c r="R58" s="5">
        <f t="shared" si="12"/>
        <v>3.5556184312130483E-3</v>
      </c>
      <c r="S58" s="2"/>
      <c r="T58" s="2">
        <f>SUM(OSRRefT22_9x_0)</f>
        <v>-63.319999999999993</v>
      </c>
      <c r="U58" s="2"/>
      <c r="V58" s="5">
        <f t="shared" si="13"/>
        <v>-2.556865215407414E-2</v>
      </c>
      <c r="W58" s="2"/>
      <c r="X58" s="2">
        <f t="shared" si="14"/>
        <v>485.56</v>
      </c>
      <c r="Y58" s="2"/>
      <c r="Z58" s="5">
        <f t="shared" si="15"/>
        <v>-7.6683512318382823</v>
      </c>
    </row>
    <row r="59" spans="1:26" s="69" customFormat="1" ht="15" hidden="1" customHeight="1" outlineLevel="2" x14ac:dyDescent="0.3">
      <c r="A59" s="21"/>
      <c r="B59" s="9" t="str">
        <f>CONCATENATE("          ","6282"," - ","JANITORIAL/EXTERMINATOR EXPENS")</f>
        <v xml:space="preserve">          6282 - JANITORIAL/EXTERMINATOR EXPENS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/>
      <c r="Q59" s="3"/>
      <c r="R59" s="7">
        <f t="shared" si="12"/>
        <v>0</v>
      </c>
      <c r="S59" s="3"/>
      <c r="T59" s="6">
        <v>82</v>
      </c>
      <c r="U59" s="3"/>
      <c r="V59" s="7">
        <f t="shared" si="13"/>
        <v>3.3111646819868598E-2</v>
      </c>
      <c r="W59" s="3"/>
      <c r="X59" s="6">
        <f t="shared" si="14"/>
        <v>-82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1"/>
      <c r="B60" s="9" t="str">
        <f>CONCATENATE("          ","6285"," - ","JANITORIAL SERVICES")</f>
        <v xml:space="preserve">          6285 - JANITORIAL SERVICES</v>
      </c>
      <c r="C60" s="9"/>
      <c r="D60" s="6"/>
      <c r="E60" s="3"/>
      <c r="F60" s="7">
        <f t="shared" si="8"/>
        <v>0</v>
      </c>
      <c r="G60" s="3"/>
      <c r="H60" s="6"/>
      <c r="I60" s="3"/>
      <c r="J60" s="7">
        <f t="shared" si="9"/>
        <v>0</v>
      </c>
      <c r="K60" s="3"/>
      <c r="L60" s="6">
        <f t="shared" si="10"/>
        <v>0</v>
      </c>
      <c r="M60" s="3"/>
      <c r="N60" s="7">
        <f t="shared" si="11"/>
        <v>0</v>
      </c>
      <c r="O60" s="9"/>
      <c r="P60" s="6">
        <v>206.4</v>
      </c>
      <c r="Q60" s="3"/>
      <c r="R60" s="7">
        <f t="shared" si="12"/>
        <v>1.7380628178343435E-3</v>
      </c>
      <c r="S60" s="3"/>
      <c r="T60" s="6">
        <v>-145.32</v>
      </c>
      <c r="U60" s="3"/>
      <c r="V60" s="7">
        <f t="shared" si="13"/>
        <v>-5.8680298973942738E-2</v>
      </c>
      <c r="W60" s="3"/>
      <c r="X60" s="6">
        <f t="shared" si="14"/>
        <v>351.72</v>
      </c>
      <c r="Y60" s="3"/>
      <c r="Z60" s="7">
        <f t="shared" si="15"/>
        <v>-2.420313790255987</v>
      </c>
    </row>
    <row r="61" spans="1:26" s="69" customFormat="1" ht="15" hidden="1" customHeight="1" outlineLevel="2" x14ac:dyDescent="0.3">
      <c r="A61" s="21"/>
      <c r="B61" s="9" t="str">
        <f>CONCATENATE("          ","6286"," - ","LAUNDRY EXPENSE")</f>
        <v xml:space="preserve">          6286 - LAUNDRY EXPENSE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215.84</v>
      </c>
      <c r="Q61" s="3"/>
      <c r="R61" s="7">
        <f t="shared" si="12"/>
        <v>1.817555613378705E-3</v>
      </c>
      <c r="S61" s="3"/>
      <c r="T61" s="6"/>
      <c r="U61" s="3"/>
      <c r="V61" s="7">
        <f t="shared" si="13"/>
        <v>0</v>
      </c>
      <c r="W61" s="3"/>
      <c r="X61" s="6">
        <f t="shared" si="14"/>
        <v>215.84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0"/>
      <c r="B62" s="11" t="str">
        <f>CONCATENATE("     ","Supplies                                          ")</f>
        <v xml:space="preserve">     Supplies                                          </v>
      </c>
      <c r="C62" s="11"/>
      <c r="D62" s="2">
        <f>SUM(OSRRefD22_10x_0)</f>
        <v>0</v>
      </c>
      <c r="E62" s="2"/>
      <c r="F62" s="5">
        <f t="shared" si="8"/>
        <v>0</v>
      </c>
      <c r="G62" s="2"/>
      <c r="H62" s="2">
        <f>SUM(OSRRefH22_10x_0)</f>
        <v>0</v>
      </c>
      <c r="I62" s="2"/>
      <c r="J62" s="5">
        <f t="shared" si="9"/>
        <v>0</v>
      </c>
      <c r="K62" s="2"/>
      <c r="L62" s="2">
        <f t="shared" si="10"/>
        <v>0</v>
      </c>
      <c r="M62" s="2"/>
      <c r="N62" s="5">
        <f t="shared" si="11"/>
        <v>0</v>
      </c>
      <c r="O62" s="11"/>
      <c r="P62" s="2">
        <f>SUM(OSRRefP22_10x_0)</f>
        <v>1478.1000000000001</v>
      </c>
      <c r="Q62" s="2"/>
      <c r="R62" s="5">
        <f t="shared" si="12"/>
        <v>1.2446853929461935E-2</v>
      </c>
      <c r="S62" s="2"/>
      <c r="T62" s="2">
        <f>SUM(OSRRefT22_10x_0)</f>
        <v>328.55</v>
      </c>
      <c r="U62" s="2"/>
      <c r="V62" s="5">
        <f t="shared" si="13"/>
        <v>0.13266867759351011</v>
      </c>
      <c r="W62" s="2"/>
      <c r="X62" s="2">
        <f t="shared" si="14"/>
        <v>1149.5500000000002</v>
      </c>
      <c r="Y62" s="2"/>
      <c r="Z62" s="5">
        <f t="shared" si="15"/>
        <v>3.4988586212144273</v>
      </c>
    </row>
    <row r="63" spans="1:26" s="69" customFormat="1" ht="15" hidden="1" customHeight="1" outlineLevel="2" x14ac:dyDescent="0.3">
      <c r="A63" s="21"/>
      <c r="B63" s="9" t="str">
        <f>CONCATENATE("          ","6234"," - ","EXPENDABLE SUPPLIES &amp; EQUIPMEN")</f>
        <v xml:space="preserve">          6234 - EXPENDABLE SUPPLIES &amp; EQUIPMEN</v>
      </c>
      <c r="C63" s="9"/>
      <c r="D63" s="6"/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>
        <v>1194.8900000000001</v>
      </c>
      <c r="Q63" s="3"/>
      <c r="R63" s="7">
        <f t="shared" si="12"/>
        <v>1.0061985854661235E-2</v>
      </c>
      <c r="S63" s="3"/>
      <c r="T63" s="6"/>
      <c r="U63" s="3"/>
      <c r="V63" s="7">
        <f t="shared" si="13"/>
        <v>0</v>
      </c>
      <c r="W63" s="3"/>
      <c r="X63" s="6">
        <f t="shared" si="14"/>
        <v>1194.8900000000001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1"/>
      <c r="B64" s="9" t="str">
        <f>CONCATENATE("          ","6235"," - ","COVID-19 EXPENSES")</f>
        <v xml:space="preserve">          6235 - COVID-19 EXPENSES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/>
      <c r="Q64" s="3"/>
      <c r="R64" s="7">
        <f t="shared" si="12"/>
        <v>0</v>
      </c>
      <c r="S64" s="3"/>
      <c r="T64" s="6">
        <v>207.27</v>
      </c>
      <c r="U64" s="3"/>
      <c r="V64" s="7">
        <f t="shared" si="13"/>
        <v>8.3695744345782502E-2</v>
      </c>
      <c r="W64" s="3"/>
      <c r="X64" s="6">
        <f t="shared" si="14"/>
        <v>-207.27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1"/>
      <c r="B65" s="9" t="str">
        <f>CONCATENATE("          ","6237"," - ","JANITORIAL SUPPLIES")</f>
        <v xml:space="preserve">          6237 - JANITORIAL SUPPLIES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-51.66</v>
      </c>
      <c r="Q65" s="3"/>
      <c r="R65" s="7">
        <f t="shared" si="12"/>
        <v>-4.3502095527772372E-4</v>
      </c>
      <c r="S65" s="3"/>
      <c r="T65" s="6"/>
      <c r="U65" s="3"/>
      <c r="V65" s="7">
        <f t="shared" si="13"/>
        <v>0</v>
      </c>
      <c r="W65" s="3"/>
      <c r="X65" s="6">
        <f t="shared" si="14"/>
        <v>-51.66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","6241"," - ","OFFICE EXPENSE")</f>
        <v xml:space="preserve">          6241 - OFFICE EXPENSE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19.940000000000001</v>
      </c>
      <c r="Q66" s="3"/>
      <c r="R66" s="7">
        <f t="shared" si="12"/>
        <v>1.679116888934923E-4</v>
      </c>
      <c r="S66" s="3"/>
      <c r="T66" s="6"/>
      <c r="U66" s="3"/>
      <c r="V66" s="7">
        <f t="shared" si="13"/>
        <v>0</v>
      </c>
      <c r="W66" s="3"/>
      <c r="X66" s="6">
        <f t="shared" si="14"/>
        <v>19.940000000000001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1"/>
      <c r="B67" s="9" t="str">
        <f>CONCATENATE("          ","6247"," - ","STORE SUPPLIES")</f>
        <v xml:space="preserve">          6247 - STORE SUPPLIES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314.93</v>
      </c>
      <c r="Q67" s="3"/>
      <c r="R67" s="7">
        <f t="shared" si="12"/>
        <v>2.6519773411849312E-3</v>
      </c>
      <c r="S67" s="3"/>
      <c r="T67" s="6">
        <v>121.28</v>
      </c>
      <c r="U67" s="3"/>
      <c r="V67" s="7">
        <f t="shared" si="13"/>
        <v>4.8972933247727606E-2</v>
      </c>
      <c r="W67" s="3"/>
      <c r="X67" s="6">
        <f t="shared" si="14"/>
        <v>193.65</v>
      </c>
      <c r="Y67" s="3"/>
      <c r="Z67" s="7">
        <f t="shared" si="15"/>
        <v>1.5967183377308707</v>
      </c>
    </row>
    <row r="68" spans="1:26" s="68" customFormat="1" ht="15" customHeight="1" outlineLevel="1" collapsed="1" x14ac:dyDescent="0.3">
      <c r="A68" s="20"/>
      <c r="B68" s="11" t="str">
        <f>CONCATENATE("     ","Telephone/Data Lines                              ")</f>
        <v xml:space="preserve">     Telephone/Data Lines                              </v>
      </c>
      <c r="C68" s="11"/>
      <c r="D68" s="2">
        <f>SUM(OSRRefD22_11x_0)</f>
        <v>51.5</v>
      </c>
      <c r="E68" s="2"/>
      <c r="F68" s="5">
        <f t="shared" si="8"/>
        <v>1.8760974259214736E-2</v>
      </c>
      <c r="G68" s="2"/>
      <c r="H68" s="2">
        <f>SUM(OSRRefH22_11x_0)</f>
        <v>51.5</v>
      </c>
      <c r="I68" s="2"/>
      <c r="J68" s="5">
        <f t="shared" si="9"/>
        <v>0</v>
      </c>
      <c r="K68" s="2"/>
      <c r="L68" s="2">
        <f t="shared" si="10"/>
        <v>0</v>
      </c>
      <c r="M68" s="2"/>
      <c r="N68" s="5">
        <f t="shared" si="11"/>
        <v>0</v>
      </c>
      <c r="O68" s="11"/>
      <c r="P68" s="2">
        <f>SUM(OSRRefP22_11x_0)</f>
        <v>844.5</v>
      </c>
      <c r="Q68" s="2"/>
      <c r="R68" s="5">
        <f t="shared" si="12"/>
        <v>7.1114052793658095E-3</v>
      </c>
      <c r="S68" s="2"/>
      <c r="T68" s="2">
        <f>SUM(OSRRefT22_11x_0)</f>
        <v>941.5</v>
      </c>
      <c r="U68" s="2"/>
      <c r="V68" s="5">
        <f t="shared" si="13"/>
        <v>0.3801782375720279</v>
      </c>
      <c r="W68" s="2"/>
      <c r="X68" s="2">
        <f t="shared" si="14"/>
        <v>-97</v>
      </c>
      <c r="Y68" s="2"/>
      <c r="Z68" s="5">
        <f t="shared" si="15"/>
        <v>-0.10302708443972385</v>
      </c>
    </row>
    <row r="69" spans="1:26" s="69" customFormat="1" ht="15" hidden="1" customHeight="1" outlineLevel="2" x14ac:dyDescent="0.3">
      <c r="A69" s="21"/>
      <c r="B69" s="9" t="str">
        <f>CONCATENATE("          ","6309"," - ","TELEPHONE")</f>
        <v xml:space="preserve">          6309 - TELEPHONE</v>
      </c>
      <c r="C69" s="9"/>
      <c r="D69" s="6">
        <v>51.5</v>
      </c>
      <c r="E69" s="3"/>
      <c r="F69" s="7">
        <f t="shared" si="8"/>
        <v>1.8760974259214736E-2</v>
      </c>
      <c r="G69" s="3"/>
      <c r="H69" s="6">
        <v>51.5</v>
      </c>
      <c r="I69" s="3"/>
      <c r="J69" s="7">
        <f t="shared" si="9"/>
        <v>0</v>
      </c>
      <c r="K69" s="3"/>
      <c r="L69" s="6">
        <f t="shared" si="10"/>
        <v>0</v>
      </c>
      <c r="M69" s="3"/>
      <c r="N69" s="7">
        <f t="shared" si="11"/>
        <v>0</v>
      </c>
      <c r="O69" s="9"/>
      <c r="P69" s="6">
        <v>844.5</v>
      </c>
      <c r="Q69" s="3"/>
      <c r="R69" s="7">
        <f t="shared" si="12"/>
        <v>7.1114052793658095E-3</v>
      </c>
      <c r="S69" s="3"/>
      <c r="T69" s="6">
        <v>941.5</v>
      </c>
      <c r="U69" s="3"/>
      <c r="V69" s="7">
        <f t="shared" si="13"/>
        <v>0.3801782375720279</v>
      </c>
      <c r="W69" s="3"/>
      <c r="X69" s="6">
        <f t="shared" si="14"/>
        <v>-97</v>
      </c>
      <c r="Y69" s="3"/>
      <c r="Z69" s="7">
        <f t="shared" si="15"/>
        <v>-0.10302708443972385</v>
      </c>
    </row>
    <row r="70" spans="1:26" s="68" customFormat="1" ht="15" customHeight="1" outlineLevel="1" collapsed="1" x14ac:dyDescent="0.3">
      <c r="A70" s="20"/>
      <c r="B70" s="11" t="str">
        <f>CONCATENATE("     ","Training                                          ")</f>
        <v xml:space="preserve">     Training                                          </v>
      </c>
      <c r="C70" s="11"/>
      <c r="D70" s="2">
        <f>SUM(OSRRefD22_12x_0)</f>
        <v>0</v>
      </c>
      <c r="E70" s="2"/>
      <c r="F70" s="5">
        <f t="shared" si="8"/>
        <v>0</v>
      </c>
      <c r="G70" s="2"/>
      <c r="H70" s="2">
        <f>SUM(OSRRefH22_12x_0)</f>
        <v>0</v>
      </c>
      <c r="I70" s="2"/>
      <c r="J70" s="5">
        <f t="shared" si="9"/>
        <v>0</v>
      </c>
      <c r="K70" s="2"/>
      <c r="L70" s="2">
        <f t="shared" si="10"/>
        <v>0</v>
      </c>
      <c r="M70" s="2"/>
      <c r="N70" s="5">
        <f t="shared" si="11"/>
        <v>0</v>
      </c>
      <c r="O70" s="11"/>
      <c r="P70" s="2">
        <f>SUM(OSRRefP22_12x_0)</f>
        <v>80</v>
      </c>
      <c r="Q70" s="2"/>
      <c r="R70" s="5">
        <f t="shared" si="12"/>
        <v>6.736677588505207E-4</v>
      </c>
      <c r="S70" s="2"/>
      <c r="T70" s="2">
        <f>SUM(OSRRefT22_12x_0)</f>
        <v>0</v>
      </c>
      <c r="U70" s="2"/>
      <c r="V70" s="5">
        <f t="shared" si="13"/>
        <v>0</v>
      </c>
      <c r="W70" s="2"/>
      <c r="X70" s="2">
        <f t="shared" si="14"/>
        <v>80</v>
      </c>
      <c r="Y70" s="2"/>
      <c r="Z70" s="5">
        <f t="shared" si="15"/>
        <v>0</v>
      </c>
    </row>
    <row r="71" spans="1:26" s="69" customFormat="1" ht="15" hidden="1" customHeight="1" outlineLevel="2" x14ac:dyDescent="0.3">
      <c r="A71" s="21"/>
      <c r="B71" s="9" t="str">
        <f>CONCATENATE("          ","6376"," - ","TRAINING")</f>
        <v xml:space="preserve">          6376 - TRAINING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80</v>
      </c>
      <c r="Q71" s="3"/>
      <c r="R71" s="7">
        <f t="shared" si="12"/>
        <v>6.736677588505207E-4</v>
      </c>
      <c r="S71" s="3"/>
      <c r="T71" s="6"/>
      <c r="U71" s="3"/>
      <c r="V71" s="7">
        <f t="shared" si="13"/>
        <v>0</v>
      </c>
      <c r="W71" s="3"/>
      <c r="X71" s="6">
        <f t="shared" si="14"/>
        <v>80</v>
      </c>
      <c r="Y71" s="3"/>
      <c r="Z71" s="7">
        <f t="shared" si="15"/>
        <v>0</v>
      </c>
    </row>
    <row r="72" spans="1:26" s="68" customFormat="1" ht="15" customHeight="1" outlineLevel="1" collapsed="1" x14ac:dyDescent="0.3">
      <c r="A72" s="20"/>
      <c r="B72" s="11" t="str">
        <f>CONCATENATE("     ","Utilities                                         ")</f>
        <v xml:space="preserve">     Utilities                                         </v>
      </c>
      <c r="C72" s="11"/>
      <c r="D72" s="2">
        <f>SUM(OSRRefD22_13x_0)</f>
        <v>-756</v>
      </c>
      <c r="E72" s="2"/>
      <c r="F72" s="5">
        <f t="shared" si="8"/>
        <v>-0.27540381631002603</v>
      </c>
      <c r="G72" s="2"/>
      <c r="H72" s="2">
        <f>SUM(OSRRefH22_13x_0)</f>
        <v>50</v>
      </c>
      <c r="I72" s="2"/>
      <c r="J72" s="5">
        <f t="shared" si="9"/>
        <v>0</v>
      </c>
      <c r="K72" s="2"/>
      <c r="L72" s="2">
        <f t="shared" si="10"/>
        <v>-806</v>
      </c>
      <c r="M72" s="2"/>
      <c r="N72" s="5">
        <f t="shared" si="11"/>
        <v>-16.12</v>
      </c>
      <c r="O72" s="11"/>
      <c r="P72" s="2">
        <f>SUM(OSRRefP22_13x_0)</f>
        <v>-756</v>
      </c>
      <c r="Q72" s="2"/>
      <c r="R72" s="5">
        <f t="shared" si="12"/>
        <v>-6.3661603211374205E-3</v>
      </c>
      <c r="S72" s="2"/>
      <c r="T72" s="2">
        <f>SUM(OSRRefT22_13x_0)</f>
        <v>600</v>
      </c>
      <c r="U72" s="2"/>
      <c r="V72" s="5">
        <f t="shared" si="13"/>
        <v>0.2422803425844044</v>
      </c>
      <c r="W72" s="2"/>
      <c r="X72" s="2">
        <f t="shared" si="14"/>
        <v>-1356</v>
      </c>
      <c r="Y72" s="2"/>
      <c r="Z72" s="5">
        <f t="shared" si="15"/>
        <v>-2.2599999999999998</v>
      </c>
    </row>
    <row r="73" spans="1:26" s="69" customFormat="1" ht="15" hidden="1" customHeight="1" outlineLevel="2" x14ac:dyDescent="0.3">
      <c r="A73" s="21"/>
      <c r="B73" s="9" t="str">
        <f>CONCATENATE("          ","6274"," - ","UTILITIES")</f>
        <v xml:space="preserve">          6274 - UTILITIES</v>
      </c>
      <c r="C73" s="9"/>
      <c r="D73" s="6">
        <v>-756</v>
      </c>
      <c r="E73" s="3"/>
      <c r="F73" s="7">
        <f t="shared" si="8"/>
        <v>-0.27540381631002603</v>
      </c>
      <c r="G73" s="3"/>
      <c r="H73" s="6">
        <v>50</v>
      </c>
      <c r="I73" s="3"/>
      <c r="J73" s="7">
        <f t="shared" si="9"/>
        <v>0</v>
      </c>
      <c r="K73" s="3"/>
      <c r="L73" s="6">
        <f t="shared" si="10"/>
        <v>-806</v>
      </c>
      <c r="M73" s="3"/>
      <c r="N73" s="7">
        <f t="shared" si="11"/>
        <v>-16.12</v>
      </c>
      <c r="O73" s="9"/>
      <c r="P73" s="6">
        <v>-756</v>
      </c>
      <c r="Q73" s="3"/>
      <c r="R73" s="7">
        <f t="shared" si="12"/>
        <v>-6.3661603211374205E-3</v>
      </c>
      <c r="S73" s="3"/>
      <c r="T73" s="6">
        <v>600</v>
      </c>
      <c r="U73" s="3"/>
      <c r="V73" s="7">
        <f t="shared" si="13"/>
        <v>0.2422803425844044</v>
      </c>
      <c r="W73" s="3"/>
      <c r="X73" s="6">
        <f t="shared" si="14"/>
        <v>-1356</v>
      </c>
      <c r="Y73" s="3"/>
      <c r="Z73" s="7">
        <f t="shared" si="15"/>
        <v>-2.2599999999999998</v>
      </c>
    </row>
    <row r="74" spans="1:26" s="64" customFormat="1" ht="15" customHeight="1" x14ac:dyDescent="0.3">
      <c r="A74" s="37"/>
      <c r="B74" s="37"/>
      <c r="C74" s="37"/>
      <c r="D74" s="2"/>
      <c r="E74" s="2"/>
      <c r="F74" s="5"/>
      <c r="G74" s="2"/>
      <c r="H74" s="2"/>
      <c r="I74" s="2"/>
      <c r="J74" s="5"/>
      <c r="K74" s="2"/>
      <c r="L74" s="2"/>
      <c r="M74" s="2"/>
      <c r="N74" s="5"/>
      <c r="O74" s="37"/>
      <c r="P74" s="2"/>
      <c r="Q74" s="2"/>
      <c r="R74" s="5"/>
      <c r="S74" s="2"/>
      <c r="T74" s="2"/>
      <c r="U74" s="2"/>
      <c r="V74" s="5"/>
      <c r="W74" s="2"/>
      <c r="X74" s="2"/>
      <c r="Y74" s="2"/>
      <c r="Z74" s="5"/>
    </row>
    <row r="75" spans="1:26" s="62" customFormat="1" ht="15" customHeight="1" x14ac:dyDescent="0.3">
      <c r="A75" s="13"/>
      <c r="B75" s="27" t="s">
        <v>290</v>
      </c>
      <c r="C75" s="13"/>
      <c r="D75" s="8">
        <f>SUM(0)</f>
        <v>0</v>
      </c>
      <c r="E75" s="8"/>
      <c r="F75" s="14">
        <f>IF(D$12=0,0,D75/D$12)</f>
        <v>0</v>
      </c>
      <c r="G75" s="8"/>
      <c r="H75" s="8">
        <f>SUM(0)</f>
        <v>0</v>
      </c>
      <c r="I75" s="8"/>
      <c r="J75" s="14">
        <f>IF(H$12=0,0,H75/H$12)</f>
        <v>0</v>
      </c>
      <c r="K75" s="8"/>
      <c r="L75" s="8">
        <f>+D75-H75</f>
        <v>0</v>
      </c>
      <c r="M75" s="8"/>
      <c r="N75" s="14">
        <f>IF(H75=0,0,L75/H75)</f>
        <v>0</v>
      </c>
      <c r="O75" s="13"/>
      <c r="P75" s="8">
        <f>SUM(0)</f>
        <v>0</v>
      </c>
      <c r="Q75" s="8"/>
      <c r="R75" s="14">
        <f>IF(P$12=0,0,P75/P$12)</f>
        <v>0</v>
      </c>
      <c r="S75" s="8"/>
      <c r="T75" s="8">
        <f>SUM(0)</f>
        <v>0</v>
      </c>
      <c r="U75" s="8"/>
      <c r="V75" s="14">
        <f>IF(T$12=0,0,T75/T$12)</f>
        <v>0</v>
      </c>
      <c r="W75" s="8"/>
      <c r="X75" s="8">
        <f>+P75-T75</f>
        <v>0</v>
      </c>
      <c r="Y75" s="8"/>
      <c r="Z75" s="14">
        <f>IF(T75=0,0,X75/T75)</f>
        <v>0</v>
      </c>
    </row>
    <row r="76" spans="1:26" ht="15" customHeight="1" x14ac:dyDescent="0.3">
      <c r="A76" s="12"/>
      <c r="B76" s="13"/>
      <c r="C76" s="13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O76" s="13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2" customFormat="1" ht="15" customHeight="1" x14ac:dyDescent="0.3">
      <c r="A77" s="13"/>
      <c r="B77" s="28" t="s">
        <v>291</v>
      </c>
      <c r="C77" s="28"/>
      <c r="D77" s="22">
        <f>+D23-D25+D75</f>
        <v>-5566.3100000000013</v>
      </c>
      <c r="E77" s="15"/>
      <c r="F77" s="24">
        <f>IF(D$12=0,0,D77/D$12)</f>
        <v>-2.0277553131807688</v>
      </c>
      <c r="G77" s="15"/>
      <c r="H77" s="22">
        <f>+H23-H25+H75</f>
        <v>-1498.95</v>
      </c>
      <c r="I77" s="15"/>
      <c r="J77" s="24">
        <f>IF(H$12=0,0,H77/H$12)</f>
        <v>0</v>
      </c>
      <c r="K77" s="17"/>
      <c r="L77" s="22">
        <f>+D77-H77</f>
        <v>-4067.3600000000015</v>
      </c>
      <c r="M77" s="17"/>
      <c r="N77" s="24">
        <f>IF(H77=0,0,L77/H77)</f>
        <v>2.7134727642683223</v>
      </c>
      <c r="O77" s="27"/>
      <c r="P77" s="22">
        <f>+P23-P25+P75</f>
        <v>-32189.739999999976</v>
      </c>
      <c r="Q77" s="15"/>
      <c r="R77" s="24">
        <f>IF(P$12=0,0,P77/P$12)</f>
        <v>-0.27106487504726179</v>
      </c>
      <c r="S77" s="15"/>
      <c r="T77" s="22">
        <f>+T23-T25+T75</f>
        <v>-60290.34</v>
      </c>
      <c r="U77" s="15"/>
      <c r="V77" s="24">
        <f>IF(T$12=0,0,T77/T$12)</f>
        <v>-24.345273716217029</v>
      </c>
      <c r="W77" s="17"/>
      <c r="X77" s="22">
        <f>+P77-T77</f>
        <v>28100.60000000002</v>
      </c>
      <c r="Y77" s="17"/>
      <c r="Z77" s="24">
        <f>IF(T77=0,0,X77/T77)</f>
        <v>-0.4660879338215711</v>
      </c>
    </row>
    <row r="78" spans="1:26" ht="15" customHeight="1" x14ac:dyDescent="0.3">
      <c r="A78" s="12"/>
      <c r="B78" s="13"/>
      <c r="C78" s="12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2" customFormat="1" ht="15" customHeight="1" x14ac:dyDescent="0.3">
      <c r="A79" s="48"/>
      <c r="B79" s="13" t="s">
        <v>292</v>
      </c>
      <c r="C79" s="13"/>
      <c r="D79" s="8">
        <v>-26733.09</v>
      </c>
      <c r="E79" s="8"/>
      <c r="F79" s="14">
        <f>IF(D$12=0,0,D79/D$12)</f>
        <v>-9.7386177351314736</v>
      </c>
      <c r="G79" s="8"/>
      <c r="H79" s="8">
        <v>156.27000000000001</v>
      </c>
      <c r="I79" s="8"/>
      <c r="J79" s="14">
        <f>IF(H$12=0,0,H79/H$12)</f>
        <v>0</v>
      </c>
      <c r="K79" s="8"/>
      <c r="L79" s="8">
        <f>+D79-H79</f>
        <v>-26889.360000000001</v>
      </c>
      <c r="M79" s="8"/>
      <c r="N79" s="14">
        <f>IF(H79=0,0,L79/H79)</f>
        <v>-172.0698790554809</v>
      </c>
      <c r="O79" s="13"/>
      <c r="P79" s="8">
        <v>-13690.87</v>
      </c>
      <c r="Q79" s="8"/>
      <c r="R79" s="14">
        <f>IF(P$12=0,0,P79/P$12)</f>
        <v>-0.11528872137017286</v>
      </c>
      <c r="S79" s="8"/>
      <c r="T79" s="8">
        <v>685.47</v>
      </c>
      <c r="U79" s="8"/>
      <c r="V79" s="14">
        <f>IF(T$12=0,0,T79/T$12)</f>
        <v>0.27679317738555281</v>
      </c>
      <c r="W79" s="8"/>
      <c r="X79" s="8">
        <f>+P79-T79</f>
        <v>-14376.34</v>
      </c>
      <c r="Y79" s="8"/>
      <c r="Z79" s="14">
        <f>IF(T79=0,0,X79/T79)</f>
        <v>-20.97296745298846</v>
      </c>
    </row>
    <row r="80" spans="1:26" ht="15" customHeight="1" x14ac:dyDescent="0.3">
      <c r="A80" s="12"/>
      <c r="B80" s="13"/>
      <c r="C80" s="13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O80" s="13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2" customFormat="1" ht="15" customHeight="1" x14ac:dyDescent="0.3">
      <c r="A81" s="13"/>
      <c r="B81" s="28" t="s">
        <v>293</v>
      </c>
      <c r="C81" s="28"/>
      <c r="D81" s="29">
        <f>+D77-D79</f>
        <v>21166.78</v>
      </c>
      <c r="E81" s="15"/>
      <c r="F81" s="31">
        <f>IF(D$12=0,0,D81/D$12)</f>
        <v>7.7108624219507043</v>
      </c>
      <c r="G81" s="15"/>
      <c r="H81" s="29">
        <f>+H77-H79</f>
        <v>-1655.22</v>
      </c>
      <c r="I81" s="15"/>
      <c r="J81" s="31">
        <f>IF(H$12=0,0,H81/H$12)</f>
        <v>0</v>
      </c>
      <c r="K81" s="17"/>
      <c r="L81" s="29">
        <f>D81-H81</f>
        <v>22822</v>
      </c>
      <c r="M81" s="17"/>
      <c r="N81" s="31">
        <f>IF(H81=0,0,L81/H81)</f>
        <v>-13.787895264677807</v>
      </c>
      <c r="O81" s="27"/>
      <c r="P81" s="29">
        <f>+P77-P79</f>
        <v>-18498.869999999974</v>
      </c>
      <c r="Q81" s="15"/>
      <c r="R81" s="31">
        <f>IF(P$12=0,0,P81/P$12)</f>
        <v>-0.15577615367708894</v>
      </c>
      <c r="S81" s="15"/>
      <c r="T81" s="29">
        <f>+T77-T79</f>
        <v>-60975.81</v>
      </c>
      <c r="U81" s="15"/>
      <c r="V81" s="31">
        <f>IF(T$12=0,0,T81/T$12)</f>
        <v>-24.622066893602582</v>
      </c>
      <c r="W81" s="17"/>
      <c r="X81" s="29">
        <f>P81-T81</f>
        <v>42476.940000000024</v>
      </c>
      <c r="Y81" s="17"/>
      <c r="Z81" s="31">
        <f>IF(T81=0,0,X81/T81)</f>
        <v>-0.69661952830146945</v>
      </c>
    </row>
    <row r="82" spans="1:26" ht="15" customHeight="1" x14ac:dyDescent="0.3">
      <c r="A82" s="12"/>
      <c r="B82" s="12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ht="15" customHeight="1" x14ac:dyDescent="0.3">
      <c r="A83" s="12"/>
      <c r="B83" s="12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2" customFormat="1" ht="15" customHeight="1" x14ac:dyDescent="0.3">
      <c r="A84" s="13"/>
      <c r="B84" s="28" t="s">
        <v>296</v>
      </c>
      <c r="C84" s="28"/>
      <c r="D84" s="30">
        <f>SUM(D81:D83)</f>
        <v>21166.78</v>
      </c>
      <c r="E84" s="15"/>
      <c r="F84" s="35">
        <f>IF(D$12=0,0,D84/D$12)</f>
        <v>7.7108624219507043</v>
      </c>
      <c r="G84" s="15"/>
      <c r="H84" s="30">
        <f>SUM(H81:H83)</f>
        <v>-1655.22</v>
      </c>
      <c r="I84" s="15"/>
      <c r="J84" s="35">
        <f>IF(H$12=0,0,H84/H$12)</f>
        <v>0</v>
      </c>
      <c r="K84" s="17"/>
      <c r="L84" s="30">
        <f>+D84-H84</f>
        <v>22822</v>
      </c>
      <c r="M84" s="17"/>
      <c r="N84" s="35">
        <f>IF(H84=0,0,L84/H84)</f>
        <v>-13.787895264677807</v>
      </c>
      <c r="O84" s="27"/>
      <c r="P84" s="30">
        <f>SUM(P81:P83)</f>
        <v>-18498.869999999974</v>
      </c>
      <c r="Q84" s="15"/>
      <c r="R84" s="35">
        <f>IF(P$12=0,0,P84/P$12)</f>
        <v>-0.15577615367708894</v>
      </c>
      <c r="S84" s="15"/>
      <c r="T84" s="30">
        <f>SUM(T81:T83)</f>
        <v>-60975.81</v>
      </c>
      <c r="U84" s="15"/>
      <c r="V84" s="35">
        <f>IF(T$12=0,0,T84/T$12)</f>
        <v>-24.622066893602582</v>
      </c>
      <c r="W84" s="17"/>
      <c r="X84" s="30">
        <f>+P84-T84</f>
        <v>42476.940000000024</v>
      </c>
      <c r="Y84" s="17"/>
      <c r="Z84" s="35">
        <f>IF(T84=0,0,X84/T84)</f>
        <v>-0.69661952830146945</v>
      </c>
    </row>
    <row r="85" spans="1:26" ht="15" customHeight="1" x14ac:dyDescent="0.3">
      <c r="A85" s="12"/>
      <c r="C85" s="12"/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2"/>
      <c r="B86" s="54">
        <v>44767.815885219905</v>
      </c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A87" s="12"/>
      <c r="B87" s="53" t="s">
        <v>297</v>
      </c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2"/>
      <c r="B88" s="51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2D80A-45B8-57FE-E0C7-660DFE2F30B3}">
  <sheetPr>
    <tabColor rgb="FF92D050"/>
    <outlinePr summaryBelow="0" summaryRight="0"/>
  </sheetPr>
  <dimension ref="A2:Z5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","322"," - ","Beach Hut")</f>
        <v>Department 322 - Beach Hut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collapsed="1" x14ac:dyDescent="0.3">
      <c r="A14" s="13"/>
      <c r="B14" s="27" t="s">
        <v>287</v>
      </c>
      <c r="C14" s="13"/>
      <c r="D14" s="8">
        <f>SUM(OSRRefD16x_0)</f>
        <v>0</v>
      </c>
      <c r="E14" s="8"/>
      <c r="F14" s="14">
        <f>IF(D$12=0,0,D14/D$12)</f>
        <v>0</v>
      </c>
      <c r="G14" s="8"/>
      <c r="H14" s="8">
        <f>SUM(OSRRefH16x_0)</f>
        <v>306.5</v>
      </c>
      <c r="I14" s="8"/>
      <c r="J14" s="14">
        <f>IF(H$12=0,0,H14/H$12)</f>
        <v>0</v>
      </c>
      <c r="K14" s="8"/>
      <c r="L14" s="8">
        <f>+D14-H14</f>
        <v>-306.5</v>
      </c>
      <c r="M14" s="8"/>
      <c r="N14" s="14">
        <f>IF(H14=0,0,L14/H14)</f>
        <v>-1</v>
      </c>
      <c r="O14" s="13"/>
      <c r="P14" s="8">
        <f>SUM(OSRRefP16x_0)</f>
        <v>0</v>
      </c>
      <c r="Q14" s="8"/>
      <c r="R14" s="14">
        <f>IF(P$12=0,0,P14/P$12)</f>
        <v>0</v>
      </c>
      <c r="S14" s="8"/>
      <c r="T14" s="8">
        <f>SUM(OSRRefT16x_0)</f>
        <v>-915.83</v>
      </c>
      <c r="U14" s="8"/>
      <c r="V14" s="14">
        <f>IF(T$12=0,0,T14/T$12)</f>
        <v>0</v>
      </c>
      <c r="W14" s="8"/>
      <c r="X14" s="8">
        <f>+P14-T14</f>
        <v>915.83</v>
      </c>
      <c r="Y14" s="8"/>
      <c r="Z14" s="14">
        <f>IF(T14=0,0,X14/T14)</f>
        <v>-1</v>
      </c>
    </row>
    <row r="15" spans="1:26" s="69" customFormat="1" ht="15" hidden="1" customHeight="1" outlineLevel="1" x14ac:dyDescent="0.3">
      <c r="A15" s="47"/>
      <c r="B15" s="9" t="str">
        <f>CONCATENATE("          ","5053"," - ","PURCHASES @ COST-FOOD")</f>
        <v xml:space="preserve">          5053 - PURCHASES @ COST-FOOD</v>
      </c>
      <c r="C15" s="9"/>
      <c r="D15" s="3"/>
      <c r="E15" s="3"/>
      <c r="F15" s="26">
        <f>IF(D$12=0,0,D15/D$12)</f>
        <v>0</v>
      </c>
      <c r="G15" s="3"/>
      <c r="H15" s="3">
        <v>306.5</v>
      </c>
      <c r="I15" s="3"/>
      <c r="J15" s="26">
        <f>IF(H$12=0,0,H15/H$12)</f>
        <v>0</v>
      </c>
      <c r="K15" s="3"/>
      <c r="L15" s="3">
        <f>+D15-H15</f>
        <v>-306.5</v>
      </c>
      <c r="M15" s="3"/>
      <c r="N15" s="26">
        <f>IF(H15=0,0,L15/H15)</f>
        <v>-1</v>
      </c>
      <c r="O15" s="9"/>
      <c r="P15" s="3"/>
      <c r="Q15" s="3"/>
      <c r="R15" s="26">
        <f>IF(P$12=0,0,P15/P$12)</f>
        <v>0</v>
      </c>
      <c r="S15" s="3"/>
      <c r="T15" s="3">
        <v>-915.83</v>
      </c>
      <c r="U15" s="3"/>
      <c r="V15" s="26">
        <f>IF(T$12=0,0,T15/T$12)</f>
        <v>0</v>
      </c>
      <c r="W15" s="3"/>
      <c r="X15" s="3">
        <f>+P15-T15</f>
        <v>915.83</v>
      </c>
      <c r="Y15" s="3"/>
      <c r="Z15" s="26">
        <f>IF(T15=0,0,X15/T15)</f>
        <v>-1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D12-D14</f>
        <v>0</v>
      </c>
      <c r="E17" s="15"/>
      <c r="F17" s="24">
        <f>IF(D$12=0,0,D17/D$12)</f>
        <v>0</v>
      </c>
      <c r="G17" s="15"/>
      <c r="H17" s="22">
        <f>H12-H14</f>
        <v>-306.5</v>
      </c>
      <c r="I17" s="15"/>
      <c r="J17" s="24">
        <f>IF(H$12=0,0,H17/H$12)</f>
        <v>0</v>
      </c>
      <c r="K17" s="17"/>
      <c r="L17" s="22">
        <f>+D17-H17</f>
        <v>306.5</v>
      </c>
      <c r="M17" s="17"/>
      <c r="N17" s="24">
        <f>IF(H17=0,0,L17/H17)</f>
        <v>-1</v>
      </c>
      <c r="O17" s="27"/>
      <c r="P17" s="22">
        <f>P12-P14</f>
        <v>0</v>
      </c>
      <c r="Q17" s="15"/>
      <c r="R17" s="24">
        <f>IF(P$12=0,0,P17/P$12)</f>
        <v>0</v>
      </c>
      <c r="S17" s="15"/>
      <c r="T17" s="22">
        <f>T12-T14</f>
        <v>915.83</v>
      </c>
      <c r="U17" s="15"/>
      <c r="V17" s="24">
        <f>IF(T$12=0,0,T17/T$12)</f>
        <v>0</v>
      </c>
      <c r="W17" s="17"/>
      <c r="X17" s="22">
        <f>+P17-T17</f>
        <v>-915.83</v>
      </c>
      <c r="Y17" s="17"/>
      <c r="Z17" s="24">
        <f>IF(T17=0,0,X17/T17)</f>
        <v>-1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0</v>
      </c>
      <c r="E19" s="23"/>
      <c r="F19" s="34">
        <f t="shared" ref="F19:F40" si="0">IF(D$12=0,0,D19/D$12)</f>
        <v>0</v>
      </c>
      <c r="G19" s="23"/>
      <c r="H19" s="23" cm="1">
        <f t="array" ref="H19">SUM(OSRRefH22x_0)</f>
        <v>42.739999999999981</v>
      </c>
      <c r="I19" s="23"/>
      <c r="J19" s="34">
        <f t="shared" ref="J19:J40" si="1">IF(H$12=0,0,H19/H$12)</f>
        <v>0</v>
      </c>
      <c r="K19" s="8"/>
      <c r="L19" s="23">
        <f t="shared" ref="L19:L40" si="2">+D19-H19</f>
        <v>-42.739999999999981</v>
      </c>
      <c r="M19" s="8"/>
      <c r="N19" s="34">
        <f t="shared" ref="N19:N40" si="3">IF(H19=0,0,L19/H19)</f>
        <v>-1</v>
      </c>
      <c r="O19" s="13"/>
      <c r="P19" s="23" cm="1">
        <f t="array" ref="P19">SUM(OSRRefP22x_0)</f>
        <v>0</v>
      </c>
      <c r="Q19" s="23"/>
      <c r="R19" s="34">
        <f t="shared" ref="R19:R40" si="4">IF(P$12=0,0,P19/P$12)</f>
        <v>0</v>
      </c>
      <c r="S19" s="23"/>
      <c r="T19" s="23" cm="1">
        <f t="array" ref="T19">SUM(OSRRefT22x_0)</f>
        <v>26531.08</v>
      </c>
      <c r="U19" s="23"/>
      <c r="V19" s="34">
        <f t="shared" ref="V19:V40" si="5">IF(T$12=0,0,T19/T$12)</f>
        <v>0</v>
      </c>
      <c r="W19" s="8"/>
      <c r="X19" s="23">
        <f t="shared" ref="X19:X40" si="6">+P19-T19</f>
        <v>-26531.08</v>
      </c>
      <c r="Y19" s="8"/>
      <c r="Z19" s="34">
        <f t="shared" ref="Z19:Z40" si="7">IF(T19=0,0,X19/T19)</f>
        <v>-1</v>
      </c>
    </row>
    <row r="20" spans="1:26" s="68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0</v>
      </c>
      <c r="E20" s="2"/>
      <c r="F20" s="5">
        <f t="shared" si="0"/>
        <v>0</v>
      </c>
      <c r="G20" s="2"/>
      <c r="H20" s="2">
        <f>SUM(OSRRefH22_0x_0)</f>
        <v>0</v>
      </c>
      <c r="I20" s="2"/>
      <c r="J20" s="5">
        <f t="shared" si="1"/>
        <v>0</v>
      </c>
      <c r="K20" s="2"/>
      <c r="L20" s="2">
        <f t="shared" si="2"/>
        <v>0</v>
      </c>
      <c r="M20" s="2"/>
      <c r="N20" s="5">
        <f t="shared" si="3"/>
        <v>0</v>
      </c>
      <c r="O20" s="11"/>
      <c r="P20" s="2">
        <f>SUM(OSRRefP22_0x_0)</f>
        <v>0</v>
      </c>
      <c r="Q20" s="2"/>
      <c r="R20" s="5">
        <f t="shared" si="4"/>
        <v>0</v>
      </c>
      <c r="S20" s="2"/>
      <c r="T20" s="2">
        <f>SUM(OSRRefT22_0x_0)</f>
        <v>1595.9699999999998</v>
      </c>
      <c r="U20" s="2"/>
      <c r="V20" s="5">
        <f t="shared" si="5"/>
        <v>0</v>
      </c>
      <c r="W20" s="2"/>
      <c r="X20" s="2">
        <f t="shared" si="6"/>
        <v>-1595.9699999999998</v>
      </c>
      <c r="Y20" s="2"/>
      <c r="Z20" s="5">
        <f t="shared" si="7"/>
        <v>-1</v>
      </c>
    </row>
    <row r="21" spans="1:26" s="69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/>
      <c r="Q21" s="3"/>
      <c r="R21" s="7">
        <f t="shared" si="4"/>
        <v>0</v>
      </c>
      <c r="S21" s="3"/>
      <c r="T21" s="6">
        <v>159.12</v>
      </c>
      <c r="U21" s="3"/>
      <c r="V21" s="7">
        <f t="shared" si="5"/>
        <v>0</v>
      </c>
      <c r="W21" s="3"/>
      <c r="X21" s="6">
        <f t="shared" si="6"/>
        <v>-159.12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683.68</v>
      </c>
      <c r="U22" s="3"/>
      <c r="V22" s="7">
        <f t="shared" si="5"/>
        <v>0</v>
      </c>
      <c r="W22" s="3"/>
      <c r="X22" s="6">
        <f t="shared" si="6"/>
        <v>-683.68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1"/>
      <c r="B23" s="9" t="str">
        <f>CONCATENATE("          ","6115"," - ","P.E.R.S.")</f>
        <v xml:space="preserve">          6115 - P.E.R.S.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/>
      <c r="Q23" s="3"/>
      <c r="R23" s="7">
        <f t="shared" si="4"/>
        <v>0</v>
      </c>
      <c r="S23" s="3"/>
      <c r="T23" s="6">
        <v>321.57</v>
      </c>
      <c r="U23" s="3"/>
      <c r="V23" s="7">
        <f t="shared" si="5"/>
        <v>0</v>
      </c>
      <c r="W23" s="3"/>
      <c r="X23" s="6">
        <f t="shared" si="6"/>
        <v>-321.57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1"/>
      <c r="B24" s="9" t="str">
        <f>CONCATENATE("          ","6118"," - ","VACATION")</f>
        <v xml:space="preserve">          6118 - VACATION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239.72</v>
      </c>
      <c r="U24" s="3"/>
      <c r="V24" s="7">
        <f t="shared" si="5"/>
        <v>0</v>
      </c>
      <c r="W24" s="3"/>
      <c r="X24" s="6">
        <f t="shared" si="6"/>
        <v>-239.72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","6119"," - ","SICK LEAVE")</f>
        <v xml:space="preserve">          6119 - SICK LEAVE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191.88</v>
      </c>
      <c r="U25" s="3"/>
      <c r="V25" s="7">
        <f t="shared" si="5"/>
        <v>0</v>
      </c>
      <c r="W25" s="3"/>
      <c r="X25" s="6">
        <f t="shared" si="6"/>
        <v>-191.88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0"/>
      <c r="B26" s="11" t="str">
        <f>CONCATENATE("     ","*Payroll                                          ")</f>
        <v xml:space="preserve">     *Payroll                                          </v>
      </c>
      <c r="C26" s="11"/>
      <c r="D26" s="2">
        <f>SUM(OSRRefD22_1x_0)</f>
        <v>0</v>
      </c>
      <c r="E26" s="2"/>
      <c r="F26" s="5">
        <f t="shared" si="0"/>
        <v>0</v>
      </c>
      <c r="G26" s="2"/>
      <c r="H26" s="2">
        <f>SUM(OSRRefH22_1x_0)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SUM(OSRRefP22_1x_0)</f>
        <v>0</v>
      </c>
      <c r="Q26" s="2"/>
      <c r="R26" s="5">
        <f t="shared" si="4"/>
        <v>0</v>
      </c>
      <c r="S26" s="2"/>
      <c r="T26" s="2">
        <f>SUM(OSRRefT22_1x_0)</f>
        <v>2080</v>
      </c>
      <c r="U26" s="2"/>
      <c r="V26" s="5">
        <f t="shared" si="5"/>
        <v>0</v>
      </c>
      <c r="W26" s="2"/>
      <c r="X26" s="2">
        <f t="shared" si="6"/>
        <v>-2080</v>
      </c>
      <c r="Y26" s="2"/>
      <c r="Z26" s="5">
        <f t="shared" si="7"/>
        <v>-1</v>
      </c>
    </row>
    <row r="27" spans="1:26" s="69" customFormat="1" ht="15" hidden="1" customHeight="1" outlineLevel="2" x14ac:dyDescent="0.3">
      <c r="A27" s="21"/>
      <c r="B27" s="9" t="str">
        <f>CONCATENATE("          ","6002"," - ","STAFF SALARIES")</f>
        <v xml:space="preserve">          6002 - STAFF SALARIES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2080</v>
      </c>
      <c r="U27" s="3"/>
      <c r="V27" s="7">
        <f t="shared" si="5"/>
        <v>0</v>
      </c>
      <c r="W27" s="3"/>
      <c r="X27" s="6">
        <f t="shared" si="6"/>
        <v>-2080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0"/>
      <c r="B28" s="11" t="str">
        <f>CONCATENATE("     ","Depreciation                                      ")</f>
        <v xml:space="preserve">     Depreciation                                      </v>
      </c>
      <c r="C28" s="11"/>
      <c r="D28" s="2">
        <f>SUM(OSRRefD22_2x_0)</f>
        <v>0</v>
      </c>
      <c r="E28" s="2"/>
      <c r="F28" s="5">
        <f t="shared" si="0"/>
        <v>0</v>
      </c>
      <c r="G28" s="2"/>
      <c r="H28" s="2">
        <f>SUM(OSRRefH22_2x_0)</f>
        <v>126.09</v>
      </c>
      <c r="I28" s="2"/>
      <c r="J28" s="5">
        <f t="shared" si="1"/>
        <v>0</v>
      </c>
      <c r="K28" s="2"/>
      <c r="L28" s="2">
        <f t="shared" si="2"/>
        <v>-126.09</v>
      </c>
      <c r="M28" s="2"/>
      <c r="N28" s="5">
        <f t="shared" si="3"/>
        <v>-1</v>
      </c>
      <c r="O28" s="11"/>
      <c r="P28" s="2">
        <f>SUM(OSRRefP22_2x_0)</f>
        <v>0</v>
      </c>
      <c r="Q28" s="2"/>
      <c r="R28" s="5">
        <f t="shared" si="4"/>
        <v>0</v>
      </c>
      <c r="S28" s="2"/>
      <c r="T28" s="2">
        <f>SUM(OSRRefT22_2x_0)</f>
        <v>22316.83</v>
      </c>
      <c r="U28" s="2"/>
      <c r="V28" s="5">
        <f t="shared" si="5"/>
        <v>0</v>
      </c>
      <c r="W28" s="2"/>
      <c r="X28" s="2">
        <f t="shared" si="6"/>
        <v>-22316.83</v>
      </c>
      <c r="Y28" s="2"/>
      <c r="Z28" s="5">
        <f t="shared" si="7"/>
        <v>-1</v>
      </c>
    </row>
    <row r="29" spans="1:26" s="69" customFormat="1" ht="15" hidden="1" customHeight="1" outlineLevel="2" x14ac:dyDescent="0.3">
      <c r="A29" s="21"/>
      <c r="B29" s="9" t="str">
        <f>CONCATENATE("          ","6322"," - ","EQUIPMENT DEPRECIATION EXPENSE")</f>
        <v xml:space="preserve">          6322 - EQUIPMENT DEPRECIATION EXPENSE</v>
      </c>
      <c r="C29" s="9"/>
      <c r="D29" s="6"/>
      <c r="E29" s="3"/>
      <c r="F29" s="7">
        <f t="shared" si="0"/>
        <v>0</v>
      </c>
      <c r="G29" s="3"/>
      <c r="H29" s="6">
        <v>126.09</v>
      </c>
      <c r="I29" s="3"/>
      <c r="J29" s="7">
        <f t="shared" si="1"/>
        <v>0</v>
      </c>
      <c r="K29" s="3"/>
      <c r="L29" s="6">
        <f t="shared" si="2"/>
        <v>-126.09</v>
      </c>
      <c r="M29" s="3"/>
      <c r="N29" s="7">
        <f t="shared" si="3"/>
        <v>-1</v>
      </c>
      <c r="O29" s="9"/>
      <c r="P29" s="6"/>
      <c r="Q29" s="3"/>
      <c r="R29" s="7">
        <f t="shared" si="4"/>
        <v>0</v>
      </c>
      <c r="S29" s="3"/>
      <c r="T29" s="6">
        <v>22316.83</v>
      </c>
      <c r="U29" s="3"/>
      <c r="V29" s="7">
        <f t="shared" si="5"/>
        <v>0</v>
      </c>
      <c r="W29" s="3"/>
      <c r="X29" s="6">
        <f t="shared" si="6"/>
        <v>-22316.83</v>
      </c>
      <c r="Y29" s="3"/>
      <c r="Z29" s="7">
        <f t="shared" si="7"/>
        <v>-1</v>
      </c>
    </row>
    <row r="30" spans="1:26" s="68" customFormat="1" ht="15" customHeight="1" outlineLevel="1" collapsed="1" x14ac:dyDescent="0.3">
      <c r="A30" s="20"/>
      <c r="B30" s="11" t="str">
        <f>CONCATENATE("     ","Repair and Maintenance                            ")</f>
        <v xml:space="preserve">     Repair and Maintenance                            </v>
      </c>
      <c r="C30" s="11"/>
      <c r="D30" s="2">
        <f>SUM(OSRRefD22_3x_0)</f>
        <v>0</v>
      </c>
      <c r="E30" s="2"/>
      <c r="F30" s="5">
        <f t="shared" si="0"/>
        <v>0</v>
      </c>
      <c r="G30" s="2"/>
      <c r="H30" s="2">
        <f>SUM(OSRRefH22_3x_0)</f>
        <v>71.86</v>
      </c>
      <c r="I30" s="2"/>
      <c r="J30" s="5">
        <f t="shared" si="1"/>
        <v>0</v>
      </c>
      <c r="K30" s="2"/>
      <c r="L30" s="2">
        <f t="shared" si="2"/>
        <v>-71.86</v>
      </c>
      <c r="M30" s="2"/>
      <c r="N30" s="5">
        <f t="shared" si="3"/>
        <v>-1</v>
      </c>
      <c r="O30" s="11"/>
      <c r="P30" s="2">
        <f>SUM(OSRRefP22_3x_0)</f>
        <v>0</v>
      </c>
      <c r="Q30" s="2"/>
      <c r="R30" s="5">
        <f t="shared" si="4"/>
        <v>0</v>
      </c>
      <c r="S30" s="2"/>
      <c r="T30" s="2">
        <f>SUM(OSRRefT22_3x_0)</f>
        <v>367.51</v>
      </c>
      <c r="U30" s="2"/>
      <c r="V30" s="5">
        <f t="shared" si="5"/>
        <v>0</v>
      </c>
      <c r="W30" s="2"/>
      <c r="X30" s="2">
        <f t="shared" si="6"/>
        <v>-367.51</v>
      </c>
      <c r="Y30" s="2"/>
      <c r="Z30" s="5">
        <f t="shared" si="7"/>
        <v>-1</v>
      </c>
    </row>
    <row r="31" spans="1:26" s="69" customFormat="1" ht="15" hidden="1" customHeight="1" outlineLevel="2" x14ac:dyDescent="0.3">
      <c r="A31" s="21"/>
      <c r="B31" s="9" t="str">
        <f>CONCATENATE("          ","6373"," - ","MAINTENANCE CONTRACTS")</f>
        <v xml:space="preserve">          6373 - MAINTENANCE CONTRACTS</v>
      </c>
      <c r="C31" s="9"/>
      <c r="D31" s="6"/>
      <c r="E31" s="3"/>
      <c r="F31" s="7">
        <f t="shared" si="0"/>
        <v>0</v>
      </c>
      <c r="G31" s="3"/>
      <c r="H31" s="6">
        <v>71.86</v>
      </c>
      <c r="I31" s="3"/>
      <c r="J31" s="7">
        <f t="shared" si="1"/>
        <v>0</v>
      </c>
      <c r="K31" s="3"/>
      <c r="L31" s="6">
        <f t="shared" si="2"/>
        <v>-71.86</v>
      </c>
      <c r="M31" s="3"/>
      <c r="N31" s="7">
        <f t="shared" si="3"/>
        <v>-1</v>
      </c>
      <c r="O31" s="9"/>
      <c r="P31" s="6">
        <v>0</v>
      </c>
      <c r="Q31" s="3"/>
      <c r="R31" s="7">
        <f t="shared" si="4"/>
        <v>0</v>
      </c>
      <c r="S31" s="3"/>
      <c r="T31" s="6">
        <v>367.51</v>
      </c>
      <c r="U31" s="3"/>
      <c r="V31" s="7">
        <f t="shared" si="5"/>
        <v>0</v>
      </c>
      <c r="W31" s="3"/>
      <c r="X31" s="6">
        <f t="shared" si="6"/>
        <v>-367.51</v>
      </c>
      <c r="Y31" s="3"/>
      <c r="Z31" s="7">
        <f t="shared" si="7"/>
        <v>-1</v>
      </c>
    </row>
    <row r="32" spans="1:26" s="68" customFormat="1" ht="15" customHeight="1" outlineLevel="1" collapsed="1" x14ac:dyDescent="0.3">
      <c r="A32" s="20"/>
      <c r="B32" s="11" t="str">
        <f>CONCATENATE("     ","Services                                          ")</f>
        <v xml:space="preserve">     Services                                          </v>
      </c>
      <c r="C32" s="11"/>
      <c r="D32" s="2">
        <f>SUM(OSRRefD22_4x_0)</f>
        <v>0</v>
      </c>
      <c r="E32" s="2"/>
      <c r="F32" s="5">
        <f t="shared" si="0"/>
        <v>0</v>
      </c>
      <c r="G32" s="2"/>
      <c r="H32" s="2">
        <f>SUM(OSRRefH22_4x_0)</f>
        <v>0</v>
      </c>
      <c r="I32" s="2"/>
      <c r="J32" s="5">
        <f t="shared" si="1"/>
        <v>0</v>
      </c>
      <c r="K32" s="2"/>
      <c r="L32" s="2">
        <f t="shared" si="2"/>
        <v>0</v>
      </c>
      <c r="M32" s="2"/>
      <c r="N32" s="5">
        <f t="shared" si="3"/>
        <v>0</v>
      </c>
      <c r="O32" s="11"/>
      <c r="P32" s="2">
        <f>SUM(OSRRefP22_4x_0)</f>
        <v>0</v>
      </c>
      <c r="Q32" s="2"/>
      <c r="R32" s="5">
        <f t="shared" si="4"/>
        <v>0</v>
      </c>
      <c r="S32" s="2"/>
      <c r="T32" s="2">
        <f>SUM(OSRRefT22_4x_0)</f>
        <v>-1053.52</v>
      </c>
      <c r="U32" s="2"/>
      <c r="V32" s="5">
        <f t="shared" si="5"/>
        <v>0</v>
      </c>
      <c r="W32" s="2"/>
      <c r="X32" s="2">
        <f t="shared" si="6"/>
        <v>1053.52</v>
      </c>
      <c r="Y32" s="2"/>
      <c r="Z32" s="5">
        <f t="shared" si="7"/>
        <v>-1</v>
      </c>
    </row>
    <row r="33" spans="1:26" s="69" customFormat="1" ht="15" hidden="1" customHeight="1" outlineLevel="2" x14ac:dyDescent="0.3">
      <c r="A33" s="21"/>
      <c r="B33" s="9" t="str">
        <f>CONCATENATE("          ","6282"," - ","JANITORIAL/EXTERMINATOR EXPENS")</f>
        <v xml:space="preserve">          6282 - JANITORIAL/EXTERMINATOR EXPENS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-567.28</v>
      </c>
      <c r="U33" s="3"/>
      <c r="V33" s="7">
        <f t="shared" si="5"/>
        <v>0</v>
      </c>
      <c r="W33" s="3"/>
      <c r="X33" s="6">
        <f t="shared" si="6"/>
        <v>567.28</v>
      </c>
      <c r="Y33" s="3"/>
      <c r="Z33" s="7">
        <f t="shared" si="7"/>
        <v>-1</v>
      </c>
    </row>
    <row r="34" spans="1:26" s="69" customFormat="1" ht="15" hidden="1" customHeight="1" outlineLevel="2" x14ac:dyDescent="0.3">
      <c r="A34" s="21"/>
      <c r="B34" s="9" t="str">
        <f>CONCATENATE("          ","6285"," - ","JANITORIAL SERVICES")</f>
        <v xml:space="preserve">          6285 - JANITORIAL SERVICES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-486.24</v>
      </c>
      <c r="U34" s="3"/>
      <c r="V34" s="7">
        <f t="shared" si="5"/>
        <v>0</v>
      </c>
      <c r="W34" s="3"/>
      <c r="X34" s="6">
        <f t="shared" si="6"/>
        <v>486.24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0"/>
      <c r="B35" s="11" t="str">
        <f>CONCATENATE("     ","Supplies                                          ")</f>
        <v xml:space="preserve">     Supplies                                          </v>
      </c>
      <c r="C35" s="11"/>
      <c r="D35" s="2">
        <f>SUM(OSRRefD22_5x_0)</f>
        <v>0</v>
      </c>
      <c r="E35" s="2"/>
      <c r="F35" s="5">
        <f t="shared" si="0"/>
        <v>0</v>
      </c>
      <c r="G35" s="2"/>
      <c r="H35" s="2">
        <f>SUM(OSRRefH22_5x_0)</f>
        <v>6.79</v>
      </c>
      <c r="I35" s="2"/>
      <c r="J35" s="5">
        <f t="shared" si="1"/>
        <v>0</v>
      </c>
      <c r="K35" s="2"/>
      <c r="L35" s="2">
        <f t="shared" si="2"/>
        <v>-6.79</v>
      </c>
      <c r="M35" s="2"/>
      <c r="N35" s="5">
        <f t="shared" si="3"/>
        <v>-1</v>
      </c>
      <c r="O35" s="11"/>
      <c r="P35" s="2">
        <f>SUM(OSRRefP22_5x_0)</f>
        <v>0</v>
      </c>
      <c r="Q35" s="2"/>
      <c r="R35" s="5">
        <f t="shared" si="4"/>
        <v>0</v>
      </c>
      <c r="S35" s="2"/>
      <c r="T35" s="2">
        <f>SUM(OSRRefT22_5x_0)</f>
        <v>138.09</v>
      </c>
      <c r="U35" s="2"/>
      <c r="V35" s="5">
        <f t="shared" si="5"/>
        <v>0</v>
      </c>
      <c r="W35" s="2"/>
      <c r="X35" s="2">
        <f t="shared" si="6"/>
        <v>-138.09</v>
      </c>
      <c r="Y35" s="2"/>
      <c r="Z35" s="5">
        <f t="shared" si="7"/>
        <v>-1</v>
      </c>
    </row>
    <row r="36" spans="1:26" s="69" customFormat="1" ht="15" hidden="1" customHeight="1" outlineLevel="2" x14ac:dyDescent="0.3">
      <c r="A36" s="21"/>
      <c r="B36" s="9" t="str">
        <f>CONCATENATE("          ","6241"," - ","OFFICE EXPENSE")</f>
        <v xml:space="preserve">          6241 - OFFICE EXPENSE</v>
      </c>
      <c r="C36" s="9"/>
      <c r="D36" s="6"/>
      <c r="E36" s="3"/>
      <c r="F36" s="7">
        <f t="shared" si="0"/>
        <v>0</v>
      </c>
      <c r="G36" s="3"/>
      <c r="H36" s="6">
        <v>6.79</v>
      </c>
      <c r="I36" s="3"/>
      <c r="J36" s="7">
        <f t="shared" si="1"/>
        <v>0</v>
      </c>
      <c r="K36" s="3"/>
      <c r="L36" s="6">
        <f t="shared" si="2"/>
        <v>-6.79</v>
      </c>
      <c r="M36" s="3"/>
      <c r="N36" s="7">
        <f t="shared" si="3"/>
        <v>-1</v>
      </c>
      <c r="O36" s="9"/>
      <c r="P36" s="6"/>
      <c r="Q36" s="3"/>
      <c r="R36" s="7">
        <f t="shared" si="4"/>
        <v>0</v>
      </c>
      <c r="S36" s="3"/>
      <c r="T36" s="6">
        <v>138.09</v>
      </c>
      <c r="U36" s="3"/>
      <c r="V36" s="7">
        <f t="shared" si="5"/>
        <v>0</v>
      </c>
      <c r="W36" s="3"/>
      <c r="X36" s="6">
        <f t="shared" si="6"/>
        <v>-138.09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0"/>
      <c r="B37" s="11" t="str">
        <f>CONCATENATE("     ","Telephone/Data Lines                              ")</f>
        <v xml:space="preserve">     Telephone/Data Lines                              </v>
      </c>
      <c r="C37" s="11"/>
      <c r="D37" s="2">
        <f>SUM(OSRRefD22_6x_0)</f>
        <v>0</v>
      </c>
      <c r="E37" s="2"/>
      <c r="F37" s="5">
        <f t="shared" si="0"/>
        <v>0</v>
      </c>
      <c r="G37" s="2"/>
      <c r="H37" s="2">
        <f>SUM(OSRRefH22_6x_0)</f>
        <v>0</v>
      </c>
      <c r="I37" s="2"/>
      <c r="J37" s="5">
        <f t="shared" si="1"/>
        <v>0</v>
      </c>
      <c r="K37" s="2"/>
      <c r="L37" s="2">
        <f t="shared" si="2"/>
        <v>0</v>
      </c>
      <c r="M37" s="2"/>
      <c r="N37" s="5">
        <f t="shared" si="3"/>
        <v>0</v>
      </c>
      <c r="O37" s="11"/>
      <c r="P37" s="2">
        <f>SUM(OSRRefP22_6x_0)</f>
        <v>0</v>
      </c>
      <c r="Q37" s="2"/>
      <c r="R37" s="5">
        <f t="shared" si="4"/>
        <v>0</v>
      </c>
      <c r="S37" s="2"/>
      <c r="T37" s="2">
        <f>SUM(OSRRefT22_6x_0)</f>
        <v>85.2</v>
      </c>
      <c r="U37" s="2"/>
      <c r="V37" s="5">
        <f t="shared" si="5"/>
        <v>0</v>
      </c>
      <c r="W37" s="2"/>
      <c r="X37" s="2">
        <f t="shared" si="6"/>
        <v>-85.2</v>
      </c>
      <c r="Y37" s="2"/>
      <c r="Z37" s="5">
        <f t="shared" si="7"/>
        <v>-1</v>
      </c>
    </row>
    <row r="38" spans="1:26" s="69" customFormat="1" ht="15" hidden="1" customHeight="1" outlineLevel="2" x14ac:dyDescent="0.3">
      <c r="A38" s="21"/>
      <c r="B38" s="9" t="str">
        <f>CONCATENATE("          ","6309"," - ","TELEPHONE")</f>
        <v xml:space="preserve">          6309 - TELEPHONE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85.2</v>
      </c>
      <c r="U38" s="3"/>
      <c r="V38" s="7">
        <f t="shared" si="5"/>
        <v>0</v>
      </c>
      <c r="W38" s="3"/>
      <c r="X38" s="6">
        <f t="shared" si="6"/>
        <v>-85.2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0"/>
      <c r="B39" s="11" t="str">
        <f>CONCATENATE("     ","Utilities                                         ")</f>
        <v xml:space="preserve">     Utilities                                         </v>
      </c>
      <c r="C39" s="11"/>
      <c r="D39" s="2">
        <f>SUM(OSRRefD22_7x_0)</f>
        <v>0</v>
      </c>
      <c r="E39" s="2"/>
      <c r="F39" s="5">
        <f t="shared" si="0"/>
        <v>0</v>
      </c>
      <c r="G39" s="2"/>
      <c r="H39" s="2">
        <f>SUM(OSRRefH22_7x_0)</f>
        <v>-162</v>
      </c>
      <c r="I39" s="2"/>
      <c r="J39" s="5">
        <f t="shared" si="1"/>
        <v>0</v>
      </c>
      <c r="K39" s="2"/>
      <c r="L39" s="2">
        <f t="shared" si="2"/>
        <v>162</v>
      </c>
      <c r="M39" s="2"/>
      <c r="N39" s="5">
        <f t="shared" si="3"/>
        <v>-1</v>
      </c>
      <c r="O39" s="11"/>
      <c r="P39" s="2">
        <f>SUM(OSRRefP22_7x_0)</f>
        <v>0</v>
      </c>
      <c r="Q39" s="2"/>
      <c r="R39" s="5">
        <f t="shared" si="4"/>
        <v>0</v>
      </c>
      <c r="S39" s="2"/>
      <c r="T39" s="2">
        <f>SUM(OSRRefT22_7x_0)</f>
        <v>1001</v>
      </c>
      <c r="U39" s="2"/>
      <c r="V39" s="5">
        <f t="shared" si="5"/>
        <v>0</v>
      </c>
      <c r="W39" s="2"/>
      <c r="X39" s="2">
        <f t="shared" si="6"/>
        <v>-1001</v>
      </c>
      <c r="Y39" s="2"/>
      <c r="Z39" s="5">
        <f t="shared" si="7"/>
        <v>-1</v>
      </c>
    </row>
    <row r="40" spans="1:26" s="69" customFormat="1" ht="15" hidden="1" customHeight="1" outlineLevel="2" x14ac:dyDescent="0.3">
      <c r="A40" s="21"/>
      <c r="B40" s="9" t="str">
        <f>CONCATENATE("          ","6274"," - ","UTILITIES")</f>
        <v xml:space="preserve">          6274 - UTILITIES</v>
      </c>
      <c r="C40" s="9"/>
      <c r="D40" s="6"/>
      <c r="E40" s="3"/>
      <c r="F40" s="7">
        <f t="shared" si="0"/>
        <v>0</v>
      </c>
      <c r="G40" s="3"/>
      <c r="H40" s="6">
        <v>-162</v>
      </c>
      <c r="I40" s="3"/>
      <c r="J40" s="7">
        <f t="shared" si="1"/>
        <v>0</v>
      </c>
      <c r="K40" s="3"/>
      <c r="L40" s="6">
        <f t="shared" si="2"/>
        <v>162</v>
      </c>
      <c r="M40" s="3"/>
      <c r="N40" s="7">
        <f t="shared" si="3"/>
        <v>-1</v>
      </c>
      <c r="O40" s="9"/>
      <c r="P40" s="6"/>
      <c r="Q40" s="3"/>
      <c r="R40" s="7">
        <f t="shared" si="4"/>
        <v>0</v>
      </c>
      <c r="S40" s="3"/>
      <c r="T40" s="6">
        <v>1001</v>
      </c>
      <c r="U40" s="3"/>
      <c r="V40" s="7">
        <f t="shared" si="5"/>
        <v>0</v>
      </c>
      <c r="W40" s="3"/>
      <c r="X40" s="6">
        <f t="shared" si="6"/>
        <v>-1001</v>
      </c>
      <c r="Y40" s="3"/>
      <c r="Z40" s="7">
        <f t="shared" si="7"/>
        <v>-1</v>
      </c>
    </row>
    <row r="41" spans="1:26" s="64" customFormat="1" ht="15" customHeight="1" x14ac:dyDescent="0.3">
      <c r="A41" s="37"/>
      <c r="B41" s="37"/>
      <c r="C41" s="37"/>
      <c r="D41" s="2"/>
      <c r="E41" s="2"/>
      <c r="F41" s="5"/>
      <c r="G41" s="2"/>
      <c r="H41" s="2"/>
      <c r="I41" s="2"/>
      <c r="J41" s="5"/>
      <c r="K41" s="2"/>
      <c r="L41" s="2"/>
      <c r="M41" s="2"/>
      <c r="N41" s="5"/>
      <c r="O41" s="37"/>
      <c r="P41" s="2"/>
      <c r="Q41" s="2"/>
      <c r="R41" s="5"/>
      <c r="S41" s="2"/>
      <c r="T41" s="2"/>
      <c r="U41" s="2"/>
      <c r="V41" s="5"/>
      <c r="W41" s="2"/>
      <c r="X41" s="2"/>
      <c r="Y41" s="2"/>
      <c r="Z41" s="5"/>
    </row>
    <row r="42" spans="1:26" s="62" customFormat="1" ht="15" customHeight="1" x14ac:dyDescent="0.3">
      <c r="A42" s="13"/>
      <c r="B42" s="27" t="s">
        <v>290</v>
      </c>
      <c r="C42" s="13"/>
      <c r="D42" s="8">
        <f>SUM(0)</f>
        <v>0</v>
      </c>
      <c r="E42" s="8"/>
      <c r="F42" s="14">
        <f>IF(D$12=0,0,D42/D$12)</f>
        <v>0</v>
      </c>
      <c r="G42" s="8"/>
      <c r="H42" s="8">
        <f>SUM(0)</f>
        <v>0</v>
      </c>
      <c r="I42" s="8"/>
      <c r="J42" s="14">
        <f>IF(H$12=0,0,H42/H$12)</f>
        <v>0</v>
      </c>
      <c r="K42" s="8"/>
      <c r="L42" s="8">
        <f>+D42-H42</f>
        <v>0</v>
      </c>
      <c r="M42" s="8"/>
      <c r="N42" s="14">
        <f>IF(H42=0,0,L42/H42)</f>
        <v>0</v>
      </c>
      <c r="O42" s="13"/>
      <c r="P42" s="8">
        <f>SUM(0)</f>
        <v>0</v>
      </c>
      <c r="Q42" s="8"/>
      <c r="R42" s="14">
        <f>IF(P$12=0,0,P42/P$12)</f>
        <v>0</v>
      </c>
      <c r="S42" s="8"/>
      <c r="T42" s="8">
        <f>SUM(0)</f>
        <v>0</v>
      </c>
      <c r="U42" s="8"/>
      <c r="V42" s="14">
        <f>IF(T$12=0,0,T42/T$12)</f>
        <v>0</v>
      </c>
      <c r="W42" s="8"/>
      <c r="X42" s="8">
        <f>+P42-T42</f>
        <v>0</v>
      </c>
      <c r="Y42" s="8"/>
      <c r="Z42" s="14">
        <f>IF(T42=0,0,X42/T42)</f>
        <v>0</v>
      </c>
    </row>
    <row r="43" spans="1:26" ht="15" customHeight="1" x14ac:dyDescent="0.3">
      <c r="A43" s="12"/>
      <c r="B43" s="13"/>
      <c r="C43" s="13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O43" s="13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s="62" customFormat="1" ht="15" customHeight="1" x14ac:dyDescent="0.3">
      <c r="A44" s="13"/>
      <c r="B44" s="28" t="s">
        <v>291</v>
      </c>
      <c r="C44" s="28"/>
      <c r="D44" s="22">
        <f>+D17-D19+D42</f>
        <v>0</v>
      </c>
      <c r="E44" s="15"/>
      <c r="F44" s="24">
        <f>IF(D$12=0,0,D44/D$12)</f>
        <v>0</v>
      </c>
      <c r="G44" s="15"/>
      <c r="H44" s="22">
        <f>+H17-H19+H42</f>
        <v>-349.24</v>
      </c>
      <c r="I44" s="15"/>
      <c r="J44" s="24">
        <f>IF(H$12=0,0,H44/H$12)</f>
        <v>0</v>
      </c>
      <c r="K44" s="17"/>
      <c r="L44" s="22">
        <f>+D44-H44</f>
        <v>349.24</v>
      </c>
      <c r="M44" s="17"/>
      <c r="N44" s="24">
        <f>IF(H44=0,0,L44/H44)</f>
        <v>-1</v>
      </c>
      <c r="O44" s="27"/>
      <c r="P44" s="22">
        <f>+P17-P19+P42</f>
        <v>0</v>
      </c>
      <c r="Q44" s="15"/>
      <c r="R44" s="24">
        <f>IF(P$12=0,0,P44/P$12)</f>
        <v>0</v>
      </c>
      <c r="S44" s="15"/>
      <c r="T44" s="22">
        <f>+T17-T19+T42</f>
        <v>-25615.25</v>
      </c>
      <c r="U44" s="15"/>
      <c r="V44" s="24">
        <f>IF(T$12=0,0,T44/T$12)</f>
        <v>0</v>
      </c>
      <c r="W44" s="17"/>
      <c r="X44" s="22">
        <f>+P44-T44</f>
        <v>25615.25</v>
      </c>
      <c r="Y44" s="17"/>
      <c r="Z44" s="24">
        <f>IF(T44=0,0,X44/T44)</f>
        <v>-1</v>
      </c>
    </row>
    <row r="45" spans="1:26" ht="15" customHeight="1" x14ac:dyDescent="0.3">
      <c r="A45" s="12"/>
      <c r="B45" s="13"/>
      <c r="C45" s="12"/>
      <c r="D45" s="4"/>
      <c r="E45" s="4"/>
      <c r="F45" s="10"/>
      <c r="G45" s="4"/>
      <c r="H45" s="4"/>
      <c r="I45" s="4"/>
      <c r="J45" s="10"/>
      <c r="K45" s="4"/>
      <c r="L45" s="4"/>
      <c r="M45" s="4"/>
      <c r="N45" s="10"/>
      <c r="P45" s="4"/>
      <c r="Q45" s="4"/>
      <c r="R45" s="10"/>
      <c r="S45" s="4"/>
      <c r="T45" s="4"/>
      <c r="U45" s="4"/>
      <c r="V45" s="10"/>
      <c r="W45" s="4"/>
      <c r="X45" s="4"/>
      <c r="Y45" s="4"/>
      <c r="Z45" s="10"/>
    </row>
    <row r="46" spans="1:26" s="62" customFormat="1" ht="15" customHeight="1" x14ac:dyDescent="0.3">
      <c r="A46" s="48"/>
      <c r="B46" s="13" t="s">
        <v>292</v>
      </c>
      <c r="C46" s="13"/>
      <c r="D46" s="8"/>
      <c r="E46" s="8"/>
      <c r="F46" s="14">
        <f>IF(D$12=0,0,D46/D$12)</f>
        <v>0</v>
      </c>
      <c r="G46" s="8"/>
      <c r="H46" s="8"/>
      <c r="I46" s="8"/>
      <c r="J46" s="14">
        <f>IF(H$12=0,0,H46/H$12)</f>
        <v>0</v>
      </c>
      <c r="K46" s="8"/>
      <c r="L46" s="8">
        <f>+D46-H46</f>
        <v>0</v>
      </c>
      <c r="M46" s="8"/>
      <c r="N46" s="14">
        <f>IF(H46=0,0,L46/H46)</f>
        <v>0</v>
      </c>
      <c r="O46" s="13"/>
      <c r="P46" s="8"/>
      <c r="Q46" s="8"/>
      <c r="R46" s="14">
        <f>IF(P$12=0,0,P46/P$12)</f>
        <v>0</v>
      </c>
      <c r="S46" s="8"/>
      <c r="T46" s="8"/>
      <c r="U46" s="8"/>
      <c r="V46" s="14">
        <f>IF(T$12=0,0,T46/T$12)</f>
        <v>0</v>
      </c>
      <c r="W46" s="8"/>
      <c r="X46" s="8">
        <f>+P46-T46</f>
        <v>0</v>
      </c>
      <c r="Y46" s="8"/>
      <c r="Z46" s="14">
        <f>IF(T46=0,0,X46/T46)</f>
        <v>0</v>
      </c>
    </row>
    <row r="47" spans="1:26" ht="15" customHeight="1" x14ac:dyDescent="0.3">
      <c r="A47" s="12"/>
      <c r="B47" s="13"/>
      <c r="C47" s="13"/>
      <c r="D47" s="4"/>
      <c r="E47" s="4"/>
      <c r="F47" s="10"/>
      <c r="G47" s="4"/>
      <c r="H47" s="4"/>
      <c r="I47" s="4"/>
      <c r="J47" s="10"/>
      <c r="K47" s="4"/>
      <c r="L47" s="4"/>
      <c r="M47" s="4"/>
      <c r="N47" s="10"/>
      <c r="O47" s="13"/>
      <c r="P47" s="4"/>
      <c r="Q47" s="4"/>
      <c r="R47" s="10"/>
      <c r="S47" s="4"/>
      <c r="T47" s="4"/>
      <c r="U47" s="4"/>
      <c r="V47" s="10"/>
      <c r="W47" s="4"/>
      <c r="X47" s="4"/>
      <c r="Y47" s="4"/>
      <c r="Z47" s="10"/>
    </row>
    <row r="48" spans="1:26" s="62" customFormat="1" ht="15" customHeight="1" x14ac:dyDescent="0.3">
      <c r="A48" s="13"/>
      <c r="B48" s="28" t="s">
        <v>293</v>
      </c>
      <c r="C48" s="28"/>
      <c r="D48" s="29">
        <f>+D44-D46</f>
        <v>0</v>
      </c>
      <c r="E48" s="15"/>
      <c r="F48" s="31">
        <f>IF(D$12=0,0,D48/D$12)</f>
        <v>0</v>
      </c>
      <c r="G48" s="15"/>
      <c r="H48" s="29">
        <f>+H44-H46</f>
        <v>-349.24</v>
      </c>
      <c r="I48" s="15"/>
      <c r="J48" s="31">
        <f>IF(H$12=0,0,H48/H$12)</f>
        <v>0</v>
      </c>
      <c r="K48" s="17"/>
      <c r="L48" s="29">
        <f>D48-H48</f>
        <v>349.24</v>
      </c>
      <c r="M48" s="17"/>
      <c r="N48" s="31">
        <f>IF(H48=0,0,L48/H48)</f>
        <v>-1</v>
      </c>
      <c r="O48" s="27"/>
      <c r="P48" s="29">
        <f>+P44-P46</f>
        <v>0</v>
      </c>
      <c r="Q48" s="15"/>
      <c r="R48" s="31">
        <f>IF(P$12=0,0,P48/P$12)</f>
        <v>0</v>
      </c>
      <c r="S48" s="15"/>
      <c r="T48" s="29">
        <f>+T44-T46</f>
        <v>-25615.25</v>
      </c>
      <c r="U48" s="15"/>
      <c r="V48" s="31">
        <f>IF(T$12=0,0,T48/T$12)</f>
        <v>0</v>
      </c>
      <c r="W48" s="17"/>
      <c r="X48" s="29">
        <f>P48-T48</f>
        <v>25615.25</v>
      </c>
      <c r="Y48" s="17"/>
      <c r="Z48" s="31">
        <f>IF(T48=0,0,X48/T48)</f>
        <v>-1</v>
      </c>
    </row>
    <row r="49" spans="1:26" ht="15" customHeight="1" x14ac:dyDescent="0.3">
      <c r="A49" s="12"/>
      <c r="B49" s="12"/>
      <c r="C49" s="12"/>
      <c r="D49" s="4"/>
      <c r="E49" s="4"/>
      <c r="F49" s="10"/>
      <c r="G49" s="4"/>
      <c r="H49" s="4"/>
      <c r="I49" s="4"/>
      <c r="J49" s="10"/>
      <c r="K49" s="4"/>
      <c r="L49" s="4"/>
      <c r="M49" s="4"/>
      <c r="N49" s="10"/>
      <c r="P49" s="4"/>
      <c r="Q49" s="4"/>
      <c r="R49" s="10"/>
      <c r="S49" s="4"/>
      <c r="T49" s="4"/>
      <c r="U49" s="4"/>
      <c r="V49" s="10"/>
      <c r="W49" s="4"/>
      <c r="X49" s="4"/>
      <c r="Y49" s="4"/>
      <c r="Z49" s="10"/>
    </row>
    <row r="50" spans="1:26" ht="15" customHeight="1" x14ac:dyDescent="0.3">
      <c r="A50" s="12"/>
      <c r="B50" s="12"/>
      <c r="C50" s="12"/>
      <c r="D50" s="4"/>
      <c r="E50" s="4"/>
      <c r="F50" s="10"/>
      <c r="G50" s="4"/>
      <c r="H50" s="4"/>
      <c r="I50" s="4"/>
      <c r="J50" s="10"/>
      <c r="K50" s="4"/>
      <c r="L50" s="4"/>
      <c r="M50" s="4"/>
      <c r="N50" s="10"/>
      <c r="P50" s="4"/>
      <c r="Q50" s="4"/>
      <c r="R50" s="10"/>
      <c r="S50" s="4"/>
      <c r="T50" s="4"/>
      <c r="U50" s="4"/>
      <c r="V50" s="10"/>
      <c r="W50" s="4"/>
      <c r="X50" s="4"/>
      <c r="Y50" s="4"/>
      <c r="Z50" s="10"/>
    </row>
    <row r="51" spans="1:26" s="62" customFormat="1" ht="15" customHeight="1" x14ac:dyDescent="0.3">
      <c r="A51" s="13"/>
      <c r="B51" s="28" t="s">
        <v>296</v>
      </c>
      <c r="C51" s="28"/>
      <c r="D51" s="30">
        <f>SUM(D48:D50)</f>
        <v>0</v>
      </c>
      <c r="E51" s="15"/>
      <c r="F51" s="35">
        <f>IF(D$12=0,0,D51/D$12)</f>
        <v>0</v>
      </c>
      <c r="G51" s="15"/>
      <c r="H51" s="30">
        <f>SUM(H48:H50)</f>
        <v>-349.24</v>
      </c>
      <c r="I51" s="15"/>
      <c r="J51" s="35">
        <f>IF(H$12=0,0,H51/H$12)</f>
        <v>0</v>
      </c>
      <c r="K51" s="17"/>
      <c r="L51" s="30">
        <f>+D51-H51</f>
        <v>349.24</v>
      </c>
      <c r="M51" s="17"/>
      <c r="N51" s="35">
        <f>IF(H51=0,0,L51/H51)</f>
        <v>-1</v>
      </c>
      <c r="O51" s="27"/>
      <c r="P51" s="30">
        <f>SUM(P48:P50)</f>
        <v>0</v>
      </c>
      <c r="Q51" s="15"/>
      <c r="R51" s="35">
        <f>IF(P$12=0,0,P51/P$12)</f>
        <v>0</v>
      </c>
      <c r="S51" s="15"/>
      <c r="T51" s="30">
        <f>SUM(T48:T50)</f>
        <v>-25615.25</v>
      </c>
      <c r="U51" s="15"/>
      <c r="V51" s="35">
        <f>IF(T$12=0,0,T51/T$12)</f>
        <v>0</v>
      </c>
      <c r="W51" s="17"/>
      <c r="X51" s="30">
        <f>+P51-T51</f>
        <v>25615.25</v>
      </c>
      <c r="Y51" s="17"/>
      <c r="Z51" s="35">
        <f>IF(T51=0,0,X51/T51)</f>
        <v>-1</v>
      </c>
    </row>
    <row r="52" spans="1:26" ht="15" customHeight="1" x14ac:dyDescent="0.3">
      <c r="A52" s="12"/>
      <c r="C52" s="12"/>
      <c r="D52" s="19"/>
      <c r="E52" s="19"/>
      <c r="G52" s="19"/>
      <c r="H52" s="19"/>
      <c r="I52" s="19"/>
      <c r="J52" s="41"/>
      <c r="K52" s="19"/>
      <c r="L52" s="19"/>
      <c r="M52" s="19"/>
      <c r="P52" s="19"/>
      <c r="Q52" s="19"/>
      <c r="R52" s="41"/>
      <c r="S52" s="19"/>
      <c r="T52" s="19"/>
      <c r="U52" s="19"/>
      <c r="V52" s="41"/>
      <c r="W52" s="19"/>
      <c r="X52" s="19"/>
    </row>
    <row r="53" spans="1:26" ht="15" customHeight="1" x14ac:dyDescent="0.3">
      <c r="A53" s="12"/>
      <c r="B53" s="54">
        <v>44767.815885219905</v>
      </c>
      <c r="D53" s="19"/>
      <c r="E53" s="19"/>
      <c r="G53" s="19"/>
      <c r="H53" s="19"/>
      <c r="I53" s="19"/>
      <c r="J53" s="41"/>
      <c r="K53" s="19"/>
      <c r="L53" s="19"/>
      <c r="M53" s="19"/>
      <c r="P53" s="19"/>
      <c r="Q53" s="19"/>
      <c r="R53" s="41"/>
      <c r="S53" s="19"/>
      <c r="T53" s="19"/>
      <c r="U53" s="19"/>
      <c r="V53" s="41"/>
      <c r="W53" s="19"/>
      <c r="X53" s="19"/>
    </row>
    <row r="54" spans="1:26" ht="15" customHeight="1" x14ac:dyDescent="0.3">
      <c r="A54" s="12"/>
      <c r="B54" s="53" t="s">
        <v>297</v>
      </c>
      <c r="D54" s="19"/>
      <c r="E54" s="19"/>
      <c r="G54" s="19"/>
      <c r="H54" s="19"/>
      <c r="I54" s="19"/>
      <c r="J54" s="41"/>
      <c r="K54" s="19"/>
      <c r="L54" s="19"/>
      <c r="M54" s="19"/>
      <c r="P54" s="19"/>
      <c r="Q54" s="19"/>
      <c r="R54" s="41"/>
      <c r="S54" s="19"/>
      <c r="T54" s="19"/>
      <c r="U54" s="19"/>
      <c r="V54" s="41"/>
      <c r="W54" s="19"/>
      <c r="X54" s="19"/>
    </row>
    <row r="55" spans="1:26" ht="15" customHeight="1" x14ac:dyDescent="0.3">
      <c r="A55" s="12"/>
      <c r="B55" s="51"/>
      <c r="D55" s="19"/>
      <c r="E55" s="19"/>
      <c r="G55" s="19"/>
      <c r="H55" s="19"/>
      <c r="I55" s="19"/>
      <c r="J55" s="41"/>
      <c r="K55" s="19"/>
      <c r="L55" s="19"/>
      <c r="M55" s="19"/>
      <c r="P55" s="19"/>
      <c r="Q55" s="19"/>
      <c r="R55" s="41"/>
      <c r="S55" s="19"/>
      <c r="T55" s="19"/>
      <c r="U55" s="19"/>
      <c r="V55" s="41"/>
      <c r="W55" s="19"/>
      <c r="X55" s="19"/>
    </row>
    <row r="56" spans="1:26" ht="15" customHeight="1" x14ac:dyDescent="0.3">
      <c r="D56" s="19"/>
      <c r="E56" s="19"/>
      <c r="G56" s="19"/>
      <c r="H56" s="19"/>
      <c r="I56" s="19"/>
      <c r="J56" s="41"/>
      <c r="K56" s="19"/>
      <c r="L56" s="19"/>
      <c r="M56" s="19"/>
      <c r="P56" s="19"/>
      <c r="Q56" s="19"/>
      <c r="R56" s="41"/>
      <c r="S56" s="19"/>
      <c r="T56" s="19"/>
      <c r="U56" s="19"/>
      <c r="V56" s="41"/>
      <c r="W56" s="19"/>
      <c r="X5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47A19-4EDC-AB12-0C2F-3795CC814A33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","325"," - ","Outpost C-Store")</f>
        <v>Department 325 - Outpost C-Store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12773.599999999999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12773.599999999999</v>
      </c>
      <c r="M12" s="8"/>
      <c r="N12" s="14">
        <f>IF(H12=0,0,L12/H12)</f>
        <v>0</v>
      </c>
      <c r="O12" s="13"/>
      <c r="P12" s="8">
        <f>SUM(OSRRefP13x_0)</f>
        <v>300525.7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300525.7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--1785.47</f>
        <v>1785.47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1785.47</v>
      </c>
      <c r="M13" s="3"/>
      <c r="N13" s="26">
        <f>IF(H13=0,0,L13/H13)</f>
        <v>0</v>
      </c>
      <c r="O13" s="9"/>
      <c r="P13" s="3">
        <f>--43795.54</f>
        <v>43795.54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43795.54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","4100"," - ","NON-TAXABLE SALES")</f>
        <v xml:space="preserve">          4100 - NON-TAXABLE SALES</v>
      </c>
      <c r="C14" s="9"/>
      <c r="D14" s="3">
        <f>--10988.13</f>
        <v>10988.13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10988.13</v>
      </c>
      <c r="M14" s="3"/>
      <c r="N14" s="26">
        <f>IF(H14=0,0,L14/H14)</f>
        <v>0</v>
      </c>
      <c r="O14" s="9"/>
      <c r="P14" s="3">
        <f>--256730.16</f>
        <v>256730.16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256730.16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collapsed="1" x14ac:dyDescent="0.3">
      <c r="A16" s="13"/>
      <c r="B16" s="27" t="s">
        <v>287</v>
      </c>
      <c r="C16" s="13"/>
      <c r="D16" s="8">
        <f>SUM(OSRRefD16x_0)</f>
        <v>20049.260000000002</v>
      </c>
      <c r="E16" s="8"/>
      <c r="F16" s="14">
        <f>IF(D$12=0,0,D16/D$12)</f>
        <v>1.5695857080227973</v>
      </c>
      <c r="G16" s="8"/>
      <c r="H16" s="8">
        <f>SUM(OSRRefH16x_0)</f>
        <v>2479.4</v>
      </c>
      <c r="I16" s="8"/>
      <c r="J16" s="14">
        <f>IF(H$12=0,0,H16/H$12)</f>
        <v>0</v>
      </c>
      <c r="K16" s="8"/>
      <c r="L16" s="8">
        <f>+D16-H16</f>
        <v>17569.86</v>
      </c>
      <c r="M16" s="8"/>
      <c r="N16" s="14">
        <f>IF(H16=0,0,L16/H16)</f>
        <v>7.0863354037267081</v>
      </c>
      <c r="O16" s="13"/>
      <c r="P16" s="8">
        <f>SUM(OSRRefP16x_0)</f>
        <v>142978.75</v>
      </c>
      <c r="Q16" s="8"/>
      <c r="R16" s="14">
        <f>IF(P$12=0,0,P16/P$12)</f>
        <v>0.47576213947758877</v>
      </c>
      <c r="S16" s="8"/>
      <c r="T16" s="8">
        <f>SUM(OSRRefT16x_0)</f>
        <v>13473.44</v>
      </c>
      <c r="U16" s="8"/>
      <c r="V16" s="14">
        <f>IF(T$12=0,0,T16/T$12)</f>
        <v>0</v>
      </c>
      <c r="W16" s="8"/>
      <c r="X16" s="8">
        <f>+P16-T16</f>
        <v>129505.31</v>
      </c>
      <c r="Y16" s="8"/>
      <c r="Z16" s="14">
        <f>IF(T16=0,0,X16/T16)</f>
        <v>9.6118964421855146</v>
      </c>
    </row>
    <row r="17" spans="1:26" s="69" customFormat="1" ht="15" hidden="1" customHeight="1" outlineLevel="1" x14ac:dyDescent="0.3">
      <c r="A17" s="47"/>
      <c r="B17" s="9" t="str">
        <f>CONCATENATE("          ","5053"," - ","PURCHASES @ COST-FOOD")</f>
        <v xml:space="preserve">          5053 - PURCHASES @ COST-FOOD</v>
      </c>
      <c r="C17" s="9"/>
      <c r="D17" s="3">
        <v>442.2</v>
      </c>
      <c r="E17" s="3"/>
      <c r="F17" s="26">
        <f>IF(D$12=0,0,D17/D$12)</f>
        <v>3.4618275192584709E-2</v>
      </c>
      <c r="G17" s="3"/>
      <c r="H17" s="3">
        <v>176.4</v>
      </c>
      <c r="I17" s="3"/>
      <c r="J17" s="26">
        <f>IF(H$12=0,0,H17/H$12)</f>
        <v>0</v>
      </c>
      <c r="K17" s="3"/>
      <c r="L17" s="3">
        <f>+D17-H17</f>
        <v>265.79999999999995</v>
      </c>
      <c r="M17" s="3"/>
      <c r="N17" s="26">
        <f>IF(H17=0,0,L17/H17)</f>
        <v>1.5068027210884352</v>
      </c>
      <c r="O17" s="9"/>
      <c r="P17" s="3">
        <v>47539.83</v>
      </c>
      <c r="Q17" s="3"/>
      <c r="R17" s="26">
        <f>IF(P$12=0,0,P17/P$12)</f>
        <v>0.15818890031701116</v>
      </c>
      <c r="S17" s="3"/>
      <c r="T17" s="3">
        <v>-458.56</v>
      </c>
      <c r="U17" s="3"/>
      <c r="V17" s="26">
        <f>IF(T$12=0,0,T17/T$12)</f>
        <v>0</v>
      </c>
      <c r="W17" s="3"/>
      <c r="X17" s="3">
        <f>+P17-T17</f>
        <v>47998.39</v>
      </c>
      <c r="Y17" s="3"/>
      <c r="Z17" s="26">
        <f>IF(T17=0,0,X17/T17)</f>
        <v>-104.67199494068387</v>
      </c>
    </row>
    <row r="18" spans="1:26" s="69" customFormat="1" ht="15" hidden="1" customHeight="1" outlineLevel="1" x14ac:dyDescent="0.3">
      <c r="A18" s="47"/>
      <c r="B18" s="9" t="str">
        <f>CONCATENATE("          ","5059"," - ","PURCHASES @ COST-FOOD")</f>
        <v xml:space="preserve">          5059 - PURCHASES @ COST-FOOD</v>
      </c>
      <c r="C18" s="9"/>
      <c r="D18" s="3">
        <v>19607.060000000001</v>
      </c>
      <c r="E18" s="3"/>
      <c r="F18" s="26">
        <f>IF(D$12=0,0,D18/D$12)</f>
        <v>1.5349674328302125</v>
      </c>
      <c r="G18" s="3"/>
      <c r="H18" s="3">
        <v>2303</v>
      </c>
      <c r="I18" s="3"/>
      <c r="J18" s="26">
        <f>IF(H$12=0,0,H18/H$12)</f>
        <v>0</v>
      </c>
      <c r="K18" s="3"/>
      <c r="L18" s="3">
        <f>+D18-H18</f>
        <v>17304.060000000001</v>
      </c>
      <c r="M18" s="3"/>
      <c r="N18" s="26">
        <f>IF(H18=0,0,L18/H18)</f>
        <v>7.5137038645245342</v>
      </c>
      <c r="O18" s="9"/>
      <c r="P18" s="3">
        <v>95438.92</v>
      </c>
      <c r="Q18" s="3"/>
      <c r="R18" s="26">
        <f>IF(P$12=0,0,P18/P$12)</f>
        <v>0.31757323916057761</v>
      </c>
      <c r="S18" s="3"/>
      <c r="T18" s="3">
        <v>13932</v>
      </c>
      <c r="U18" s="3"/>
      <c r="V18" s="26">
        <f>IF(T$12=0,0,T18/T$12)</f>
        <v>0</v>
      </c>
      <c r="W18" s="3"/>
      <c r="X18" s="3">
        <f>+P18-T18</f>
        <v>81506.92</v>
      </c>
      <c r="Y18" s="3"/>
      <c r="Z18" s="26">
        <f>IF(T18=0,0,X18/T18)</f>
        <v>5.850338788400804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2" customFormat="1" ht="15" customHeight="1" x14ac:dyDescent="0.3">
      <c r="A20" s="13"/>
      <c r="B20" s="28" t="s">
        <v>288</v>
      </c>
      <c r="C20" s="28"/>
      <c r="D20" s="22">
        <f>D12-D16</f>
        <v>-7275.6600000000035</v>
      </c>
      <c r="E20" s="15"/>
      <c r="F20" s="24">
        <f>IF(D$12=0,0,D20/D$12)</f>
        <v>-0.5695857080227974</v>
      </c>
      <c r="G20" s="15"/>
      <c r="H20" s="22">
        <f>H12-H16</f>
        <v>-2479.4</v>
      </c>
      <c r="I20" s="15"/>
      <c r="J20" s="24">
        <f>IF(H$12=0,0,H20/H$12)</f>
        <v>0</v>
      </c>
      <c r="K20" s="17"/>
      <c r="L20" s="22">
        <f>+D20-H20</f>
        <v>-4796.2600000000039</v>
      </c>
      <c r="M20" s="17"/>
      <c r="N20" s="24">
        <f>IF(H20=0,0,L20/H20)</f>
        <v>1.9344438170525142</v>
      </c>
      <c r="O20" s="27"/>
      <c r="P20" s="22">
        <f>P12-P16</f>
        <v>157546.95000000001</v>
      </c>
      <c r="Q20" s="15"/>
      <c r="R20" s="24">
        <f>IF(P$12=0,0,P20/P$12)</f>
        <v>0.52423786052241128</v>
      </c>
      <c r="S20" s="15"/>
      <c r="T20" s="22">
        <f>T12-T16</f>
        <v>-13473.44</v>
      </c>
      <c r="U20" s="15"/>
      <c r="V20" s="24">
        <f>IF(T$12=0,0,T20/T$12)</f>
        <v>0</v>
      </c>
      <c r="W20" s="17"/>
      <c r="X20" s="22">
        <f>+P20-T20</f>
        <v>171020.39</v>
      </c>
      <c r="Y20" s="17"/>
      <c r="Z20" s="24">
        <f>IF(T20=0,0,X20/T20)</f>
        <v>-12.693149633649611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7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2" customFormat="1" ht="15" customHeight="1" x14ac:dyDescent="0.3">
      <c r="A22" s="13"/>
      <c r="B22" s="27" t="s">
        <v>289</v>
      </c>
      <c r="C22" s="13"/>
      <c r="D22" s="23" cm="1">
        <f t="array" ref="D22">SUM(OSRRefD22x_0)</f>
        <v>27981.64</v>
      </c>
      <c r="E22" s="23"/>
      <c r="F22" s="34">
        <f t="shared" ref="F22:F53" si="0">IF(D$12=0,0,D22/D$12)</f>
        <v>2.1905837038892719</v>
      </c>
      <c r="G22" s="23"/>
      <c r="H22" s="23" cm="1">
        <f t="array" ref="H22">SUM(OSRRefH22x_0)</f>
        <v>4959.08</v>
      </c>
      <c r="I22" s="23"/>
      <c r="J22" s="34">
        <f t="shared" ref="J22:J53" si="1">IF(H$12=0,0,H22/H$12)</f>
        <v>0</v>
      </c>
      <c r="K22" s="8"/>
      <c r="L22" s="23">
        <f t="shared" ref="L22:L53" si="2">+D22-H22</f>
        <v>23022.559999999998</v>
      </c>
      <c r="M22" s="8"/>
      <c r="N22" s="34">
        <f t="shared" ref="N22:N53" si="3">IF(H22=0,0,L22/H22)</f>
        <v>4.6425062713245193</v>
      </c>
      <c r="O22" s="13"/>
      <c r="P22" s="23" cm="1">
        <f t="array" ref="P22">SUM(OSRRefP22x_0)</f>
        <v>280106.40999999992</v>
      </c>
      <c r="Q22" s="23"/>
      <c r="R22" s="34">
        <f t="shared" ref="R22:R53" si="4">IF(P$12=0,0,P22/P$12)</f>
        <v>0.93205476270415444</v>
      </c>
      <c r="S22" s="23"/>
      <c r="T22" s="23" cm="1">
        <f t="array" ref="T22">SUM(OSRRefT22x_0)</f>
        <v>127040.85</v>
      </c>
      <c r="U22" s="23"/>
      <c r="V22" s="34">
        <f t="shared" ref="V22:V53" si="5">IF(T$12=0,0,T22/T$12)</f>
        <v>0</v>
      </c>
      <c r="W22" s="8"/>
      <c r="X22" s="23">
        <f t="shared" ref="X22:X53" si="6">+P22-T22</f>
        <v>153065.55999999991</v>
      </c>
      <c r="Y22" s="8"/>
      <c r="Z22" s="34">
        <f t="shared" ref="Z22:Z53" si="7">IF(T22=0,0,X22/T22)</f>
        <v>1.2048530846574146</v>
      </c>
    </row>
    <row r="23" spans="1:26" s="68" customFormat="1" ht="15" customHeight="1" outlineLevel="1" collapsed="1" x14ac:dyDescent="0.3">
      <c r="A23" s="20"/>
      <c r="B23" s="11" t="str">
        <f>CONCATENATE("     ","*Benefits                                         ")</f>
        <v xml:space="preserve">     *Benefits                                         </v>
      </c>
      <c r="C23" s="11"/>
      <c r="D23" s="2">
        <f>SUM(OSRRefD22_0x_0)</f>
        <v>3837.9700000000003</v>
      </c>
      <c r="E23" s="2"/>
      <c r="F23" s="5">
        <f t="shared" si="0"/>
        <v>0.30046110728377284</v>
      </c>
      <c r="G23" s="2"/>
      <c r="H23" s="2">
        <f>SUM(OSRRefH22_0x_0)</f>
        <v>0</v>
      </c>
      <c r="I23" s="2"/>
      <c r="J23" s="5">
        <f t="shared" si="1"/>
        <v>0</v>
      </c>
      <c r="K23" s="2"/>
      <c r="L23" s="2">
        <f t="shared" si="2"/>
        <v>3837.9700000000003</v>
      </c>
      <c r="M23" s="2"/>
      <c r="N23" s="5">
        <f t="shared" si="3"/>
        <v>0</v>
      </c>
      <c r="O23" s="11"/>
      <c r="P23" s="2">
        <f>SUM(OSRRefP22_0x_0)</f>
        <v>26370.36</v>
      </c>
      <c r="Q23" s="2"/>
      <c r="R23" s="5">
        <f t="shared" si="4"/>
        <v>8.7747437240808357E-2</v>
      </c>
      <c r="S23" s="2"/>
      <c r="T23" s="2">
        <f>SUM(OSRRefT22_0x_0)</f>
        <v>2889.72</v>
      </c>
      <c r="U23" s="2"/>
      <c r="V23" s="5">
        <f t="shared" si="5"/>
        <v>0</v>
      </c>
      <c r="W23" s="2"/>
      <c r="X23" s="2">
        <f t="shared" si="6"/>
        <v>23480.639999999999</v>
      </c>
      <c r="Y23" s="2"/>
      <c r="Z23" s="5">
        <f t="shared" si="7"/>
        <v>8.1255761803911799</v>
      </c>
    </row>
    <row r="24" spans="1:26" s="69" customFormat="1" ht="15" hidden="1" customHeight="1" outlineLevel="2" x14ac:dyDescent="0.3">
      <c r="A24" s="21"/>
      <c r="B24" s="9" t="str">
        <f>CONCATENATE("          ","6111"," - ","F.I.C.A.")</f>
        <v xml:space="preserve">          6111 - F.I.C.A.</v>
      </c>
      <c r="C24" s="9"/>
      <c r="D24" s="6">
        <v>680.69</v>
      </c>
      <c r="E24" s="3"/>
      <c r="F24" s="7">
        <f t="shared" si="0"/>
        <v>5.328881442976139E-2</v>
      </c>
      <c r="G24" s="3"/>
      <c r="H24" s="6"/>
      <c r="I24" s="3"/>
      <c r="J24" s="7">
        <f t="shared" si="1"/>
        <v>0</v>
      </c>
      <c r="K24" s="3"/>
      <c r="L24" s="6">
        <f t="shared" si="2"/>
        <v>680.69</v>
      </c>
      <c r="M24" s="3"/>
      <c r="N24" s="7">
        <f t="shared" si="3"/>
        <v>0</v>
      </c>
      <c r="O24" s="9"/>
      <c r="P24" s="6">
        <v>5078.01</v>
      </c>
      <c r="Q24" s="3"/>
      <c r="R24" s="7">
        <f t="shared" si="4"/>
        <v>1.6897090664791729E-2</v>
      </c>
      <c r="S24" s="3"/>
      <c r="T24" s="6">
        <v>159.12</v>
      </c>
      <c r="U24" s="3"/>
      <c r="V24" s="7">
        <f t="shared" si="5"/>
        <v>0</v>
      </c>
      <c r="W24" s="3"/>
      <c r="X24" s="6">
        <f t="shared" si="6"/>
        <v>4918.8900000000003</v>
      </c>
      <c r="Y24" s="3"/>
      <c r="Z24" s="7">
        <f t="shared" si="7"/>
        <v>30.913084464555055</v>
      </c>
    </row>
    <row r="25" spans="1:26" s="69" customFormat="1" ht="15" hidden="1" customHeight="1" outlineLevel="2" x14ac:dyDescent="0.3">
      <c r="A25" s="21"/>
      <c r="B25" s="9" t="str">
        <f>CONCATENATE("          ","6112"," - ","COMPENSATION INSURANCE")</f>
        <v xml:space="preserve">          6112 - COMPENSATION INSURANCE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>
        <v>1522.75</v>
      </c>
      <c r="Q25" s="3"/>
      <c r="R25" s="7">
        <f t="shared" si="4"/>
        <v>5.0669543403442695E-3</v>
      </c>
      <c r="S25" s="3"/>
      <c r="T25" s="6"/>
      <c r="U25" s="3"/>
      <c r="V25" s="7">
        <f t="shared" si="5"/>
        <v>0</v>
      </c>
      <c r="W25" s="3"/>
      <c r="X25" s="6">
        <f t="shared" si="6"/>
        <v>1522.75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1"/>
      <c r="B26" s="9" t="str">
        <f>CONCATENATE("          ","6113"," - ","GROUP INSURANCE")</f>
        <v xml:space="preserve">          6113 - GROUP INSURANCE</v>
      </c>
      <c r="C26" s="9"/>
      <c r="D26" s="6">
        <v>1752.24</v>
      </c>
      <c r="E26" s="3"/>
      <c r="F26" s="7">
        <f t="shared" si="0"/>
        <v>0.13717667689609822</v>
      </c>
      <c r="G26" s="3"/>
      <c r="H26" s="6"/>
      <c r="I26" s="3"/>
      <c r="J26" s="7">
        <f t="shared" si="1"/>
        <v>0</v>
      </c>
      <c r="K26" s="3"/>
      <c r="L26" s="6">
        <f t="shared" si="2"/>
        <v>1752.24</v>
      </c>
      <c r="M26" s="3"/>
      <c r="N26" s="7">
        <f t="shared" si="3"/>
        <v>0</v>
      </c>
      <c r="O26" s="9"/>
      <c r="P26" s="6">
        <v>10513.44</v>
      </c>
      <c r="Q26" s="3"/>
      <c r="R26" s="7">
        <f t="shared" si="4"/>
        <v>3.4983497251649363E-2</v>
      </c>
      <c r="S26" s="3"/>
      <c r="T26" s="6">
        <v>1915.63</v>
      </c>
      <c r="U26" s="3"/>
      <c r="V26" s="7">
        <f t="shared" si="5"/>
        <v>0</v>
      </c>
      <c r="W26" s="3"/>
      <c r="X26" s="6">
        <f t="shared" si="6"/>
        <v>8597.8100000000013</v>
      </c>
      <c r="Y26" s="3"/>
      <c r="Z26" s="7">
        <f t="shared" si="7"/>
        <v>4.4882414662539221</v>
      </c>
    </row>
    <row r="27" spans="1:26" s="69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246.83</v>
      </c>
      <c r="Q27" s="3"/>
      <c r="R27" s="7">
        <f t="shared" si="4"/>
        <v>8.2132742723833602E-4</v>
      </c>
      <c r="S27" s="3"/>
      <c r="T27" s="6"/>
      <c r="U27" s="3"/>
      <c r="V27" s="7">
        <f t="shared" si="5"/>
        <v>0</v>
      </c>
      <c r="W27" s="3"/>
      <c r="X27" s="6">
        <f t="shared" si="6"/>
        <v>246.83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","6115"," - ","P.E.R.S.")</f>
        <v xml:space="preserve">          6115 - P.E.R.S.</v>
      </c>
      <c r="C28" s="9"/>
      <c r="D28" s="6">
        <v>520.78</v>
      </c>
      <c r="E28" s="3"/>
      <c r="F28" s="7">
        <f t="shared" si="0"/>
        <v>4.07700256779608E-2</v>
      </c>
      <c r="G28" s="3"/>
      <c r="H28" s="6"/>
      <c r="I28" s="3"/>
      <c r="J28" s="7">
        <f t="shared" si="1"/>
        <v>0</v>
      </c>
      <c r="K28" s="3"/>
      <c r="L28" s="6">
        <f t="shared" si="2"/>
        <v>520.78</v>
      </c>
      <c r="M28" s="3"/>
      <c r="N28" s="7">
        <f t="shared" si="3"/>
        <v>0</v>
      </c>
      <c r="O28" s="9"/>
      <c r="P28" s="6">
        <v>3508.37</v>
      </c>
      <c r="Q28" s="3"/>
      <c r="R28" s="7">
        <f t="shared" si="4"/>
        <v>1.1674109735040962E-2</v>
      </c>
      <c r="S28" s="3"/>
      <c r="T28" s="6">
        <v>458.89</v>
      </c>
      <c r="U28" s="3"/>
      <c r="V28" s="7">
        <f t="shared" si="5"/>
        <v>0</v>
      </c>
      <c r="W28" s="3"/>
      <c r="X28" s="6">
        <f t="shared" si="6"/>
        <v>3049.48</v>
      </c>
      <c r="Y28" s="3"/>
      <c r="Z28" s="7">
        <f t="shared" si="7"/>
        <v>6.6453398417921505</v>
      </c>
    </row>
    <row r="29" spans="1:26" s="69" customFormat="1" ht="15" hidden="1" customHeight="1" outlineLevel="2" x14ac:dyDescent="0.3">
      <c r="A29" s="21"/>
      <c r="B29" s="9" t="str">
        <f>CONCATENATE("          ","6118"," - ","VACATION")</f>
        <v xml:space="preserve">          6118 - VACATION</v>
      </c>
      <c r="C29" s="9"/>
      <c r="D29" s="6">
        <v>406.86</v>
      </c>
      <c r="E29" s="3"/>
      <c r="F29" s="7">
        <f t="shared" si="0"/>
        <v>3.1851631489948025E-2</v>
      </c>
      <c r="G29" s="3"/>
      <c r="H29" s="6"/>
      <c r="I29" s="3"/>
      <c r="J29" s="7">
        <f t="shared" si="1"/>
        <v>0</v>
      </c>
      <c r="K29" s="3"/>
      <c r="L29" s="6">
        <f t="shared" si="2"/>
        <v>406.86</v>
      </c>
      <c r="M29" s="3"/>
      <c r="N29" s="7">
        <f t="shared" si="3"/>
        <v>0</v>
      </c>
      <c r="O29" s="9"/>
      <c r="P29" s="6">
        <v>2471.6999999999998</v>
      </c>
      <c r="Q29" s="3"/>
      <c r="R29" s="7">
        <f t="shared" si="4"/>
        <v>8.2245877806789887E-3</v>
      </c>
      <c r="S29" s="3"/>
      <c r="T29" s="6">
        <v>152.1</v>
      </c>
      <c r="U29" s="3"/>
      <c r="V29" s="7">
        <f t="shared" si="5"/>
        <v>0</v>
      </c>
      <c r="W29" s="3"/>
      <c r="X29" s="6">
        <f t="shared" si="6"/>
        <v>2319.6</v>
      </c>
      <c r="Y29" s="3"/>
      <c r="Z29" s="7">
        <f t="shared" si="7"/>
        <v>15.250493096646943</v>
      </c>
    </row>
    <row r="30" spans="1:26" s="69" customFormat="1" ht="15" hidden="1" customHeight="1" outlineLevel="2" x14ac:dyDescent="0.3">
      <c r="A30" s="21"/>
      <c r="B30" s="9" t="str">
        <f>CONCATENATE("          ","6119"," - ","SICK LEAVE")</f>
        <v xml:space="preserve">          6119 - SICK LEAVE</v>
      </c>
      <c r="C30" s="9"/>
      <c r="D30" s="6">
        <v>232.4</v>
      </c>
      <c r="E30" s="3"/>
      <c r="F30" s="7">
        <f t="shared" si="0"/>
        <v>1.819377466023674E-2</v>
      </c>
      <c r="G30" s="3"/>
      <c r="H30" s="6"/>
      <c r="I30" s="3"/>
      <c r="J30" s="7">
        <f t="shared" si="1"/>
        <v>0</v>
      </c>
      <c r="K30" s="3"/>
      <c r="L30" s="6">
        <f t="shared" si="2"/>
        <v>232.4</v>
      </c>
      <c r="M30" s="3"/>
      <c r="N30" s="7">
        <f t="shared" si="3"/>
        <v>0</v>
      </c>
      <c r="O30" s="9"/>
      <c r="P30" s="6">
        <v>1510.6</v>
      </c>
      <c r="Q30" s="3"/>
      <c r="R30" s="7">
        <f t="shared" si="4"/>
        <v>5.0265251856995916E-3</v>
      </c>
      <c r="S30" s="3"/>
      <c r="T30" s="6">
        <v>203.98</v>
      </c>
      <c r="U30" s="3"/>
      <c r="V30" s="7">
        <f t="shared" si="5"/>
        <v>0</v>
      </c>
      <c r="W30" s="3"/>
      <c r="X30" s="6">
        <f t="shared" si="6"/>
        <v>1306.6199999999999</v>
      </c>
      <c r="Y30" s="3"/>
      <c r="Z30" s="7">
        <f t="shared" si="7"/>
        <v>6.4056280027453667</v>
      </c>
    </row>
    <row r="31" spans="1:26" s="69" customFormat="1" ht="15" hidden="1" customHeight="1" outlineLevel="2" x14ac:dyDescent="0.3">
      <c r="A31" s="21"/>
      <c r="B31" s="9" t="str">
        <f>CONCATENATE("          ","6156"," - ","EMPLOYEE MEALS")</f>
        <v xml:space="preserve">          6156 - EMPLOYEE MEALS</v>
      </c>
      <c r="C31" s="9"/>
      <c r="D31" s="6">
        <v>245</v>
      </c>
      <c r="E31" s="3"/>
      <c r="F31" s="7">
        <f t="shared" si="0"/>
        <v>1.9180184129767647E-2</v>
      </c>
      <c r="G31" s="3"/>
      <c r="H31" s="6"/>
      <c r="I31" s="3"/>
      <c r="J31" s="7">
        <f t="shared" si="1"/>
        <v>0</v>
      </c>
      <c r="K31" s="3"/>
      <c r="L31" s="6">
        <f t="shared" si="2"/>
        <v>245</v>
      </c>
      <c r="M31" s="3"/>
      <c r="N31" s="7">
        <f t="shared" si="3"/>
        <v>0</v>
      </c>
      <c r="O31" s="9"/>
      <c r="P31" s="6">
        <v>1518.66</v>
      </c>
      <c r="Q31" s="3"/>
      <c r="R31" s="7">
        <f t="shared" si="4"/>
        <v>5.0533448553651151E-3</v>
      </c>
      <c r="S31" s="3"/>
      <c r="T31" s="6"/>
      <c r="U31" s="3"/>
      <c r="V31" s="7">
        <f t="shared" si="5"/>
        <v>0</v>
      </c>
      <c r="W31" s="3"/>
      <c r="X31" s="6">
        <f t="shared" si="6"/>
        <v>1518.66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0"/>
      <c r="B32" s="11" t="str">
        <f>CONCATENATE("     ","*Payroll                                          ")</f>
        <v xml:space="preserve">     *Payroll                                          </v>
      </c>
      <c r="C32" s="11"/>
      <c r="D32" s="2">
        <f>SUM(OSRRefD22_1x_0)</f>
        <v>7890.23</v>
      </c>
      <c r="E32" s="2"/>
      <c r="F32" s="5">
        <f t="shared" si="0"/>
        <v>0.61769822133149621</v>
      </c>
      <c r="G32" s="2"/>
      <c r="H32" s="2">
        <f>SUM(OSRRefH22_1x_0)</f>
        <v>0</v>
      </c>
      <c r="I32" s="2"/>
      <c r="J32" s="5">
        <f t="shared" si="1"/>
        <v>0</v>
      </c>
      <c r="K32" s="2"/>
      <c r="L32" s="2">
        <f t="shared" si="2"/>
        <v>7890.23</v>
      </c>
      <c r="M32" s="2"/>
      <c r="N32" s="5">
        <f t="shared" si="3"/>
        <v>0</v>
      </c>
      <c r="O32" s="11"/>
      <c r="P32" s="2">
        <f>SUM(OSRRefP22_1x_0)</f>
        <v>99345.75</v>
      </c>
      <c r="Q32" s="2"/>
      <c r="R32" s="5">
        <f t="shared" si="4"/>
        <v>0.33057322551781759</v>
      </c>
      <c r="S32" s="2"/>
      <c r="T32" s="2">
        <f>SUM(OSRRefT22_1x_0)</f>
        <v>884</v>
      </c>
      <c r="U32" s="2"/>
      <c r="V32" s="5">
        <f t="shared" si="5"/>
        <v>0</v>
      </c>
      <c r="W32" s="2"/>
      <c r="X32" s="2">
        <f t="shared" si="6"/>
        <v>98461.75</v>
      </c>
      <c r="Y32" s="2"/>
      <c r="Z32" s="5">
        <f t="shared" si="7"/>
        <v>111.3820701357466</v>
      </c>
    </row>
    <row r="33" spans="1:26" s="69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4030.76</v>
      </c>
      <c r="E33" s="3"/>
      <c r="F33" s="7">
        <f t="shared" si="0"/>
        <v>0.31555395503225409</v>
      </c>
      <c r="G33" s="3"/>
      <c r="H33" s="6"/>
      <c r="I33" s="3"/>
      <c r="J33" s="7">
        <f t="shared" si="1"/>
        <v>0</v>
      </c>
      <c r="K33" s="3"/>
      <c r="L33" s="6">
        <f t="shared" si="2"/>
        <v>4030.76</v>
      </c>
      <c r="M33" s="3"/>
      <c r="N33" s="7">
        <f t="shared" si="3"/>
        <v>0</v>
      </c>
      <c r="O33" s="9"/>
      <c r="P33" s="6">
        <v>29978.84</v>
      </c>
      <c r="Q33" s="3"/>
      <c r="R33" s="7">
        <f t="shared" si="4"/>
        <v>9.9754663245106817E-2</v>
      </c>
      <c r="S33" s="3"/>
      <c r="T33" s="6">
        <v>884</v>
      </c>
      <c r="U33" s="3"/>
      <c r="V33" s="7">
        <f t="shared" si="5"/>
        <v>0</v>
      </c>
      <c r="W33" s="3"/>
      <c r="X33" s="6">
        <f t="shared" si="6"/>
        <v>29094.84</v>
      </c>
      <c r="Y33" s="3"/>
      <c r="Z33" s="7">
        <f t="shared" si="7"/>
        <v>32.912714932126697</v>
      </c>
    </row>
    <row r="34" spans="1:26" s="69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>
        <v>3377.82</v>
      </c>
      <c r="E34" s="3"/>
      <c r="F34" s="7">
        <f t="shared" si="0"/>
        <v>0.26443759002943573</v>
      </c>
      <c r="G34" s="3"/>
      <c r="H34" s="6"/>
      <c r="I34" s="3"/>
      <c r="J34" s="7">
        <f t="shared" si="1"/>
        <v>0</v>
      </c>
      <c r="K34" s="3"/>
      <c r="L34" s="6">
        <f t="shared" si="2"/>
        <v>3377.82</v>
      </c>
      <c r="M34" s="3"/>
      <c r="N34" s="7">
        <f t="shared" si="3"/>
        <v>0</v>
      </c>
      <c r="O34" s="9"/>
      <c r="P34" s="6">
        <v>31849.03</v>
      </c>
      <c r="Q34" s="3"/>
      <c r="R34" s="7">
        <f t="shared" si="4"/>
        <v>0.10597772503316687</v>
      </c>
      <c r="S34" s="3"/>
      <c r="T34" s="6"/>
      <c r="U34" s="3"/>
      <c r="V34" s="7">
        <f t="shared" si="5"/>
        <v>0</v>
      </c>
      <c r="W34" s="3"/>
      <c r="X34" s="6">
        <f t="shared" si="6"/>
        <v>31849.03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1"/>
      <c r="B35" s="9" t="str">
        <f>CONCATENATE("          ","6007"," - ","STUDENT HOURLY")</f>
        <v xml:space="preserve">          6007 - STUDENT HOURLY</v>
      </c>
      <c r="C35" s="9"/>
      <c r="D35" s="6">
        <v>481.65</v>
      </c>
      <c r="E35" s="3"/>
      <c r="F35" s="7">
        <f t="shared" si="0"/>
        <v>3.7706676269806477E-2</v>
      </c>
      <c r="G35" s="3"/>
      <c r="H35" s="6"/>
      <c r="I35" s="3"/>
      <c r="J35" s="7">
        <f t="shared" si="1"/>
        <v>0</v>
      </c>
      <c r="K35" s="3"/>
      <c r="L35" s="6">
        <f t="shared" si="2"/>
        <v>481.65</v>
      </c>
      <c r="M35" s="3"/>
      <c r="N35" s="7">
        <f t="shared" si="3"/>
        <v>0</v>
      </c>
      <c r="O35" s="9"/>
      <c r="P35" s="6">
        <v>37517.879999999997</v>
      </c>
      <c r="Q35" s="3"/>
      <c r="R35" s="7">
        <f t="shared" si="4"/>
        <v>0.12484083723954389</v>
      </c>
      <c r="S35" s="3"/>
      <c r="T35" s="6"/>
      <c r="U35" s="3"/>
      <c r="V35" s="7">
        <f t="shared" si="5"/>
        <v>0</v>
      </c>
      <c r="W35" s="3"/>
      <c r="X35" s="6">
        <f t="shared" si="6"/>
        <v>37517.879999999997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0"/>
      <c r="B36" s="11" t="str">
        <f>CONCATENATE("     ","Advertising/Promo                                 ")</f>
        <v xml:space="preserve">     Advertising/Promo                                 </v>
      </c>
      <c r="C36" s="11"/>
      <c r="D36" s="2">
        <f>SUM(OSRRefD22_2x_0)</f>
        <v>0</v>
      </c>
      <c r="E36" s="2"/>
      <c r="F36" s="5">
        <f t="shared" si="0"/>
        <v>0</v>
      </c>
      <c r="G36" s="2"/>
      <c r="H36" s="2">
        <f>SUM(OSRRefH22_2x_0)</f>
        <v>0</v>
      </c>
      <c r="I36" s="2"/>
      <c r="J36" s="5">
        <f t="shared" si="1"/>
        <v>0</v>
      </c>
      <c r="K36" s="2"/>
      <c r="L36" s="2">
        <f t="shared" si="2"/>
        <v>0</v>
      </c>
      <c r="M36" s="2"/>
      <c r="N36" s="5">
        <f t="shared" si="3"/>
        <v>0</v>
      </c>
      <c r="O36" s="11"/>
      <c r="P36" s="2">
        <f>SUM(OSRRefP22_2x_0)</f>
        <v>91.22</v>
      </c>
      <c r="Q36" s="2"/>
      <c r="R36" s="5">
        <f t="shared" si="4"/>
        <v>3.0353477256687196E-4</v>
      </c>
      <c r="S36" s="2"/>
      <c r="T36" s="2">
        <f>SUM(OSRRefT22_2x_0)</f>
        <v>0</v>
      </c>
      <c r="U36" s="2"/>
      <c r="V36" s="5">
        <f t="shared" si="5"/>
        <v>0</v>
      </c>
      <c r="W36" s="2"/>
      <c r="X36" s="2">
        <f t="shared" si="6"/>
        <v>91.22</v>
      </c>
      <c r="Y36" s="2"/>
      <c r="Z36" s="5">
        <f t="shared" si="7"/>
        <v>0</v>
      </c>
    </row>
    <row r="37" spans="1:26" s="69" customFormat="1" ht="15" hidden="1" customHeight="1" outlineLevel="2" x14ac:dyDescent="0.3">
      <c r="A37" s="21"/>
      <c r="B37" s="9" t="str">
        <f>CONCATENATE("          ","6362"," - ","ADVERTISING EXPENSE")</f>
        <v xml:space="preserve">          6362 - ADVERTISING EXPENSE</v>
      </c>
      <c r="C37" s="9"/>
      <c r="D37" s="6"/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>
        <v>91.22</v>
      </c>
      <c r="Q37" s="3"/>
      <c r="R37" s="7">
        <f t="shared" si="4"/>
        <v>3.0353477256687196E-4</v>
      </c>
      <c r="S37" s="3"/>
      <c r="T37" s="6"/>
      <c r="U37" s="3"/>
      <c r="V37" s="7">
        <f t="shared" si="5"/>
        <v>0</v>
      </c>
      <c r="W37" s="3"/>
      <c r="X37" s="6">
        <f t="shared" si="6"/>
        <v>91.22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0"/>
      <c r="B38" s="11" t="str">
        <f>CONCATENATE("     ","Bad Debts/Over/Short                              ")</f>
        <v xml:space="preserve">     Bad Debts/Over/Short                              </v>
      </c>
      <c r="C38" s="11"/>
      <c r="D38" s="2">
        <f>SUM(OSRRefD22_3x_0)</f>
        <v>-97.24</v>
      </c>
      <c r="E38" s="2"/>
      <c r="F38" s="5">
        <f t="shared" si="0"/>
        <v>-7.6125759378718608E-3</v>
      </c>
      <c r="G38" s="2"/>
      <c r="H38" s="2">
        <f>SUM(OSRRefH22_3x_0)</f>
        <v>0</v>
      </c>
      <c r="I38" s="2"/>
      <c r="J38" s="5">
        <f t="shared" si="1"/>
        <v>0</v>
      </c>
      <c r="K38" s="2"/>
      <c r="L38" s="2">
        <f t="shared" si="2"/>
        <v>-97.24</v>
      </c>
      <c r="M38" s="2"/>
      <c r="N38" s="5">
        <f t="shared" si="3"/>
        <v>0</v>
      </c>
      <c r="O38" s="11"/>
      <c r="P38" s="2">
        <f>SUM(OSRRefP22_3x_0)</f>
        <v>-106.88</v>
      </c>
      <c r="Q38" s="2"/>
      <c r="R38" s="5">
        <f t="shared" si="4"/>
        <v>-3.556434607755676E-4</v>
      </c>
      <c r="S38" s="2"/>
      <c r="T38" s="2">
        <f>SUM(OSRRefT22_3x_0)</f>
        <v>0</v>
      </c>
      <c r="U38" s="2"/>
      <c r="V38" s="5">
        <f t="shared" si="5"/>
        <v>0</v>
      </c>
      <c r="W38" s="2"/>
      <c r="X38" s="2">
        <f t="shared" si="6"/>
        <v>-106.88</v>
      </c>
      <c r="Y38" s="2"/>
      <c r="Z38" s="5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","6272"," - ","CASH (OVER/SHORT)")</f>
        <v xml:space="preserve">          6272 - CASH (OVER/SHORT)</v>
      </c>
      <c r="C39" s="9"/>
      <c r="D39" s="6">
        <v>-97.24</v>
      </c>
      <c r="E39" s="3"/>
      <c r="F39" s="7">
        <f t="shared" si="0"/>
        <v>-7.6125759378718608E-3</v>
      </c>
      <c r="G39" s="3"/>
      <c r="H39" s="6"/>
      <c r="I39" s="3"/>
      <c r="J39" s="7">
        <f t="shared" si="1"/>
        <v>0</v>
      </c>
      <c r="K39" s="3"/>
      <c r="L39" s="6">
        <f t="shared" si="2"/>
        <v>-97.24</v>
      </c>
      <c r="M39" s="3"/>
      <c r="N39" s="7">
        <f t="shared" si="3"/>
        <v>0</v>
      </c>
      <c r="O39" s="9"/>
      <c r="P39" s="6">
        <v>-106.88</v>
      </c>
      <c r="Q39" s="3"/>
      <c r="R39" s="7">
        <f t="shared" si="4"/>
        <v>-3.556434607755676E-4</v>
      </c>
      <c r="S39" s="3"/>
      <c r="T39" s="6"/>
      <c r="U39" s="3"/>
      <c r="V39" s="7">
        <f t="shared" si="5"/>
        <v>0</v>
      </c>
      <c r="W39" s="3"/>
      <c r="X39" s="6">
        <f t="shared" si="6"/>
        <v>-106.88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0"/>
      <c r="B40" s="11" t="str">
        <f>CONCATENATE("     ","Bank/card Fees                                    ")</f>
        <v xml:space="preserve">     Bank/card Fees                                    </v>
      </c>
      <c r="C40" s="11"/>
      <c r="D40" s="2">
        <f>SUM(OSRRefD22_4x_0)</f>
        <v>465.94</v>
      </c>
      <c r="E40" s="2"/>
      <c r="F40" s="5">
        <f t="shared" si="0"/>
        <v>3.6476795891526276E-2</v>
      </c>
      <c r="G40" s="2"/>
      <c r="H40" s="2">
        <f>SUM(OSRRefH22_4x_0)</f>
        <v>0</v>
      </c>
      <c r="I40" s="2"/>
      <c r="J40" s="5">
        <f t="shared" si="1"/>
        <v>0</v>
      </c>
      <c r="K40" s="2"/>
      <c r="L40" s="2">
        <f t="shared" si="2"/>
        <v>465.94</v>
      </c>
      <c r="M40" s="2"/>
      <c r="N40" s="5">
        <f t="shared" si="3"/>
        <v>0</v>
      </c>
      <c r="O40" s="11"/>
      <c r="P40" s="2">
        <f>SUM(OSRRefP22_4x_0)</f>
        <v>11977.17</v>
      </c>
      <c r="Q40" s="2"/>
      <c r="R40" s="5">
        <f t="shared" si="4"/>
        <v>3.9854062397991254E-2</v>
      </c>
      <c r="S40" s="2"/>
      <c r="T40" s="2">
        <f>SUM(OSRRefT22_4x_0)</f>
        <v>0</v>
      </c>
      <c r="U40" s="2"/>
      <c r="V40" s="5">
        <f t="shared" si="5"/>
        <v>0</v>
      </c>
      <c r="W40" s="2"/>
      <c r="X40" s="2">
        <f t="shared" si="6"/>
        <v>11977.17</v>
      </c>
      <c r="Y40" s="2"/>
      <c r="Z40" s="5">
        <f t="shared" si="7"/>
        <v>0</v>
      </c>
    </row>
    <row r="41" spans="1:26" s="69" customFormat="1" ht="15" hidden="1" customHeight="1" outlineLevel="2" x14ac:dyDescent="0.3">
      <c r="A41" s="21"/>
      <c r="B41" s="9" t="str">
        <f>CONCATENATE("          ","6381"," - ","BANK/CREDIT CARD FEES")</f>
        <v xml:space="preserve">          6381 - BANK/CREDIT CARD FEES</v>
      </c>
      <c r="C41" s="9"/>
      <c r="D41" s="6">
        <v>465.94</v>
      </c>
      <c r="E41" s="3"/>
      <c r="F41" s="7">
        <f t="shared" si="0"/>
        <v>3.6476795891526276E-2</v>
      </c>
      <c r="G41" s="3"/>
      <c r="H41" s="6"/>
      <c r="I41" s="3"/>
      <c r="J41" s="7">
        <f t="shared" si="1"/>
        <v>0</v>
      </c>
      <c r="K41" s="3"/>
      <c r="L41" s="6">
        <f t="shared" si="2"/>
        <v>465.94</v>
      </c>
      <c r="M41" s="3"/>
      <c r="N41" s="7">
        <f t="shared" si="3"/>
        <v>0</v>
      </c>
      <c r="O41" s="9"/>
      <c r="P41" s="6">
        <v>11977.17</v>
      </c>
      <c r="Q41" s="3"/>
      <c r="R41" s="7">
        <f t="shared" si="4"/>
        <v>3.9854062397991254E-2</v>
      </c>
      <c r="S41" s="3"/>
      <c r="T41" s="6"/>
      <c r="U41" s="3"/>
      <c r="V41" s="7">
        <f t="shared" si="5"/>
        <v>0</v>
      </c>
      <c r="W41" s="3"/>
      <c r="X41" s="6">
        <f t="shared" si="6"/>
        <v>11977.17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0"/>
      <c r="B42" s="11" t="str">
        <f>CONCATENATE("     ","Depreciation                                      ")</f>
        <v xml:space="preserve">     Depreciation                                      </v>
      </c>
      <c r="C42" s="11"/>
      <c r="D42" s="2">
        <f>SUM(OSRRefD22_5x_0)</f>
        <v>5471.12</v>
      </c>
      <c r="E42" s="2"/>
      <c r="F42" s="5">
        <f t="shared" si="0"/>
        <v>0.42831464896348725</v>
      </c>
      <c r="G42" s="2"/>
      <c r="H42" s="2">
        <f>SUM(OSRRefH22_5x_0)</f>
        <v>5471.12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SUM(OSRRefP22_5x_0)</f>
        <v>65654.429999999993</v>
      </c>
      <c r="Q42" s="2"/>
      <c r="R42" s="5">
        <f t="shared" si="4"/>
        <v>0.21846527601466362</v>
      </c>
      <c r="S42" s="2"/>
      <c r="T42" s="2">
        <f>SUM(OSRRefT22_5x_0)</f>
        <v>66099.929999999993</v>
      </c>
      <c r="U42" s="2"/>
      <c r="V42" s="5">
        <f t="shared" si="5"/>
        <v>0</v>
      </c>
      <c r="W42" s="2"/>
      <c r="X42" s="2">
        <f t="shared" si="6"/>
        <v>-445.5</v>
      </c>
      <c r="Y42" s="2"/>
      <c r="Z42" s="5">
        <f t="shared" si="7"/>
        <v>-6.7397953371508869E-3</v>
      </c>
    </row>
    <row r="43" spans="1:26" s="69" customFormat="1" ht="15" hidden="1" customHeight="1" outlineLevel="2" x14ac:dyDescent="0.3">
      <c r="A43" s="21"/>
      <c r="B43" s="9" t="str">
        <f>CONCATENATE("          ","6321"," - ","BUILDING DEPRECIATION")</f>
        <v xml:space="preserve">          6321 - BUILDING DEPRECIATION</v>
      </c>
      <c r="C43" s="9"/>
      <c r="D43" s="6">
        <v>5080.4799999999996</v>
      </c>
      <c r="E43" s="3"/>
      <c r="F43" s="7">
        <f t="shared" si="0"/>
        <v>0.39773282394939563</v>
      </c>
      <c r="G43" s="3"/>
      <c r="H43" s="6">
        <v>5080.4799999999996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60966.09</v>
      </c>
      <c r="Q43" s="3"/>
      <c r="R43" s="7">
        <f t="shared" si="4"/>
        <v>0.20286481322562427</v>
      </c>
      <c r="S43" s="3"/>
      <c r="T43" s="6">
        <v>60966.09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69" customFormat="1" ht="15" hidden="1" customHeight="1" outlineLevel="2" x14ac:dyDescent="0.3">
      <c r="A44" s="21"/>
      <c r="B44" s="9" t="str">
        <f>CONCATENATE("          ","6322"," - ","EQUIPMENT DEPRECIATION EXPENSE")</f>
        <v xml:space="preserve">          6322 - EQUIPMENT DEPRECIATION EXPENSE</v>
      </c>
      <c r="C44" s="9"/>
      <c r="D44" s="6">
        <v>390.64</v>
      </c>
      <c r="E44" s="3"/>
      <c r="F44" s="7">
        <f t="shared" si="0"/>
        <v>3.0581825014091565E-2</v>
      </c>
      <c r="G44" s="3"/>
      <c r="H44" s="6">
        <v>390.64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4688.34</v>
      </c>
      <c r="Q44" s="3"/>
      <c r="R44" s="7">
        <f t="shared" si="4"/>
        <v>1.560046278903934E-2</v>
      </c>
      <c r="S44" s="3"/>
      <c r="T44" s="6">
        <v>5133.84</v>
      </c>
      <c r="U44" s="3"/>
      <c r="V44" s="7">
        <f t="shared" si="5"/>
        <v>0</v>
      </c>
      <c r="W44" s="3"/>
      <c r="X44" s="6">
        <f t="shared" si="6"/>
        <v>-445.5</v>
      </c>
      <c r="Y44" s="3"/>
      <c r="Z44" s="7">
        <f t="shared" si="7"/>
        <v>-8.6777149268383896E-2</v>
      </c>
    </row>
    <row r="45" spans="1:26" s="68" customFormat="1" ht="15" customHeight="1" outlineLevel="1" collapsed="1" x14ac:dyDescent="0.3">
      <c r="A45" s="20"/>
      <c r="B45" s="11" t="str">
        <f>CONCATENATE("     ","Employees' Appreciation                           ")</f>
        <v xml:space="preserve">     Employees' Appreciation                           </v>
      </c>
      <c r="C45" s="11"/>
      <c r="D45" s="2">
        <f>SUM(OSRRefD22_6x_0)</f>
        <v>0</v>
      </c>
      <c r="E45" s="2"/>
      <c r="F45" s="5">
        <f t="shared" si="0"/>
        <v>0</v>
      </c>
      <c r="G45" s="2"/>
      <c r="H45" s="2">
        <f>SUM(OSRRefH22_6x_0)</f>
        <v>0</v>
      </c>
      <c r="I45" s="2"/>
      <c r="J45" s="5">
        <f t="shared" si="1"/>
        <v>0</v>
      </c>
      <c r="K45" s="2"/>
      <c r="L45" s="2">
        <f t="shared" si="2"/>
        <v>0</v>
      </c>
      <c r="M45" s="2"/>
      <c r="N45" s="5">
        <f t="shared" si="3"/>
        <v>0</v>
      </c>
      <c r="O45" s="11"/>
      <c r="P45" s="2">
        <f>SUM(OSRRefP22_6x_0)</f>
        <v>16.2</v>
      </c>
      <c r="Q45" s="2"/>
      <c r="R45" s="5">
        <f t="shared" si="4"/>
        <v>5.3905539526236851E-5</v>
      </c>
      <c r="S45" s="2"/>
      <c r="T45" s="2">
        <f>SUM(OSRRefT22_6x_0)</f>
        <v>0</v>
      </c>
      <c r="U45" s="2"/>
      <c r="V45" s="5">
        <f t="shared" si="5"/>
        <v>0</v>
      </c>
      <c r="W45" s="2"/>
      <c r="X45" s="2">
        <f t="shared" si="6"/>
        <v>16.2</v>
      </c>
      <c r="Y45" s="2"/>
      <c r="Z45" s="5">
        <f t="shared" si="7"/>
        <v>0</v>
      </c>
    </row>
    <row r="46" spans="1:26" s="69" customFormat="1" ht="15" hidden="1" customHeight="1" outlineLevel="2" x14ac:dyDescent="0.3">
      <c r="A46" s="21"/>
      <c r="B46" s="9" t="str">
        <f>CONCATENATE("          ","6277"," - ","EMPLOYEE APPRECIATION")</f>
        <v xml:space="preserve">          6277 - EMPLOYEE APPRECIATION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16.2</v>
      </c>
      <c r="Q46" s="3"/>
      <c r="R46" s="7">
        <f t="shared" si="4"/>
        <v>5.3905539526236851E-5</v>
      </c>
      <c r="S46" s="3"/>
      <c r="T46" s="6"/>
      <c r="U46" s="3"/>
      <c r="V46" s="7">
        <f t="shared" si="5"/>
        <v>0</v>
      </c>
      <c r="W46" s="3"/>
      <c r="X46" s="6">
        <f t="shared" si="6"/>
        <v>16.2</v>
      </c>
      <c r="Y46" s="3"/>
      <c r="Z46" s="7">
        <f t="shared" si="7"/>
        <v>0</v>
      </c>
    </row>
    <row r="47" spans="1:26" s="68" customFormat="1" ht="15" customHeight="1" outlineLevel="1" collapsed="1" x14ac:dyDescent="0.3">
      <c r="A47" s="20"/>
      <c r="B47" s="11" t="str">
        <f>CONCATENATE("     ","Equipment Rental                                  ")</f>
        <v xml:space="preserve">     Equipment Rental                                  </v>
      </c>
      <c r="C47" s="11"/>
      <c r="D47" s="2">
        <f>SUM(OSRRefD22_7x_0)</f>
        <v>0</v>
      </c>
      <c r="E47" s="2"/>
      <c r="F47" s="5">
        <f t="shared" si="0"/>
        <v>0</v>
      </c>
      <c r="G47" s="2"/>
      <c r="H47" s="2">
        <f>SUM(OSRRefH22_7x_0)</f>
        <v>0</v>
      </c>
      <c r="I47" s="2"/>
      <c r="J47" s="5">
        <f t="shared" si="1"/>
        <v>0</v>
      </c>
      <c r="K47" s="2"/>
      <c r="L47" s="2">
        <f t="shared" si="2"/>
        <v>0</v>
      </c>
      <c r="M47" s="2"/>
      <c r="N47" s="5">
        <f t="shared" si="3"/>
        <v>0</v>
      </c>
      <c r="O47" s="11"/>
      <c r="P47" s="2">
        <f>SUM(OSRRefP22_7x_0)</f>
        <v>0</v>
      </c>
      <c r="Q47" s="2"/>
      <c r="R47" s="5">
        <f t="shared" si="4"/>
        <v>0</v>
      </c>
      <c r="S47" s="2"/>
      <c r="T47" s="2">
        <f>SUM(OSRRefT22_7x_0)</f>
        <v>605.35</v>
      </c>
      <c r="U47" s="2"/>
      <c r="V47" s="5">
        <f t="shared" si="5"/>
        <v>0</v>
      </c>
      <c r="W47" s="2"/>
      <c r="X47" s="2">
        <f t="shared" si="6"/>
        <v>-605.35</v>
      </c>
      <c r="Y47" s="2"/>
      <c r="Z47" s="5">
        <f t="shared" si="7"/>
        <v>-1</v>
      </c>
    </row>
    <row r="48" spans="1:26" s="69" customFormat="1" ht="15" hidden="1" customHeight="1" outlineLevel="2" x14ac:dyDescent="0.3">
      <c r="A48" s="21"/>
      <c r="B48" s="9" t="str">
        <f>CONCATENATE("          ","6351"," - ","EQUIPMENT RENTAL")</f>
        <v xml:space="preserve">          6351 - EQUIPMENT RENTAL</v>
      </c>
      <c r="C48" s="9"/>
      <c r="D48" s="6"/>
      <c r="E48" s="3"/>
      <c r="F48" s="7">
        <f t="shared" si="0"/>
        <v>0</v>
      </c>
      <c r="G48" s="3"/>
      <c r="H48" s="6"/>
      <c r="I48" s="3"/>
      <c r="J48" s="7">
        <f t="shared" si="1"/>
        <v>0</v>
      </c>
      <c r="K48" s="3"/>
      <c r="L48" s="6">
        <f t="shared" si="2"/>
        <v>0</v>
      </c>
      <c r="M48" s="3"/>
      <c r="N48" s="7">
        <f t="shared" si="3"/>
        <v>0</v>
      </c>
      <c r="O48" s="9"/>
      <c r="P48" s="6"/>
      <c r="Q48" s="3"/>
      <c r="R48" s="7">
        <f t="shared" si="4"/>
        <v>0</v>
      </c>
      <c r="S48" s="3"/>
      <c r="T48" s="6">
        <v>605.35</v>
      </c>
      <c r="U48" s="3"/>
      <c r="V48" s="7">
        <f t="shared" si="5"/>
        <v>0</v>
      </c>
      <c r="W48" s="3"/>
      <c r="X48" s="6">
        <f t="shared" si="6"/>
        <v>-605.35</v>
      </c>
      <c r="Y48" s="3"/>
      <c r="Z48" s="7">
        <f t="shared" si="7"/>
        <v>-1</v>
      </c>
    </row>
    <row r="49" spans="1:26" s="68" customFormat="1" ht="15" customHeight="1" outlineLevel="1" collapsed="1" x14ac:dyDescent="0.3">
      <c r="A49" s="20"/>
      <c r="B49" s="11" t="str">
        <f>CONCATENATE("     ","General                                           ")</f>
        <v xml:space="preserve">     General                                           </v>
      </c>
      <c r="C49" s="11"/>
      <c r="D49" s="2">
        <f>SUM(OSRRefD22_8x_0)</f>
        <v>0</v>
      </c>
      <c r="E49" s="2"/>
      <c r="F49" s="5">
        <f t="shared" si="0"/>
        <v>0</v>
      </c>
      <c r="G49" s="2"/>
      <c r="H49" s="2">
        <f>SUM(OSRRefH22_8x_0)</f>
        <v>0</v>
      </c>
      <c r="I49" s="2"/>
      <c r="J49" s="5">
        <f t="shared" si="1"/>
        <v>0</v>
      </c>
      <c r="K49" s="2"/>
      <c r="L49" s="2">
        <f t="shared" si="2"/>
        <v>0</v>
      </c>
      <c r="M49" s="2"/>
      <c r="N49" s="5">
        <f t="shared" si="3"/>
        <v>0</v>
      </c>
      <c r="O49" s="11"/>
      <c r="P49" s="2">
        <f>SUM(OSRRefP22_8x_0)</f>
        <v>1002.45</v>
      </c>
      <c r="Q49" s="2"/>
      <c r="R49" s="5">
        <f t="shared" si="4"/>
        <v>3.3356548208688976E-3</v>
      </c>
      <c r="S49" s="2"/>
      <c r="T49" s="2">
        <f>SUM(OSRRefT22_8x_0)</f>
        <v>914.55</v>
      </c>
      <c r="U49" s="2"/>
      <c r="V49" s="5">
        <f t="shared" si="5"/>
        <v>0</v>
      </c>
      <c r="W49" s="2"/>
      <c r="X49" s="2">
        <f t="shared" si="6"/>
        <v>87.900000000000091</v>
      </c>
      <c r="Y49" s="2"/>
      <c r="Z49" s="5">
        <f t="shared" si="7"/>
        <v>9.6112842381499197E-2</v>
      </c>
    </row>
    <row r="50" spans="1:26" s="69" customFormat="1" ht="15" hidden="1" customHeight="1" outlineLevel="2" x14ac:dyDescent="0.3">
      <c r="A50" s="21"/>
      <c r="B50" s="9" t="str">
        <f>CONCATENATE("          ","6279"," - ","GENERAL EXPENSE")</f>
        <v xml:space="preserve">          6279 - GENERAL EXPENSE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1002.45</v>
      </c>
      <c r="Q50" s="3"/>
      <c r="R50" s="7">
        <f t="shared" si="4"/>
        <v>3.3356548208688976E-3</v>
      </c>
      <c r="S50" s="3"/>
      <c r="T50" s="6">
        <v>914.55</v>
      </c>
      <c r="U50" s="3"/>
      <c r="V50" s="7">
        <f t="shared" si="5"/>
        <v>0</v>
      </c>
      <c r="W50" s="3"/>
      <c r="X50" s="6">
        <f t="shared" si="6"/>
        <v>87.900000000000091</v>
      </c>
      <c r="Y50" s="3"/>
      <c r="Z50" s="7">
        <f t="shared" si="7"/>
        <v>9.6112842381499197E-2</v>
      </c>
    </row>
    <row r="51" spans="1:26" s="68" customFormat="1" ht="15" customHeight="1" outlineLevel="1" collapsed="1" x14ac:dyDescent="0.3">
      <c r="A51" s="20"/>
      <c r="B51" s="11" t="str">
        <f>CONCATENATE("     ","Insurance                                         ")</f>
        <v xml:space="preserve">     Insurance                                         </v>
      </c>
      <c r="C51" s="11"/>
      <c r="D51" s="2">
        <f>SUM(OSRRefD22_9x_0)</f>
        <v>-102.81</v>
      </c>
      <c r="E51" s="2"/>
      <c r="F51" s="5">
        <f t="shared" si="0"/>
        <v>-8.0486315525771911E-3</v>
      </c>
      <c r="G51" s="2"/>
      <c r="H51" s="2">
        <f>SUM(OSRRefH22_9x_0)</f>
        <v>522.85</v>
      </c>
      <c r="I51" s="2"/>
      <c r="J51" s="5">
        <f t="shared" si="1"/>
        <v>0</v>
      </c>
      <c r="K51" s="2"/>
      <c r="L51" s="2">
        <f t="shared" si="2"/>
        <v>-625.66000000000008</v>
      </c>
      <c r="M51" s="2"/>
      <c r="N51" s="5">
        <f t="shared" si="3"/>
        <v>-1.1966338337955438</v>
      </c>
      <c r="O51" s="11"/>
      <c r="P51" s="2">
        <f>SUM(OSRRefP22_9x_0)</f>
        <v>3538.3</v>
      </c>
      <c r="Q51" s="2"/>
      <c r="R51" s="5">
        <f t="shared" si="4"/>
        <v>1.1773701883066905E-2</v>
      </c>
      <c r="S51" s="2"/>
      <c r="T51" s="2">
        <f>SUM(OSRRefT22_9x_0)</f>
        <v>3201.79</v>
      </c>
      <c r="U51" s="2"/>
      <c r="V51" s="5">
        <f t="shared" si="5"/>
        <v>0</v>
      </c>
      <c r="W51" s="2"/>
      <c r="X51" s="2">
        <f t="shared" si="6"/>
        <v>336.51000000000022</v>
      </c>
      <c r="Y51" s="2"/>
      <c r="Z51" s="5">
        <f t="shared" si="7"/>
        <v>0.10510058436062335</v>
      </c>
    </row>
    <row r="52" spans="1:26" s="69" customFormat="1" ht="15" hidden="1" customHeight="1" outlineLevel="2" x14ac:dyDescent="0.3">
      <c r="A52" s="21"/>
      <c r="B52" s="9" t="str">
        <f>CONCATENATE("          ","6314"," - ","LIABILITY INSURANCE")</f>
        <v xml:space="preserve">          6314 - LIABILITY INSURANCE</v>
      </c>
      <c r="C52" s="9"/>
      <c r="D52" s="6">
        <v>-102.81</v>
      </c>
      <c r="E52" s="3"/>
      <c r="F52" s="7">
        <f t="shared" si="0"/>
        <v>-8.0486315525771911E-3</v>
      </c>
      <c r="G52" s="3"/>
      <c r="H52" s="6">
        <v>522.85</v>
      </c>
      <c r="I52" s="3"/>
      <c r="J52" s="7">
        <f t="shared" si="1"/>
        <v>0</v>
      </c>
      <c r="K52" s="3"/>
      <c r="L52" s="6">
        <f t="shared" si="2"/>
        <v>-625.66000000000008</v>
      </c>
      <c r="M52" s="3"/>
      <c r="N52" s="7">
        <f t="shared" si="3"/>
        <v>-1.1966338337955438</v>
      </c>
      <c r="O52" s="9"/>
      <c r="P52" s="6">
        <v>3538.3</v>
      </c>
      <c r="Q52" s="3"/>
      <c r="R52" s="7">
        <f t="shared" si="4"/>
        <v>1.1773701883066905E-2</v>
      </c>
      <c r="S52" s="3"/>
      <c r="T52" s="6">
        <v>3201.79</v>
      </c>
      <c r="U52" s="3"/>
      <c r="V52" s="7">
        <f t="shared" si="5"/>
        <v>0</v>
      </c>
      <c r="W52" s="3"/>
      <c r="X52" s="6">
        <f t="shared" si="6"/>
        <v>336.51000000000022</v>
      </c>
      <c r="Y52" s="3"/>
      <c r="Z52" s="7">
        <f t="shared" si="7"/>
        <v>0.10510058436062335</v>
      </c>
    </row>
    <row r="53" spans="1:26" s="68" customFormat="1" ht="15" customHeight="1" outlineLevel="1" collapsed="1" x14ac:dyDescent="0.3">
      <c r="A53" s="20"/>
      <c r="B53" s="11" t="str">
        <f>CONCATENATE("     ","Interest                                          ")</f>
        <v xml:space="preserve">     Interest                                          </v>
      </c>
      <c r="C53" s="11"/>
      <c r="D53" s="2">
        <f>SUM(OSRRefD22_10x_0)</f>
        <v>3905</v>
      </c>
      <c r="E53" s="2"/>
      <c r="F53" s="5">
        <f t="shared" si="0"/>
        <v>0.30570864908874557</v>
      </c>
      <c r="G53" s="2"/>
      <c r="H53" s="2">
        <f>SUM(OSRRefH22_10x_0)</f>
        <v>-439.07</v>
      </c>
      <c r="I53" s="2"/>
      <c r="J53" s="5">
        <f t="shared" si="1"/>
        <v>0</v>
      </c>
      <c r="K53" s="2"/>
      <c r="L53" s="2">
        <f t="shared" si="2"/>
        <v>4344.07</v>
      </c>
      <c r="M53" s="2"/>
      <c r="N53" s="5">
        <f t="shared" si="3"/>
        <v>-9.8937982554034658</v>
      </c>
      <c r="O53" s="11"/>
      <c r="P53" s="2">
        <f>SUM(OSRRefP22_10x_0)</f>
        <v>45710</v>
      </c>
      <c r="Q53" s="2"/>
      <c r="R53" s="5">
        <f t="shared" si="4"/>
        <v>0.1521001365274251</v>
      </c>
      <c r="S53" s="2"/>
      <c r="T53" s="2">
        <f>SUM(OSRRefT22_10x_0)</f>
        <v>42951.78</v>
      </c>
      <c r="U53" s="2"/>
      <c r="V53" s="5">
        <f t="shared" si="5"/>
        <v>0</v>
      </c>
      <c r="W53" s="2"/>
      <c r="X53" s="2">
        <f t="shared" si="6"/>
        <v>2758.2200000000012</v>
      </c>
      <c r="Y53" s="2"/>
      <c r="Z53" s="5">
        <f t="shared" si="7"/>
        <v>6.4216663430479506E-2</v>
      </c>
    </row>
    <row r="54" spans="1:26" s="69" customFormat="1" ht="15" hidden="1" customHeight="1" outlineLevel="2" x14ac:dyDescent="0.3">
      <c r="A54" s="21"/>
      <c r="B54" s="9" t="str">
        <f>CONCATENATE("          ","6401"," - ","INTEREST EXPENSE")</f>
        <v xml:space="preserve">          6401 - INTEREST EXPENSE</v>
      </c>
      <c r="C54" s="9"/>
      <c r="D54" s="6">
        <v>3905</v>
      </c>
      <c r="E54" s="3"/>
      <c r="F54" s="7">
        <f t="shared" ref="F54:F75" si="8">IF(D$12=0,0,D54/D$12)</f>
        <v>0.30570864908874557</v>
      </c>
      <c r="G54" s="3"/>
      <c r="H54" s="6">
        <v>-439.07</v>
      </c>
      <c r="I54" s="3"/>
      <c r="J54" s="7">
        <f t="shared" ref="J54:J75" si="9">IF(H$12=0,0,H54/H$12)</f>
        <v>0</v>
      </c>
      <c r="K54" s="3"/>
      <c r="L54" s="6">
        <f t="shared" ref="L54:L75" si="10">+D54-H54</f>
        <v>4344.07</v>
      </c>
      <c r="M54" s="3"/>
      <c r="N54" s="7">
        <f t="shared" ref="N54:N75" si="11">IF(H54=0,0,L54/H54)</f>
        <v>-9.8937982554034658</v>
      </c>
      <c r="O54" s="9"/>
      <c r="P54" s="6">
        <v>45710</v>
      </c>
      <c r="Q54" s="3"/>
      <c r="R54" s="7">
        <f t="shared" ref="R54:R75" si="12">IF(P$12=0,0,P54/P$12)</f>
        <v>0.1521001365274251</v>
      </c>
      <c r="S54" s="3"/>
      <c r="T54" s="6">
        <v>42951.78</v>
      </c>
      <c r="U54" s="3"/>
      <c r="V54" s="7">
        <f t="shared" ref="V54:V75" si="13">IF(T$12=0,0,T54/T$12)</f>
        <v>0</v>
      </c>
      <c r="W54" s="3"/>
      <c r="X54" s="6">
        <f t="shared" ref="X54:X75" si="14">+P54-T54</f>
        <v>2758.2200000000012</v>
      </c>
      <c r="Y54" s="3"/>
      <c r="Z54" s="7">
        <f t="shared" ref="Z54:Z75" si="15">IF(T54=0,0,X54/T54)</f>
        <v>6.4216663430479506E-2</v>
      </c>
    </row>
    <row r="55" spans="1:26" s="68" customFormat="1" ht="15" customHeight="1" outlineLevel="1" collapsed="1" x14ac:dyDescent="0.3">
      <c r="A55" s="20"/>
      <c r="B55" s="11" t="str">
        <f>CONCATENATE("     ","Repair and Maintenance                            ")</f>
        <v xml:space="preserve">     Repair and Maintenance                            </v>
      </c>
      <c r="C55" s="11"/>
      <c r="D55" s="2">
        <f>SUM(OSRRefD22_11x_0)</f>
        <v>1489.02</v>
      </c>
      <c r="E55" s="2"/>
      <c r="F55" s="5">
        <f t="shared" si="8"/>
        <v>0.11657011335880255</v>
      </c>
      <c r="G55" s="2"/>
      <c r="H55" s="2">
        <f>SUM(OSRRefH22_11x_0)</f>
        <v>107.78</v>
      </c>
      <c r="I55" s="2"/>
      <c r="J55" s="5">
        <f t="shared" si="9"/>
        <v>0</v>
      </c>
      <c r="K55" s="2"/>
      <c r="L55" s="2">
        <f t="shared" si="10"/>
        <v>1381.24</v>
      </c>
      <c r="M55" s="2"/>
      <c r="N55" s="5">
        <f t="shared" si="11"/>
        <v>12.815364631657079</v>
      </c>
      <c r="O55" s="11"/>
      <c r="P55" s="2">
        <f>SUM(OSRRefP22_11x_0)</f>
        <v>4383.95</v>
      </c>
      <c r="Q55" s="2"/>
      <c r="R55" s="5">
        <f t="shared" si="12"/>
        <v>1.4587604321360867E-2</v>
      </c>
      <c r="S55" s="2"/>
      <c r="T55" s="2">
        <f>SUM(OSRRefT22_11x_0)</f>
        <v>950.06999999999994</v>
      </c>
      <c r="U55" s="2"/>
      <c r="V55" s="5">
        <f t="shared" si="13"/>
        <v>0</v>
      </c>
      <c r="W55" s="2"/>
      <c r="X55" s="2">
        <f t="shared" si="14"/>
        <v>3433.88</v>
      </c>
      <c r="Y55" s="2"/>
      <c r="Z55" s="5">
        <f t="shared" si="15"/>
        <v>3.6143442062163844</v>
      </c>
    </row>
    <row r="56" spans="1:26" s="69" customFormat="1" ht="15" hidden="1" customHeight="1" outlineLevel="2" x14ac:dyDescent="0.3">
      <c r="A56" s="21"/>
      <c r="B56" s="9" t="str">
        <f>CONCATENATE("          ","6373"," - ","MAINTENANCE CONTRACTS")</f>
        <v xml:space="preserve">          6373 - MAINTENANCE CONTRACTS</v>
      </c>
      <c r="C56" s="9"/>
      <c r="D56" s="6"/>
      <c r="E56" s="3"/>
      <c r="F56" s="7">
        <f t="shared" si="8"/>
        <v>0</v>
      </c>
      <c r="G56" s="3"/>
      <c r="H56" s="6">
        <v>107.78</v>
      </c>
      <c r="I56" s="3"/>
      <c r="J56" s="7">
        <f t="shared" si="9"/>
        <v>0</v>
      </c>
      <c r="K56" s="3"/>
      <c r="L56" s="6">
        <f t="shared" si="10"/>
        <v>-107.78</v>
      </c>
      <c r="M56" s="3"/>
      <c r="N56" s="7">
        <f t="shared" si="11"/>
        <v>-1</v>
      </c>
      <c r="O56" s="9"/>
      <c r="P56" s="6">
        <v>733.68</v>
      </c>
      <c r="Q56" s="3"/>
      <c r="R56" s="7">
        <f t="shared" si="12"/>
        <v>2.4413219900993491E-3</v>
      </c>
      <c r="S56" s="3"/>
      <c r="T56" s="6">
        <v>511.94</v>
      </c>
      <c r="U56" s="3"/>
      <c r="V56" s="7">
        <f t="shared" si="13"/>
        <v>0</v>
      </c>
      <c r="W56" s="3"/>
      <c r="X56" s="6">
        <f t="shared" si="14"/>
        <v>221.73999999999995</v>
      </c>
      <c r="Y56" s="3"/>
      <c r="Z56" s="7">
        <f t="shared" si="15"/>
        <v>0.43313669570652802</v>
      </c>
    </row>
    <row r="57" spans="1:26" s="69" customFormat="1" ht="15" hidden="1" customHeight="1" outlineLevel="2" x14ac:dyDescent="0.3">
      <c r="A57" s="21"/>
      <c r="B57" s="9" t="str">
        <f>CONCATENATE("          ","6375"," - ","OUTSIDE REPAIRS &amp; MAINTENANCE")</f>
        <v xml:space="preserve">          6375 - OUTSIDE REPAIRS &amp; MAINTENANCE</v>
      </c>
      <c r="C57" s="9"/>
      <c r="D57" s="6">
        <v>1489.02</v>
      </c>
      <c r="E57" s="3"/>
      <c r="F57" s="7">
        <f t="shared" si="8"/>
        <v>0.11657011335880255</v>
      </c>
      <c r="G57" s="3"/>
      <c r="H57" s="6"/>
      <c r="I57" s="3"/>
      <c r="J57" s="7">
        <f t="shared" si="9"/>
        <v>0</v>
      </c>
      <c r="K57" s="3"/>
      <c r="L57" s="6">
        <f t="shared" si="10"/>
        <v>1489.02</v>
      </c>
      <c r="M57" s="3"/>
      <c r="N57" s="7">
        <f t="shared" si="11"/>
        <v>0</v>
      </c>
      <c r="O57" s="9"/>
      <c r="P57" s="6">
        <v>3650.27</v>
      </c>
      <c r="Q57" s="3"/>
      <c r="R57" s="7">
        <f t="shared" si="12"/>
        <v>1.214628233126152E-2</v>
      </c>
      <c r="S57" s="3"/>
      <c r="T57" s="6">
        <v>438.13</v>
      </c>
      <c r="U57" s="3"/>
      <c r="V57" s="7">
        <f t="shared" si="13"/>
        <v>0</v>
      </c>
      <c r="W57" s="3"/>
      <c r="X57" s="6">
        <f t="shared" si="14"/>
        <v>3212.14</v>
      </c>
      <c r="Y57" s="3"/>
      <c r="Z57" s="7">
        <f t="shared" si="15"/>
        <v>7.3314769588934787</v>
      </c>
    </row>
    <row r="58" spans="1:26" s="68" customFormat="1" ht="15" customHeight="1" outlineLevel="1" collapsed="1" x14ac:dyDescent="0.3">
      <c r="A58" s="20"/>
      <c r="B58" s="11" t="str">
        <f>CONCATENATE("     ","Services                                          ")</f>
        <v xml:space="preserve">     Services                                          </v>
      </c>
      <c r="C58" s="11"/>
      <c r="D58" s="2">
        <f>SUM(OSRRefD22_12x_0)</f>
        <v>4684.8999999999996</v>
      </c>
      <c r="E58" s="2"/>
      <c r="F58" s="5">
        <f t="shared" si="8"/>
        <v>0.36676426379407528</v>
      </c>
      <c r="G58" s="2"/>
      <c r="H58" s="2">
        <f>SUM(OSRRefH22_12x_0)</f>
        <v>-22.599999999999994</v>
      </c>
      <c r="I58" s="2"/>
      <c r="J58" s="5">
        <f t="shared" si="9"/>
        <v>0</v>
      </c>
      <c r="K58" s="2"/>
      <c r="L58" s="2">
        <f t="shared" si="10"/>
        <v>4707.5</v>
      </c>
      <c r="M58" s="2"/>
      <c r="N58" s="5">
        <f t="shared" si="11"/>
        <v>-208.29646017699119</v>
      </c>
      <c r="O58" s="11"/>
      <c r="P58" s="2">
        <f>SUM(OSRRefP22_12x_0)</f>
        <v>14621.150000000001</v>
      </c>
      <c r="Q58" s="2"/>
      <c r="R58" s="5">
        <f t="shared" si="12"/>
        <v>4.8651912299014693E-2</v>
      </c>
      <c r="S58" s="2"/>
      <c r="T58" s="2">
        <f>SUM(OSRRefT22_12x_0)</f>
        <v>2385.5500000000002</v>
      </c>
      <c r="U58" s="2"/>
      <c r="V58" s="5">
        <f t="shared" si="13"/>
        <v>0</v>
      </c>
      <c r="W58" s="2"/>
      <c r="X58" s="2">
        <f t="shared" si="14"/>
        <v>12235.600000000002</v>
      </c>
      <c r="Y58" s="2"/>
      <c r="Z58" s="5">
        <f t="shared" si="15"/>
        <v>5.1290478086814364</v>
      </c>
    </row>
    <row r="59" spans="1:26" s="69" customFormat="1" ht="15" hidden="1" customHeight="1" outlineLevel="2" x14ac:dyDescent="0.3">
      <c r="A59" s="21"/>
      <c r="B59" s="9" t="str">
        <f>CONCATENATE("          ","6282"," - ","JANITORIAL/EXTERMINATOR EXPENS")</f>
        <v xml:space="preserve">          6282 - JANITORIAL/EXTERMINATOR EXPENS</v>
      </c>
      <c r="C59" s="9"/>
      <c r="D59" s="6">
        <v>370.5</v>
      </c>
      <c r="E59" s="3"/>
      <c r="F59" s="7">
        <f t="shared" si="8"/>
        <v>2.900513559215883E-2</v>
      </c>
      <c r="G59" s="3"/>
      <c r="H59" s="6">
        <v>168.4</v>
      </c>
      <c r="I59" s="3"/>
      <c r="J59" s="7">
        <f t="shared" si="9"/>
        <v>0</v>
      </c>
      <c r="K59" s="3"/>
      <c r="L59" s="6">
        <f t="shared" si="10"/>
        <v>202.1</v>
      </c>
      <c r="M59" s="3"/>
      <c r="N59" s="7">
        <f t="shared" si="11"/>
        <v>1.2001187648456055</v>
      </c>
      <c r="O59" s="9"/>
      <c r="P59" s="6">
        <v>2088.1999999999998</v>
      </c>
      <c r="Q59" s="3"/>
      <c r="R59" s="7">
        <f t="shared" si="12"/>
        <v>6.9484905949807278E-3</v>
      </c>
      <c r="S59" s="3"/>
      <c r="T59" s="6">
        <v>1123.55</v>
      </c>
      <c r="U59" s="3"/>
      <c r="V59" s="7">
        <f t="shared" si="13"/>
        <v>0</v>
      </c>
      <c r="W59" s="3"/>
      <c r="X59" s="6">
        <f t="shared" si="14"/>
        <v>964.64999999999986</v>
      </c>
      <c r="Y59" s="3"/>
      <c r="Z59" s="7">
        <f t="shared" si="15"/>
        <v>0.85857327221752477</v>
      </c>
    </row>
    <row r="60" spans="1:26" s="69" customFormat="1" ht="15" hidden="1" customHeight="1" outlineLevel="2" x14ac:dyDescent="0.3">
      <c r="A60" s="21"/>
      <c r="B60" s="9" t="str">
        <f>CONCATENATE("          ","6284"," - ","TRASH REMOVAL EXPENSE")</f>
        <v xml:space="preserve">          6284 - TRASH REMOVAL EXPENSE</v>
      </c>
      <c r="C60" s="9"/>
      <c r="D60" s="6"/>
      <c r="E60" s="3"/>
      <c r="F60" s="7">
        <f t="shared" si="8"/>
        <v>0</v>
      </c>
      <c r="G60" s="3"/>
      <c r="H60" s="6">
        <v>-191</v>
      </c>
      <c r="I60" s="3"/>
      <c r="J60" s="7">
        <f t="shared" si="9"/>
        <v>0</v>
      </c>
      <c r="K60" s="3"/>
      <c r="L60" s="6">
        <f t="shared" si="10"/>
        <v>191</v>
      </c>
      <c r="M60" s="3"/>
      <c r="N60" s="7">
        <f t="shared" si="11"/>
        <v>-1</v>
      </c>
      <c r="O60" s="9"/>
      <c r="P60" s="6"/>
      <c r="Q60" s="3"/>
      <c r="R60" s="7">
        <f t="shared" si="12"/>
        <v>0</v>
      </c>
      <c r="S60" s="3"/>
      <c r="T60" s="6">
        <v>1262</v>
      </c>
      <c r="U60" s="3"/>
      <c r="V60" s="7">
        <f t="shared" si="13"/>
        <v>0</v>
      </c>
      <c r="W60" s="3"/>
      <c r="X60" s="6">
        <f t="shared" si="14"/>
        <v>-1262</v>
      </c>
      <c r="Y60" s="3"/>
      <c r="Z60" s="7">
        <f t="shared" si="15"/>
        <v>-1</v>
      </c>
    </row>
    <row r="61" spans="1:26" s="69" customFormat="1" ht="15" hidden="1" customHeight="1" outlineLevel="2" x14ac:dyDescent="0.3">
      <c r="A61" s="21"/>
      <c r="B61" s="9" t="str">
        <f>CONCATENATE("          ","6285"," - ","JANITORIAL SERVICES")</f>
        <v xml:space="preserve">          6285 - JANITORIAL SERVICES</v>
      </c>
      <c r="C61" s="9"/>
      <c r="D61" s="6">
        <v>4210.9399999999996</v>
      </c>
      <c r="E61" s="3"/>
      <c r="F61" s="7">
        <f t="shared" si="8"/>
        <v>0.32965961044654601</v>
      </c>
      <c r="G61" s="3"/>
      <c r="H61" s="6"/>
      <c r="I61" s="3"/>
      <c r="J61" s="7">
        <f t="shared" si="9"/>
        <v>0</v>
      </c>
      <c r="K61" s="3"/>
      <c r="L61" s="6">
        <f t="shared" si="10"/>
        <v>4210.9399999999996</v>
      </c>
      <c r="M61" s="3"/>
      <c r="N61" s="7">
        <f t="shared" si="11"/>
        <v>0</v>
      </c>
      <c r="O61" s="9"/>
      <c r="P61" s="6">
        <v>11497.54</v>
      </c>
      <c r="Q61" s="3"/>
      <c r="R61" s="7">
        <f t="shared" si="12"/>
        <v>3.8258092402746254E-2</v>
      </c>
      <c r="S61" s="3"/>
      <c r="T61" s="6"/>
      <c r="U61" s="3"/>
      <c r="V61" s="7">
        <f t="shared" si="13"/>
        <v>0</v>
      </c>
      <c r="W61" s="3"/>
      <c r="X61" s="6">
        <f t="shared" si="14"/>
        <v>11497.54</v>
      </c>
      <c r="Y61" s="3"/>
      <c r="Z61" s="7">
        <f t="shared" si="15"/>
        <v>0</v>
      </c>
    </row>
    <row r="62" spans="1:26" s="69" customFormat="1" ht="15" hidden="1" customHeight="1" outlineLevel="2" x14ac:dyDescent="0.3">
      <c r="A62" s="21"/>
      <c r="B62" s="9" t="str">
        <f>CONCATENATE("          ","6286"," - ","LAUNDRY EXPENSE")</f>
        <v xml:space="preserve">          6286 - LAUNDRY EXPENSE</v>
      </c>
      <c r="C62" s="9"/>
      <c r="D62" s="6">
        <v>103.46</v>
      </c>
      <c r="E62" s="3"/>
      <c r="F62" s="7">
        <f t="shared" si="8"/>
        <v>8.0995177553704525E-3</v>
      </c>
      <c r="G62" s="3"/>
      <c r="H62" s="6"/>
      <c r="I62" s="3"/>
      <c r="J62" s="7">
        <f t="shared" si="9"/>
        <v>0</v>
      </c>
      <c r="K62" s="3"/>
      <c r="L62" s="6">
        <f t="shared" si="10"/>
        <v>103.46</v>
      </c>
      <c r="M62" s="3"/>
      <c r="N62" s="7">
        <f t="shared" si="11"/>
        <v>0</v>
      </c>
      <c r="O62" s="9"/>
      <c r="P62" s="6">
        <v>1035.4100000000001</v>
      </c>
      <c r="Q62" s="3"/>
      <c r="R62" s="7">
        <f t="shared" si="12"/>
        <v>3.4453293012877105E-3</v>
      </c>
      <c r="S62" s="3"/>
      <c r="T62" s="6"/>
      <c r="U62" s="3"/>
      <c r="V62" s="7">
        <f t="shared" si="13"/>
        <v>0</v>
      </c>
      <c r="W62" s="3"/>
      <c r="X62" s="6">
        <f t="shared" si="14"/>
        <v>1035.4100000000001</v>
      </c>
      <c r="Y62" s="3"/>
      <c r="Z62" s="7">
        <f t="shared" si="15"/>
        <v>0</v>
      </c>
    </row>
    <row r="63" spans="1:26" s="68" customFormat="1" ht="15" customHeight="1" outlineLevel="1" collapsed="1" x14ac:dyDescent="0.3">
      <c r="A63" s="20"/>
      <c r="B63" s="11" t="str">
        <f>CONCATENATE("     ","Supplies                                          ")</f>
        <v xml:space="preserve">     Supplies                                          </v>
      </c>
      <c r="C63" s="11"/>
      <c r="D63" s="2">
        <f>SUM(OSRRefD22_13x_0)</f>
        <v>244.01999999999998</v>
      </c>
      <c r="E63" s="2"/>
      <c r="F63" s="5">
        <f t="shared" si="8"/>
        <v>1.9103463393248577E-2</v>
      </c>
      <c r="G63" s="2"/>
      <c r="H63" s="2">
        <f>SUM(OSRRefH22_13x_0)</f>
        <v>0</v>
      </c>
      <c r="I63" s="2"/>
      <c r="J63" s="5">
        <f t="shared" si="9"/>
        <v>0</v>
      </c>
      <c r="K63" s="2"/>
      <c r="L63" s="2">
        <f t="shared" si="10"/>
        <v>244.01999999999998</v>
      </c>
      <c r="M63" s="2"/>
      <c r="N63" s="5">
        <f t="shared" si="11"/>
        <v>0</v>
      </c>
      <c r="O63" s="11"/>
      <c r="P63" s="2">
        <f>SUM(OSRRefP22_13x_0)</f>
        <v>5168.84</v>
      </c>
      <c r="Q63" s="2"/>
      <c r="R63" s="5">
        <f t="shared" si="12"/>
        <v>1.7199327711407045E-2</v>
      </c>
      <c r="S63" s="2"/>
      <c r="T63" s="2">
        <f>SUM(OSRRefT22_13x_0)</f>
        <v>634.24</v>
      </c>
      <c r="U63" s="2"/>
      <c r="V63" s="5">
        <f t="shared" si="13"/>
        <v>0</v>
      </c>
      <c r="W63" s="2"/>
      <c r="X63" s="2">
        <f t="shared" si="14"/>
        <v>4534.6000000000004</v>
      </c>
      <c r="Y63" s="2"/>
      <c r="Z63" s="5">
        <f t="shared" si="15"/>
        <v>7.1496594349142288</v>
      </c>
    </row>
    <row r="64" spans="1:26" s="69" customFormat="1" ht="15" hidden="1" customHeight="1" outlineLevel="2" x14ac:dyDescent="0.3">
      <c r="A64" s="21"/>
      <c r="B64" s="9" t="str">
        <f>CONCATENATE("          ","6234"," - ","EXPENDABLE SUPPLIES &amp; EQUIPMEN")</f>
        <v xml:space="preserve">          6234 - EXPENDABLE SUPPLIES &amp; EQUIPMEN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/>
      <c r="Q64" s="3"/>
      <c r="R64" s="7">
        <f t="shared" si="12"/>
        <v>0</v>
      </c>
      <c r="S64" s="3"/>
      <c r="T64" s="6">
        <v>316.67</v>
      </c>
      <c r="U64" s="3"/>
      <c r="V64" s="7">
        <f t="shared" si="13"/>
        <v>0</v>
      </c>
      <c r="W64" s="3"/>
      <c r="X64" s="6">
        <f t="shared" si="14"/>
        <v>-316.67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1"/>
      <c r="B65" s="9" t="str">
        <f>CONCATENATE("          ","6235"," - ","COVID-19 EXPENSES")</f>
        <v xml:space="preserve">          6235 - COVID-19 EXPENSES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71.45</v>
      </c>
      <c r="Q65" s="3"/>
      <c r="R65" s="7">
        <f t="shared" si="12"/>
        <v>2.3775004933022367E-4</v>
      </c>
      <c r="S65" s="3"/>
      <c r="T65" s="6"/>
      <c r="U65" s="3"/>
      <c r="V65" s="7">
        <f t="shared" si="13"/>
        <v>0</v>
      </c>
      <c r="W65" s="3"/>
      <c r="X65" s="6">
        <f t="shared" si="14"/>
        <v>71.45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","6237"," - ","JANITORIAL SUPPLIES")</f>
        <v xml:space="preserve">          6237 - JANITORIAL SUPPLIES</v>
      </c>
      <c r="C66" s="9"/>
      <c r="D66" s="6">
        <v>156.44</v>
      </c>
      <c r="E66" s="3"/>
      <c r="F66" s="7">
        <f t="shared" si="8"/>
        <v>1.2247134715350411E-2</v>
      </c>
      <c r="G66" s="3"/>
      <c r="H66" s="6"/>
      <c r="I66" s="3"/>
      <c r="J66" s="7">
        <f t="shared" si="9"/>
        <v>0</v>
      </c>
      <c r="K66" s="3"/>
      <c r="L66" s="6">
        <f t="shared" si="10"/>
        <v>156.44</v>
      </c>
      <c r="M66" s="3"/>
      <c r="N66" s="7">
        <f t="shared" si="11"/>
        <v>0</v>
      </c>
      <c r="O66" s="9"/>
      <c r="P66" s="6">
        <v>1343.17</v>
      </c>
      <c r="Q66" s="3"/>
      <c r="R66" s="7">
        <f t="shared" si="12"/>
        <v>4.4694014521886151E-3</v>
      </c>
      <c r="S66" s="3"/>
      <c r="T66" s="6">
        <v>317.57</v>
      </c>
      <c r="U66" s="3"/>
      <c r="V66" s="7">
        <f t="shared" si="13"/>
        <v>0</v>
      </c>
      <c r="W66" s="3"/>
      <c r="X66" s="6">
        <f t="shared" si="14"/>
        <v>1025.6000000000001</v>
      </c>
      <c r="Y66" s="3"/>
      <c r="Z66" s="7">
        <f t="shared" si="15"/>
        <v>3.2295241993891115</v>
      </c>
    </row>
    <row r="67" spans="1:26" s="69" customFormat="1" ht="15" hidden="1" customHeight="1" outlineLevel="2" x14ac:dyDescent="0.3">
      <c r="A67" s="21"/>
      <c r="B67" s="9" t="str">
        <f>CONCATENATE("          ","6241"," - ","OFFICE EXPENSE")</f>
        <v xml:space="preserve">          6241 - OFFICE EXPENSE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427.98</v>
      </c>
      <c r="Q67" s="3"/>
      <c r="R67" s="7">
        <f t="shared" si="12"/>
        <v>1.4241044942246205E-3</v>
      </c>
      <c r="S67" s="3"/>
      <c r="T67" s="6"/>
      <c r="U67" s="3"/>
      <c r="V67" s="7">
        <f t="shared" si="13"/>
        <v>0</v>
      </c>
      <c r="W67" s="3"/>
      <c r="X67" s="6">
        <f t="shared" si="14"/>
        <v>427.98</v>
      </c>
      <c r="Y67" s="3"/>
      <c r="Z67" s="7">
        <f t="shared" si="15"/>
        <v>0</v>
      </c>
    </row>
    <row r="68" spans="1:26" s="69" customFormat="1" ht="15" hidden="1" customHeight="1" outlineLevel="2" x14ac:dyDescent="0.3">
      <c r="A68" s="21"/>
      <c r="B68" s="9" t="str">
        <f>CONCATENATE("          ","6243"," - ","PAPER SUPPLIES")</f>
        <v xml:space="preserve">          6243 - PAPER SUPPLIES</v>
      </c>
      <c r="C68" s="9"/>
      <c r="D68" s="6"/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0</v>
      </c>
      <c r="M68" s="3"/>
      <c r="N68" s="7">
        <f t="shared" si="11"/>
        <v>0</v>
      </c>
      <c r="O68" s="9"/>
      <c r="P68" s="6">
        <v>721.5</v>
      </c>
      <c r="Q68" s="3"/>
      <c r="R68" s="7">
        <f t="shared" si="12"/>
        <v>2.4007930103814748E-3</v>
      </c>
      <c r="S68" s="3"/>
      <c r="T68" s="6"/>
      <c r="U68" s="3"/>
      <c r="V68" s="7">
        <f t="shared" si="13"/>
        <v>0</v>
      </c>
      <c r="W68" s="3"/>
      <c r="X68" s="6">
        <f t="shared" si="14"/>
        <v>721.5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1"/>
      <c r="B69" s="9" t="str">
        <f>CONCATENATE("          ","6247"," - ","STORE SUPPLIES")</f>
        <v xml:space="preserve">          6247 - STORE SUPPLIES</v>
      </c>
      <c r="C69" s="9"/>
      <c r="D69" s="6">
        <v>87.58</v>
      </c>
      <c r="E69" s="3"/>
      <c r="F69" s="7">
        <f t="shared" si="8"/>
        <v>6.8563286778981656E-3</v>
      </c>
      <c r="G69" s="3"/>
      <c r="H69" s="6"/>
      <c r="I69" s="3"/>
      <c r="J69" s="7">
        <f t="shared" si="9"/>
        <v>0</v>
      </c>
      <c r="K69" s="3"/>
      <c r="L69" s="6">
        <f t="shared" si="10"/>
        <v>87.58</v>
      </c>
      <c r="M69" s="3"/>
      <c r="N69" s="7">
        <f t="shared" si="11"/>
        <v>0</v>
      </c>
      <c r="O69" s="9"/>
      <c r="P69" s="6">
        <v>2604.7399999999998</v>
      </c>
      <c r="Q69" s="3"/>
      <c r="R69" s="7">
        <f t="shared" si="12"/>
        <v>8.6672787052821092E-3</v>
      </c>
      <c r="S69" s="3"/>
      <c r="T69" s="6"/>
      <c r="U69" s="3"/>
      <c r="V69" s="7">
        <f t="shared" si="13"/>
        <v>0</v>
      </c>
      <c r="W69" s="3"/>
      <c r="X69" s="6">
        <f t="shared" si="14"/>
        <v>2604.7399999999998</v>
      </c>
      <c r="Y69" s="3"/>
      <c r="Z69" s="7">
        <f t="shared" si="15"/>
        <v>0</v>
      </c>
    </row>
    <row r="70" spans="1:26" s="68" customFormat="1" ht="15" customHeight="1" outlineLevel="1" collapsed="1" x14ac:dyDescent="0.3">
      <c r="A70" s="20"/>
      <c r="B70" s="11" t="str">
        <f>CONCATENATE("     ","Telephone/Data Lines                              ")</f>
        <v xml:space="preserve">     Telephone/Data Lines                              </v>
      </c>
      <c r="C70" s="11"/>
      <c r="D70" s="2">
        <f>SUM(OSRRefD22_14x_0)</f>
        <v>22</v>
      </c>
      <c r="E70" s="2"/>
      <c r="F70" s="5">
        <f t="shared" si="8"/>
        <v>1.722302248387299E-3</v>
      </c>
      <c r="G70" s="2"/>
      <c r="H70" s="2">
        <f>SUM(OSRRefH22_14x_0)</f>
        <v>22</v>
      </c>
      <c r="I70" s="2"/>
      <c r="J70" s="5">
        <f t="shared" si="9"/>
        <v>0</v>
      </c>
      <c r="K70" s="2"/>
      <c r="L70" s="2">
        <f t="shared" si="10"/>
        <v>0</v>
      </c>
      <c r="M70" s="2"/>
      <c r="N70" s="5">
        <f t="shared" si="11"/>
        <v>0</v>
      </c>
      <c r="O70" s="11"/>
      <c r="P70" s="2">
        <f>SUM(OSRRefP22_14x_0)</f>
        <v>799</v>
      </c>
      <c r="Q70" s="2"/>
      <c r="R70" s="5">
        <f t="shared" si="12"/>
        <v>2.6586744494730401E-3</v>
      </c>
      <c r="S70" s="2"/>
      <c r="T70" s="2">
        <f>SUM(OSRRefT22_14x_0)</f>
        <v>1019.87</v>
      </c>
      <c r="U70" s="2"/>
      <c r="V70" s="5">
        <f t="shared" si="13"/>
        <v>0</v>
      </c>
      <c r="W70" s="2"/>
      <c r="X70" s="2">
        <f t="shared" si="14"/>
        <v>-220.87</v>
      </c>
      <c r="Y70" s="2"/>
      <c r="Z70" s="5">
        <f t="shared" si="15"/>
        <v>-0.21656681733946484</v>
      </c>
    </row>
    <row r="71" spans="1:26" s="69" customFormat="1" ht="15" hidden="1" customHeight="1" outlineLevel="2" x14ac:dyDescent="0.3">
      <c r="A71" s="21"/>
      <c r="B71" s="9" t="str">
        <f>CONCATENATE("          ","6309"," - ","TELEPHONE")</f>
        <v xml:space="preserve">          6309 - TELEPHONE</v>
      </c>
      <c r="C71" s="9"/>
      <c r="D71" s="6">
        <v>22</v>
      </c>
      <c r="E71" s="3"/>
      <c r="F71" s="7">
        <f t="shared" si="8"/>
        <v>1.722302248387299E-3</v>
      </c>
      <c r="G71" s="3"/>
      <c r="H71" s="6">
        <v>22</v>
      </c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799</v>
      </c>
      <c r="Q71" s="3"/>
      <c r="R71" s="7">
        <f t="shared" si="12"/>
        <v>2.6586744494730401E-3</v>
      </c>
      <c r="S71" s="3"/>
      <c r="T71" s="6">
        <v>1019.87</v>
      </c>
      <c r="U71" s="3"/>
      <c r="V71" s="7">
        <f t="shared" si="13"/>
        <v>0</v>
      </c>
      <c r="W71" s="3"/>
      <c r="X71" s="6">
        <f t="shared" si="14"/>
        <v>-220.87</v>
      </c>
      <c r="Y71" s="3"/>
      <c r="Z71" s="7">
        <f t="shared" si="15"/>
        <v>-0.21656681733946484</v>
      </c>
    </row>
    <row r="72" spans="1:26" s="68" customFormat="1" ht="15" customHeight="1" outlineLevel="1" collapsed="1" x14ac:dyDescent="0.3">
      <c r="A72" s="20"/>
      <c r="B72" s="11" t="str">
        <f>CONCATENATE("     ","Training                                          ")</f>
        <v xml:space="preserve">     Training                                          </v>
      </c>
      <c r="C72" s="11"/>
      <c r="D72" s="2">
        <f>SUM(OSRRefD22_15x_0)</f>
        <v>0</v>
      </c>
      <c r="E72" s="2"/>
      <c r="F72" s="5">
        <f t="shared" si="8"/>
        <v>0</v>
      </c>
      <c r="G72" s="2"/>
      <c r="H72" s="2">
        <f>SUM(OSRRefH22_15x_0)</f>
        <v>0</v>
      </c>
      <c r="I72" s="2"/>
      <c r="J72" s="5">
        <f t="shared" si="9"/>
        <v>0</v>
      </c>
      <c r="K72" s="2"/>
      <c r="L72" s="2">
        <f t="shared" si="10"/>
        <v>0</v>
      </c>
      <c r="M72" s="2"/>
      <c r="N72" s="5">
        <f t="shared" si="11"/>
        <v>0</v>
      </c>
      <c r="O72" s="11"/>
      <c r="P72" s="2">
        <f>SUM(OSRRefP22_15x_0)</f>
        <v>120</v>
      </c>
      <c r="Q72" s="2"/>
      <c r="R72" s="5">
        <f t="shared" si="12"/>
        <v>3.9930029278693966E-4</v>
      </c>
      <c r="S72" s="2"/>
      <c r="T72" s="2">
        <f>SUM(OSRRefT22_15x_0)</f>
        <v>0</v>
      </c>
      <c r="U72" s="2"/>
      <c r="V72" s="5">
        <f t="shared" si="13"/>
        <v>0</v>
      </c>
      <c r="W72" s="2"/>
      <c r="X72" s="2">
        <f t="shared" si="14"/>
        <v>120</v>
      </c>
      <c r="Y72" s="2"/>
      <c r="Z72" s="5">
        <f t="shared" si="15"/>
        <v>0</v>
      </c>
    </row>
    <row r="73" spans="1:26" s="69" customFormat="1" ht="15" hidden="1" customHeight="1" outlineLevel="2" x14ac:dyDescent="0.3">
      <c r="A73" s="21"/>
      <c r="B73" s="9" t="str">
        <f>CONCATENATE("          ","6376"," - ","TRAINING")</f>
        <v xml:space="preserve">          6376 - TRAINING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120</v>
      </c>
      <c r="Q73" s="3"/>
      <c r="R73" s="7">
        <f t="shared" si="12"/>
        <v>3.9930029278693966E-4</v>
      </c>
      <c r="S73" s="3"/>
      <c r="T73" s="6"/>
      <c r="U73" s="3"/>
      <c r="V73" s="7">
        <f t="shared" si="13"/>
        <v>0</v>
      </c>
      <c r="W73" s="3"/>
      <c r="X73" s="6">
        <f t="shared" si="14"/>
        <v>120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0"/>
      <c r="B74" s="11" t="str">
        <f>CONCATENATE("     ","Utilities                                         ")</f>
        <v xml:space="preserve">     Utilities                                         </v>
      </c>
      <c r="C74" s="11"/>
      <c r="D74" s="2">
        <f>SUM(OSRRefD22_16x_0)</f>
        <v>171.49</v>
      </c>
      <c r="E74" s="2"/>
      <c r="F74" s="5">
        <f t="shared" si="8"/>
        <v>1.3425346026178996E-2</v>
      </c>
      <c r="G74" s="2"/>
      <c r="H74" s="2">
        <f>SUM(OSRRefH22_16x_0)</f>
        <v>-703</v>
      </c>
      <c r="I74" s="2"/>
      <c r="J74" s="5">
        <f t="shared" si="9"/>
        <v>0</v>
      </c>
      <c r="K74" s="2"/>
      <c r="L74" s="2">
        <f t="shared" si="10"/>
        <v>874.49</v>
      </c>
      <c r="M74" s="2"/>
      <c r="N74" s="5">
        <f t="shared" si="11"/>
        <v>-1.2439402560455193</v>
      </c>
      <c r="O74" s="11"/>
      <c r="P74" s="2">
        <f>SUM(OSRRefP22_16x_0)</f>
        <v>1414.47</v>
      </c>
      <c r="Q74" s="2"/>
      <c r="R74" s="5">
        <f t="shared" si="12"/>
        <v>4.7066523761528549E-3</v>
      </c>
      <c r="S74" s="2"/>
      <c r="T74" s="2">
        <f>SUM(OSRRefT22_16x_0)</f>
        <v>4504</v>
      </c>
      <c r="U74" s="2"/>
      <c r="V74" s="5">
        <f t="shared" si="13"/>
        <v>0</v>
      </c>
      <c r="W74" s="2"/>
      <c r="X74" s="2">
        <f t="shared" si="14"/>
        <v>-3089.5299999999997</v>
      </c>
      <c r="Y74" s="2"/>
      <c r="Z74" s="5">
        <f t="shared" si="15"/>
        <v>-0.68595248667850794</v>
      </c>
    </row>
    <row r="75" spans="1:26" s="69" customFormat="1" ht="15" hidden="1" customHeight="1" outlineLevel="2" x14ac:dyDescent="0.3">
      <c r="A75" s="21"/>
      <c r="B75" s="9" t="str">
        <f>CONCATENATE("          ","6274"," - ","UTILITIES")</f>
        <v xml:space="preserve">          6274 - UTILITIES</v>
      </c>
      <c r="C75" s="9"/>
      <c r="D75" s="6">
        <v>171.49</v>
      </c>
      <c r="E75" s="3"/>
      <c r="F75" s="7">
        <f t="shared" si="8"/>
        <v>1.3425346026178996E-2</v>
      </c>
      <c r="G75" s="3"/>
      <c r="H75" s="6">
        <v>-703</v>
      </c>
      <c r="I75" s="3"/>
      <c r="J75" s="7">
        <f t="shared" si="9"/>
        <v>0</v>
      </c>
      <c r="K75" s="3"/>
      <c r="L75" s="6">
        <f t="shared" si="10"/>
        <v>874.49</v>
      </c>
      <c r="M75" s="3"/>
      <c r="N75" s="7">
        <f t="shared" si="11"/>
        <v>-1.2439402560455193</v>
      </c>
      <c r="O75" s="9"/>
      <c r="P75" s="6">
        <v>1414.47</v>
      </c>
      <c r="Q75" s="3"/>
      <c r="R75" s="7">
        <f t="shared" si="12"/>
        <v>4.7066523761528549E-3</v>
      </c>
      <c r="S75" s="3"/>
      <c r="T75" s="6">
        <v>4504</v>
      </c>
      <c r="U75" s="3"/>
      <c r="V75" s="7">
        <f t="shared" si="13"/>
        <v>0</v>
      </c>
      <c r="W75" s="3"/>
      <c r="X75" s="6">
        <f t="shared" si="14"/>
        <v>-3089.5299999999997</v>
      </c>
      <c r="Y75" s="3"/>
      <c r="Z75" s="7">
        <f t="shared" si="15"/>
        <v>-0.68595248667850794</v>
      </c>
    </row>
    <row r="76" spans="1:26" s="64" customFormat="1" ht="15" customHeight="1" x14ac:dyDescent="0.3">
      <c r="A76" s="37"/>
      <c r="B76" s="37"/>
      <c r="C76" s="37"/>
      <c r="D76" s="2"/>
      <c r="E76" s="2"/>
      <c r="F76" s="5"/>
      <c r="G76" s="2"/>
      <c r="H76" s="2"/>
      <c r="I76" s="2"/>
      <c r="J76" s="5"/>
      <c r="K76" s="2"/>
      <c r="L76" s="2"/>
      <c r="M76" s="2"/>
      <c r="N76" s="5"/>
      <c r="O76" s="37"/>
      <c r="P76" s="2"/>
      <c r="Q76" s="2"/>
      <c r="R76" s="5"/>
      <c r="S76" s="2"/>
      <c r="T76" s="2"/>
      <c r="U76" s="2"/>
      <c r="V76" s="5"/>
      <c r="W76" s="2"/>
      <c r="X76" s="2"/>
      <c r="Y76" s="2"/>
      <c r="Z76" s="5"/>
    </row>
    <row r="77" spans="1:26" s="62" customFormat="1" ht="15" customHeight="1" x14ac:dyDescent="0.3">
      <c r="A77" s="13"/>
      <c r="B77" s="27" t="s">
        <v>290</v>
      </c>
      <c r="C77" s="13"/>
      <c r="D77" s="8">
        <f>SUM(0)</f>
        <v>0</v>
      </c>
      <c r="E77" s="8"/>
      <c r="F77" s="14">
        <f>IF(D$12=0,0,D77/D$12)</f>
        <v>0</v>
      </c>
      <c r="G77" s="8"/>
      <c r="H77" s="8">
        <f>SUM(0)</f>
        <v>0</v>
      </c>
      <c r="I77" s="8"/>
      <c r="J77" s="14">
        <f>IF(H$12=0,0,H77/H$12)</f>
        <v>0</v>
      </c>
      <c r="K77" s="8"/>
      <c r="L77" s="8">
        <f>+D77-H77</f>
        <v>0</v>
      </c>
      <c r="M77" s="8"/>
      <c r="N77" s="14">
        <f>IF(H77=0,0,L77/H77)</f>
        <v>0</v>
      </c>
      <c r="O77" s="13"/>
      <c r="P77" s="8">
        <f>SUM(0)</f>
        <v>0</v>
      </c>
      <c r="Q77" s="8"/>
      <c r="R77" s="14">
        <f>IF(P$12=0,0,P77/P$12)</f>
        <v>0</v>
      </c>
      <c r="S77" s="8"/>
      <c r="T77" s="8">
        <f>SUM(0)</f>
        <v>0</v>
      </c>
      <c r="U77" s="8"/>
      <c r="V77" s="14">
        <f>IF(T$12=0,0,T77/T$12)</f>
        <v>0</v>
      </c>
      <c r="W77" s="8"/>
      <c r="X77" s="8">
        <f>+P77-T77</f>
        <v>0</v>
      </c>
      <c r="Y77" s="8"/>
      <c r="Z77" s="14">
        <f>IF(T77=0,0,X77/T77)</f>
        <v>0</v>
      </c>
    </row>
    <row r="78" spans="1:26" ht="15" customHeight="1" x14ac:dyDescent="0.3">
      <c r="A78" s="12"/>
      <c r="B78" s="13"/>
      <c r="C78" s="13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O78" s="13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2" customFormat="1" ht="15" customHeight="1" x14ac:dyDescent="0.3">
      <c r="A79" s="13"/>
      <c r="B79" s="28" t="s">
        <v>291</v>
      </c>
      <c r="C79" s="28"/>
      <c r="D79" s="22">
        <f>+D20-D22+D77</f>
        <v>-35257.300000000003</v>
      </c>
      <c r="E79" s="15"/>
      <c r="F79" s="24">
        <f>IF(D$12=0,0,D79/D$12)</f>
        <v>-2.7601694119120692</v>
      </c>
      <c r="G79" s="15"/>
      <c r="H79" s="22">
        <f>+H20-H22+H77</f>
        <v>-7438.48</v>
      </c>
      <c r="I79" s="15"/>
      <c r="J79" s="24">
        <f>IF(H$12=0,0,H79/H$12)</f>
        <v>0</v>
      </c>
      <c r="K79" s="17"/>
      <c r="L79" s="22">
        <f>+D79-H79</f>
        <v>-27818.820000000003</v>
      </c>
      <c r="M79" s="17"/>
      <c r="N79" s="24">
        <f>IF(H79=0,0,L79/H79)</f>
        <v>3.739852765618783</v>
      </c>
      <c r="O79" s="27"/>
      <c r="P79" s="22">
        <f>+P20-P22+P77</f>
        <v>-122559.4599999999</v>
      </c>
      <c r="Q79" s="15"/>
      <c r="R79" s="24">
        <f>IF(P$12=0,0,P79/P$12)</f>
        <v>-0.40781690218174321</v>
      </c>
      <c r="S79" s="15"/>
      <c r="T79" s="22">
        <f>+T20-T22+T77</f>
        <v>-140514.29</v>
      </c>
      <c r="U79" s="15"/>
      <c r="V79" s="24">
        <f>IF(T$12=0,0,T79/T$12)</f>
        <v>0</v>
      </c>
      <c r="W79" s="17"/>
      <c r="X79" s="22">
        <f>+P79-T79</f>
        <v>17954.830000000104</v>
      </c>
      <c r="Y79" s="17"/>
      <c r="Z79" s="24">
        <f>IF(T79=0,0,X79/T79)</f>
        <v>-0.12777938813198361</v>
      </c>
    </row>
    <row r="80" spans="1:26" ht="15" customHeight="1" x14ac:dyDescent="0.3">
      <c r="A80" s="12"/>
      <c r="B80" s="13"/>
      <c r="C80" s="12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2" customFormat="1" ht="15" customHeight="1" x14ac:dyDescent="0.3">
      <c r="A81" s="48"/>
      <c r="B81" s="13" t="s">
        <v>292</v>
      </c>
      <c r="C81" s="13"/>
      <c r="D81" s="8">
        <v>-66997.86</v>
      </c>
      <c r="E81" s="8"/>
      <c r="F81" s="14">
        <f>IF(D$12=0,0,D81/D$12)</f>
        <v>-5.2450256779607951</v>
      </c>
      <c r="G81" s="8"/>
      <c r="H81" s="8"/>
      <c r="I81" s="8"/>
      <c r="J81" s="14">
        <f>IF(H$12=0,0,H81/H$12)</f>
        <v>0</v>
      </c>
      <c r="K81" s="8"/>
      <c r="L81" s="8">
        <f>+D81-H81</f>
        <v>-66997.86</v>
      </c>
      <c r="M81" s="8"/>
      <c r="N81" s="14">
        <f>IF(H81=0,0,L81/H81)</f>
        <v>0</v>
      </c>
      <c r="O81" s="13"/>
      <c r="P81" s="8">
        <v>-34647.230000000003</v>
      </c>
      <c r="Q81" s="8"/>
      <c r="R81" s="14">
        <f>IF(P$12=0,0,P81/P$12)</f>
        <v>-0.11528874236047035</v>
      </c>
      <c r="S81" s="8"/>
      <c r="T81" s="8"/>
      <c r="U81" s="8"/>
      <c r="V81" s="14">
        <f>IF(T$12=0,0,T81/T$12)</f>
        <v>0</v>
      </c>
      <c r="W81" s="8"/>
      <c r="X81" s="8">
        <f>+P81-T81</f>
        <v>-34647.230000000003</v>
      </c>
      <c r="Y81" s="8"/>
      <c r="Z81" s="14">
        <f>IF(T81=0,0,X81/T81)</f>
        <v>0</v>
      </c>
    </row>
    <row r="82" spans="1:26" ht="15" customHeight="1" x14ac:dyDescent="0.3">
      <c r="A82" s="12"/>
      <c r="B82" s="13"/>
      <c r="C82" s="13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O82" s="13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2" customFormat="1" ht="15" customHeight="1" x14ac:dyDescent="0.3">
      <c r="A83" s="13"/>
      <c r="B83" s="28" t="s">
        <v>293</v>
      </c>
      <c r="C83" s="28"/>
      <c r="D83" s="29">
        <f>+D79-D81</f>
        <v>31740.559999999998</v>
      </c>
      <c r="E83" s="15"/>
      <c r="F83" s="31">
        <f>IF(D$12=0,0,D83/D$12)</f>
        <v>2.4848562660487254</v>
      </c>
      <c r="G83" s="15"/>
      <c r="H83" s="29">
        <f>+H79-H81</f>
        <v>-7438.48</v>
      </c>
      <c r="I83" s="15"/>
      <c r="J83" s="31">
        <f>IF(H$12=0,0,H83/H$12)</f>
        <v>0</v>
      </c>
      <c r="K83" s="17"/>
      <c r="L83" s="29">
        <f>D83-H83</f>
        <v>39179.039999999994</v>
      </c>
      <c r="M83" s="17"/>
      <c r="N83" s="31">
        <f>IF(H83=0,0,L83/H83)</f>
        <v>-5.2670760693044807</v>
      </c>
      <c r="O83" s="27"/>
      <c r="P83" s="29">
        <f>+P79-P81</f>
        <v>-87912.229999999894</v>
      </c>
      <c r="Q83" s="15"/>
      <c r="R83" s="31">
        <f>IF(P$12=0,0,P83/P$12)</f>
        <v>-0.29252815982127284</v>
      </c>
      <c r="S83" s="15"/>
      <c r="T83" s="29">
        <f>+T79-T81</f>
        <v>-140514.29</v>
      </c>
      <c r="U83" s="15"/>
      <c r="V83" s="31">
        <f>IF(T$12=0,0,T83/T$12)</f>
        <v>0</v>
      </c>
      <c r="W83" s="17"/>
      <c r="X83" s="29">
        <f>P83-T83</f>
        <v>52602.060000000114</v>
      </c>
      <c r="Y83" s="17"/>
      <c r="Z83" s="31">
        <f>IF(T83=0,0,X83/T83)</f>
        <v>-0.37435381127428469</v>
      </c>
    </row>
    <row r="84" spans="1:26" ht="15" customHeight="1" x14ac:dyDescent="0.3">
      <c r="A84" s="12"/>
      <c r="B84" s="12"/>
      <c r="C84" s="12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ht="15" customHeight="1" x14ac:dyDescent="0.3">
      <c r="A85" s="12"/>
      <c r="B85" s="12"/>
      <c r="C85" s="12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2" customFormat="1" ht="15" customHeight="1" x14ac:dyDescent="0.3">
      <c r="A86" s="13"/>
      <c r="B86" s="28" t="s">
        <v>296</v>
      </c>
      <c r="C86" s="28"/>
      <c r="D86" s="30">
        <f>SUM(D83:D85)</f>
        <v>31740.559999999998</v>
      </c>
      <c r="E86" s="15"/>
      <c r="F86" s="35">
        <f>IF(D$12=0,0,D86/D$12)</f>
        <v>2.4848562660487254</v>
      </c>
      <c r="G86" s="15"/>
      <c r="H86" s="30">
        <f>SUM(H83:H85)</f>
        <v>-7438.48</v>
      </c>
      <c r="I86" s="15"/>
      <c r="J86" s="35">
        <f>IF(H$12=0,0,H86/H$12)</f>
        <v>0</v>
      </c>
      <c r="K86" s="17"/>
      <c r="L86" s="30">
        <f>+D86-H86</f>
        <v>39179.039999999994</v>
      </c>
      <c r="M86" s="17"/>
      <c r="N86" s="35">
        <f>IF(H86=0,0,L86/H86)</f>
        <v>-5.2670760693044807</v>
      </c>
      <c r="O86" s="27"/>
      <c r="P86" s="30">
        <f>SUM(P83:P85)</f>
        <v>-87912.229999999894</v>
      </c>
      <c r="Q86" s="15"/>
      <c r="R86" s="35">
        <f>IF(P$12=0,0,P86/P$12)</f>
        <v>-0.29252815982127284</v>
      </c>
      <c r="S86" s="15"/>
      <c r="T86" s="30">
        <f>SUM(T83:T85)</f>
        <v>-140514.29</v>
      </c>
      <c r="U86" s="15"/>
      <c r="V86" s="35">
        <f>IF(T$12=0,0,T86/T$12)</f>
        <v>0</v>
      </c>
      <c r="W86" s="17"/>
      <c r="X86" s="30">
        <f>+P86-T86</f>
        <v>52602.060000000114</v>
      </c>
      <c r="Y86" s="17"/>
      <c r="Z86" s="35">
        <f>IF(T86=0,0,X86/T86)</f>
        <v>-0.37435381127428469</v>
      </c>
    </row>
    <row r="87" spans="1:26" ht="15" customHeight="1" x14ac:dyDescent="0.3">
      <c r="A87" s="12"/>
      <c r="C87" s="12"/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2"/>
      <c r="B88" s="54">
        <v>44767.815885219905</v>
      </c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2"/>
      <c r="B89" s="53" t="s">
        <v>297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1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284B9-B74C-48E8-FCCB-FC7A38914F91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","327"," - ","C-Store Vending Machine(s)")</f>
        <v>Department 327 - C-Store Vending Machine(s)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34.049999999999997</v>
      </c>
      <c r="I12" s="8"/>
      <c r="J12" s="14"/>
      <c r="K12" s="8"/>
      <c r="L12" s="8">
        <f>+D12-H12</f>
        <v>-34.049999999999997</v>
      </c>
      <c r="M12" s="8"/>
      <c r="N12" s="14">
        <f>IF(H12=0,0,L12/H12)</f>
        <v>-1</v>
      </c>
      <c r="O12" s="13"/>
      <c r="P12" s="8">
        <f>SUM(OSRRefP13x_0)</f>
        <v>1827.05</v>
      </c>
      <c r="Q12" s="8"/>
      <c r="R12" s="14"/>
      <c r="S12" s="8"/>
      <c r="T12" s="8">
        <f>SUM(OSRRefT13x_0)</f>
        <v>434.5</v>
      </c>
      <c r="U12" s="8"/>
      <c r="V12" s="14"/>
      <c r="W12" s="8"/>
      <c r="X12" s="8">
        <f>+P12-T12</f>
        <v>1392.55</v>
      </c>
      <c r="Y12" s="8"/>
      <c r="Z12" s="14">
        <f>IF(T12=0,0,X12/T12)</f>
        <v>3.2049482163406213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--1827.05</f>
        <v>1827.05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1827.05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","4153"," - ","NON-TAXABLE SALES-FOOD")</f>
        <v xml:space="preserve">          4153 - NON-TAXABLE SALES-FOOD</v>
      </c>
      <c r="C14" s="9"/>
      <c r="D14" s="3">
        <f>0</f>
        <v>0</v>
      </c>
      <c r="E14" s="3"/>
      <c r="F14" s="26"/>
      <c r="G14" s="3"/>
      <c r="H14" s="3">
        <f>--34.05</f>
        <v>34.049999999999997</v>
      </c>
      <c r="I14" s="3"/>
      <c r="J14" s="26"/>
      <c r="K14" s="3"/>
      <c r="L14" s="3">
        <f>+D14-H14</f>
        <v>-34.049999999999997</v>
      </c>
      <c r="M14" s="3"/>
      <c r="N14" s="26">
        <f>IF(H14=0,0,L14/H14)</f>
        <v>-1</v>
      </c>
      <c r="O14" s="9"/>
      <c r="P14" s="3">
        <f>0</f>
        <v>0</v>
      </c>
      <c r="Q14" s="3"/>
      <c r="R14" s="26"/>
      <c r="S14" s="3"/>
      <c r="T14" s="3">
        <f>--434.5</f>
        <v>434.5</v>
      </c>
      <c r="U14" s="3"/>
      <c r="V14" s="26"/>
      <c r="W14" s="3"/>
      <c r="X14" s="3">
        <f>+P14-T14</f>
        <v>-434.5</v>
      </c>
      <c r="Y14" s="3"/>
      <c r="Z14" s="26">
        <f>IF(T14=0,0,X14/T14)</f>
        <v>-1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collapsed="1" x14ac:dyDescent="0.3">
      <c r="A16" s="13"/>
      <c r="B16" s="27" t="s">
        <v>287</v>
      </c>
      <c r="C16" s="13"/>
      <c r="D16" s="8">
        <f>SUM(OSRRefD16x_0)</f>
        <v>0</v>
      </c>
      <c r="E16" s="8"/>
      <c r="F16" s="14">
        <f>IF(D$12=0,0,D16/D$12)</f>
        <v>0</v>
      </c>
      <c r="G16" s="8"/>
      <c r="H16" s="8">
        <f>SUM(OSRRefH16x_0)</f>
        <v>1060.92</v>
      </c>
      <c r="I16" s="8"/>
      <c r="J16" s="14">
        <f>IF(H$12=0,0,H16/H$12)</f>
        <v>31.157709251101327</v>
      </c>
      <c r="K16" s="8"/>
      <c r="L16" s="8">
        <f>+D16-H16</f>
        <v>-1060.92</v>
      </c>
      <c r="M16" s="8"/>
      <c r="N16" s="14">
        <f>IF(H16=0,0,L16/H16)</f>
        <v>-1</v>
      </c>
      <c r="O16" s="13"/>
      <c r="P16" s="8">
        <f>SUM(OSRRefP16x_0)</f>
        <v>179.2</v>
      </c>
      <c r="Q16" s="8"/>
      <c r="R16" s="14">
        <f>IF(P$12=0,0,P16/P$12)</f>
        <v>9.8081606962042628E-2</v>
      </c>
      <c r="S16" s="8"/>
      <c r="T16" s="8">
        <f>SUM(OSRRefT16x_0)</f>
        <v>713.91000000000008</v>
      </c>
      <c r="U16" s="8"/>
      <c r="V16" s="14">
        <f>IF(T$12=0,0,T16/T$12)</f>
        <v>1.6430609896432684</v>
      </c>
      <c r="W16" s="8"/>
      <c r="X16" s="8">
        <f>+P16-T16</f>
        <v>-534.71</v>
      </c>
      <c r="Y16" s="8"/>
      <c r="Z16" s="14">
        <f>IF(T16=0,0,X16/T16)</f>
        <v>-0.74898796767099496</v>
      </c>
    </row>
    <row r="17" spans="1:26" s="69" customFormat="1" ht="15" hidden="1" customHeight="1" outlineLevel="1" x14ac:dyDescent="0.3">
      <c r="A17" s="47"/>
      <c r="B17" s="9" t="str">
        <f>CONCATENATE("          ","5053"," - ","PURCHASES @ COST-FOOD")</f>
        <v xml:space="preserve">          5053 - PURCHASES @ COST-FOOD</v>
      </c>
      <c r="C17" s="9"/>
      <c r="D17" s="3"/>
      <c r="E17" s="3"/>
      <c r="F17" s="26">
        <f>IF(D$12=0,0,D17/D$12)</f>
        <v>0</v>
      </c>
      <c r="G17" s="3"/>
      <c r="H17" s="3">
        <v>1060.92</v>
      </c>
      <c r="I17" s="3"/>
      <c r="J17" s="26">
        <f>IF(H$12=0,0,H17/H$12)</f>
        <v>31.157709251101327</v>
      </c>
      <c r="K17" s="3"/>
      <c r="L17" s="3">
        <f>+D17-H17</f>
        <v>-1060.92</v>
      </c>
      <c r="M17" s="3"/>
      <c r="N17" s="26">
        <f>IF(H17=0,0,L17/H17)</f>
        <v>-1</v>
      </c>
      <c r="O17" s="9"/>
      <c r="P17" s="3">
        <v>45</v>
      </c>
      <c r="Q17" s="3"/>
      <c r="R17" s="26">
        <f>IF(P$12=0,0,P17/P$12)</f>
        <v>2.462986781970937E-2</v>
      </c>
      <c r="S17" s="3"/>
      <c r="T17" s="3">
        <v>1031.92</v>
      </c>
      <c r="U17" s="3"/>
      <c r="V17" s="26">
        <f>IF(T$12=0,0,T17/T$12)</f>
        <v>2.3749597238204836</v>
      </c>
      <c r="W17" s="3"/>
      <c r="X17" s="3">
        <f>+P17-T17</f>
        <v>-986.92000000000007</v>
      </c>
      <c r="Y17" s="3"/>
      <c r="Z17" s="26">
        <f>IF(T17=0,0,X17/T17)</f>
        <v>-0.95639196836964102</v>
      </c>
    </row>
    <row r="18" spans="1:26" s="69" customFormat="1" ht="15" hidden="1" customHeight="1" outlineLevel="1" x14ac:dyDescent="0.3">
      <c r="A18" s="47"/>
      <c r="B18" s="9" t="str">
        <f>CONCATENATE("          ","5059"," - ","PURCHASES @ COST-FOOD")</f>
        <v xml:space="preserve">          5059 - PURCHASES @ COST-FOOD</v>
      </c>
      <c r="C18" s="9"/>
      <c r="D18" s="3"/>
      <c r="E18" s="3"/>
      <c r="F18" s="26">
        <f>IF(D$12=0,0,D18/D$12)</f>
        <v>0</v>
      </c>
      <c r="G18" s="3"/>
      <c r="H18" s="3"/>
      <c r="I18" s="3"/>
      <c r="J18" s="26">
        <f>IF(H$12=0,0,H18/H$12)</f>
        <v>0</v>
      </c>
      <c r="K18" s="3"/>
      <c r="L18" s="3">
        <f>+D18-H18</f>
        <v>0</v>
      </c>
      <c r="M18" s="3"/>
      <c r="N18" s="26">
        <f>IF(H18=0,0,L18/H18)</f>
        <v>0</v>
      </c>
      <c r="O18" s="9"/>
      <c r="P18" s="3">
        <v>134.19999999999999</v>
      </c>
      <c r="Q18" s="3"/>
      <c r="R18" s="26">
        <f>IF(P$12=0,0,P18/P$12)</f>
        <v>7.3451739142333258E-2</v>
      </c>
      <c r="S18" s="3"/>
      <c r="T18" s="3">
        <v>-318.01</v>
      </c>
      <c r="U18" s="3"/>
      <c r="V18" s="26">
        <f>IF(T$12=0,0,T18/T$12)</f>
        <v>-0.73189873417721518</v>
      </c>
      <c r="W18" s="3"/>
      <c r="X18" s="3">
        <f>+P18-T18</f>
        <v>452.21</v>
      </c>
      <c r="Y18" s="3"/>
      <c r="Z18" s="26">
        <f>IF(T18=0,0,X18/T18)</f>
        <v>-1.4219993081978555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2" customFormat="1" ht="15" customHeight="1" x14ac:dyDescent="0.3">
      <c r="A20" s="13"/>
      <c r="B20" s="28" t="s">
        <v>288</v>
      </c>
      <c r="C20" s="28"/>
      <c r="D20" s="22">
        <f>D12-D16</f>
        <v>0</v>
      </c>
      <c r="E20" s="15"/>
      <c r="F20" s="24">
        <f>IF(D$12=0,0,D20/D$12)</f>
        <v>0</v>
      </c>
      <c r="G20" s="15"/>
      <c r="H20" s="22">
        <f>H12-H16</f>
        <v>-1026.8700000000001</v>
      </c>
      <c r="I20" s="15"/>
      <c r="J20" s="24">
        <f>IF(H$12=0,0,H20/H$12)</f>
        <v>-30.157709251101327</v>
      </c>
      <c r="K20" s="17"/>
      <c r="L20" s="22">
        <f>+D20-H20</f>
        <v>1026.8700000000001</v>
      </c>
      <c r="M20" s="17"/>
      <c r="N20" s="24">
        <f>IF(H20=0,0,L20/H20)</f>
        <v>-1</v>
      </c>
      <c r="O20" s="27"/>
      <c r="P20" s="22">
        <f>P12-P16</f>
        <v>1647.85</v>
      </c>
      <c r="Q20" s="15"/>
      <c r="R20" s="24">
        <f>IF(P$12=0,0,P20/P$12)</f>
        <v>0.90191839303795729</v>
      </c>
      <c r="S20" s="15"/>
      <c r="T20" s="22">
        <f>T12-T16</f>
        <v>-279.41000000000008</v>
      </c>
      <c r="U20" s="15"/>
      <c r="V20" s="24">
        <f>IF(T$12=0,0,T20/T$12)</f>
        <v>-0.6430609896432683</v>
      </c>
      <c r="W20" s="17"/>
      <c r="X20" s="22">
        <f>+P20-T20</f>
        <v>1927.26</v>
      </c>
      <c r="Y20" s="17"/>
      <c r="Z20" s="24">
        <f>IF(T20=0,0,X20/T20)</f>
        <v>-6.897605669088434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7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2" customFormat="1" ht="15" customHeight="1" x14ac:dyDescent="0.3">
      <c r="A22" s="13"/>
      <c r="B22" s="27" t="s">
        <v>289</v>
      </c>
      <c r="C22" s="13"/>
      <c r="D22" s="23" cm="1">
        <f t="array" ref="D22">SUM(OSRRefD22x_0)</f>
        <v>0</v>
      </c>
      <c r="E22" s="23"/>
      <c r="F22" s="34">
        <f>IF(D$12=0,0,D22/D$12)</f>
        <v>0</v>
      </c>
      <c r="G22" s="23"/>
      <c r="H22" s="23" cm="1">
        <f t="array" ref="H22">SUM(OSRRefH22x_0)</f>
        <v>0</v>
      </c>
      <c r="I22" s="23"/>
      <c r="J22" s="34">
        <f>IF(H$12=0,0,H22/H$12)</f>
        <v>0</v>
      </c>
      <c r="K22" s="8"/>
      <c r="L22" s="23">
        <f>+D22-H22</f>
        <v>0</v>
      </c>
      <c r="M22" s="8"/>
      <c r="N22" s="34">
        <f>IF(H22=0,0,L22/H22)</f>
        <v>0</v>
      </c>
      <c r="O22" s="13"/>
      <c r="P22" s="23" cm="1">
        <f t="array" ref="P22">SUM(OSRRefP22x_0)</f>
        <v>1506.08</v>
      </c>
      <c r="Q22" s="23"/>
      <c r="R22" s="34">
        <f>IF(P$12=0,0,P22/P$12)</f>
        <v>0.82432336279795293</v>
      </c>
      <c r="S22" s="23"/>
      <c r="T22" s="23" cm="1">
        <f t="array" ref="T22">SUM(OSRRefT22x_0)</f>
        <v>674.63</v>
      </c>
      <c r="U22" s="23"/>
      <c r="V22" s="34">
        <f>IF(T$12=0,0,T22/T$12)</f>
        <v>1.5526582278481011</v>
      </c>
      <c r="W22" s="8"/>
      <c r="X22" s="23">
        <f>+P22-T22</f>
        <v>831.44999999999993</v>
      </c>
      <c r="Y22" s="8"/>
      <c r="Z22" s="34">
        <f>IF(T22=0,0,X22/T22)</f>
        <v>1.2324533447964068</v>
      </c>
    </row>
    <row r="23" spans="1:26" s="68" customFormat="1" ht="15" customHeight="1" outlineLevel="1" collapsed="1" x14ac:dyDescent="0.3">
      <c r="A23" s="20"/>
      <c r="B23" s="11" t="str">
        <f>CONCATENATE("     ","Bank/card Fees                                    ")</f>
        <v xml:space="preserve">     Bank/card Fees                                    </v>
      </c>
      <c r="C23" s="11"/>
      <c r="D23" s="2">
        <f>SUM(OSRRefD22_0x_0)</f>
        <v>0</v>
      </c>
      <c r="E23" s="2"/>
      <c r="F23" s="5">
        <f>IF(D$12=0,0,D23/D$12)</f>
        <v>0</v>
      </c>
      <c r="G23" s="2"/>
      <c r="H23" s="2">
        <f>SUM(OSRRefH22_0x_0)</f>
        <v>0</v>
      </c>
      <c r="I23" s="2"/>
      <c r="J23" s="5">
        <f>IF(H$12=0,0,H23/H$12)</f>
        <v>0</v>
      </c>
      <c r="K23" s="2"/>
      <c r="L23" s="2">
        <f>+D23-H23</f>
        <v>0</v>
      </c>
      <c r="M23" s="2"/>
      <c r="N23" s="5">
        <f>IF(H23=0,0,L23/H23)</f>
        <v>0</v>
      </c>
      <c r="O23" s="11"/>
      <c r="P23" s="2">
        <f>SUM(OSRRefP22_0x_0)</f>
        <v>747.2</v>
      </c>
      <c r="Q23" s="2"/>
      <c r="R23" s="5">
        <f>IF(P$12=0,0,P23/P$12)</f>
        <v>0.40896527188637427</v>
      </c>
      <c r="S23" s="2"/>
      <c r="T23" s="2">
        <f>SUM(OSRRefT22_0x_0)</f>
        <v>554.63</v>
      </c>
      <c r="U23" s="2"/>
      <c r="V23" s="5">
        <f>IF(T$12=0,0,T23/T$12)</f>
        <v>1.2764787111622555</v>
      </c>
      <c r="W23" s="2"/>
      <c r="X23" s="2">
        <f>+P23-T23</f>
        <v>192.57000000000005</v>
      </c>
      <c r="Y23" s="2"/>
      <c r="Z23" s="5">
        <f>IF(T23=0,0,X23/T23)</f>
        <v>0.34720444260137401</v>
      </c>
    </row>
    <row r="24" spans="1:26" s="69" customFormat="1" ht="15" hidden="1" customHeight="1" outlineLevel="2" x14ac:dyDescent="0.3">
      <c r="A24" s="21"/>
      <c r="B24" s="9" t="str">
        <f>CONCATENATE("          ","6381"," - ","BANK/CREDIT CARD FEES")</f>
        <v xml:space="preserve">          6381 - BANK/CREDIT CARD FEES</v>
      </c>
      <c r="C24" s="9"/>
      <c r="D24" s="6"/>
      <c r="E24" s="3"/>
      <c r="F24" s="7">
        <f>IF(D$12=0,0,D24/D$12)</f>
        <v>0</v>
      </c>
      <c r="G24" s="3"/>
      <c r="H24" s="6"/>
      <c r="I24" s="3"/>
      <c r="J24" s="7">
        <f>IF(H$12=0,0,H24/H$12)</f>
        <v>0</v>
      </c>
      <c r="K24" s="3"/>
      <c r="L24" s="6">
        <f>+D24-H24</f>
        <v>0</v>
      </c>
      <c r="M24" s="3"/>
      <c r="N24" s="7">
        <f>IF(H24=0,0,L24/H24)</f>
        <v>0</v>
      </c>
      <c r="O24" s="9"/>
      <c r="P24" s="6">
        <v>747.2</v>
      </c>
      <c r="Q24" s="3"/>
      <c r="R24" s="7">
        <f>IF(P$12=0,0,P24/P$12)</f>
        <v>0.40896527188637427</v>
      </c>
      <c r="S24" s="3"/>
      <c r="T24" s="6">
        <v>554.63</v>
      </c>
      <c r="U24" s="3"/>
      <c r="V24" s="7">
        <f>IF(T$12=0,0,T24/T$12)</f>
        <v>1.2764787111622555</v>
      </c>
      <c r="W24" s="3"/>
      <c r="X24" s="6">
        <f>+P24-T24</f>
        <v>192.57000000000005</v>
      </c>
      <c r="Y24" s="3"/>
      <c r="Z24" s="7">
        <f>IF(T24=0,0,X24/T24)</f>
        <v>0.34720444260137401</v>
      </c>
    </row>
    <row r="25" spans="1:26" s="68" customFormat="1" ht="15" customHeight="1" outlineLevel="1" collapsed="1" x14ac:dyDescent="0.3">
      <c r="A25" s="20"/>
      <c r="B25" s="11" t="str">
        <f>CONCATENATE("     ","General                                           ")</f>
        <v xml:space="preserve">     General                                           </v>
      </c>
      <c r="C25" s="11"/>
      <c r="D25" s="2">
        <f>SUM(OSRRefD22_1x_0)</f>
        <v>0</v>
      </c>
      <c r="E25" s="2"/>
      <c r="F25" s="5">
        <f>IF(D$12=0,0,D25/D$12)</f>
        <v>0</v>
      </c>
      <c r="G25" s="2"/>
      <c r="H25" s="2">
        <f>SUM(OSRRefH22_1x_0)</f>
        <v>0</v>
      </c>
      <c r="I25" s="2"/>
      <c r="J25" s="5">
        <f>IF(H$12=0,0,H25/H$12)</f>
        <v>0</v>
      </c>
      <c r="K25" s="2"/>
      <c r="L25" s="2">
        <f>+D25-H25</f>
        <v>0</v>
      </c>
      <c r="M25" s="2"/>
      <c r="N25" s="5">
        <f>IF(H25=0,0,L25/H25)</f>
        <v>0</v>
      </c>
      <c r="O25" s="11"/>
      <c r="P25" s="2">
        <f>SUM(OSRRefP22_1x_0)</f>
        <v>758.88</v>
      </c>
      <c r="Q25" s="2"/>
      <c r="R25" s="5">
        <f>IF(P$12=0,0,P25/P$12)</f>
        <v>0.41535809091157877</v>
      </c>
      <c r="S25" s="2"/>
      <c r="T25" s="2">
        <f>SUM(OSRRefT22_1x_0)</f>
        <v>120</v>
      </c>
      <c r="U25" s="2"/>
      <c r="V25" s="5">
        <f>IF(T$12=0,0,T25/T$12)</f>
        <v>0.27617951668584578</v>
      </c>
      <c r="W25" s="2"/>
      <c r="X25" s="2">
        <f>+P25-T25</f>
        <v>638.88</v>
      </c>
      <c r="Y25" s="2"/>
      <c r="Z25" s="5">
        <f>IF(T25=0,0,X25/T25)</f>
        <v>5.3239999999999998</v>
      </c>
    </row>
    <row r="26" spans="1:26" s="69" customFormat="1" ht="15" hidden="1" customHeight="1" outlineLevel="2" x14ac:dyDescent="0.3">
      <c r="A26" s="21"/>
      <c r="B26" s="9" t="str">
        <f>CONCATENATE("          ","6279"," - ","GENERAL EXPENSE")</f>
        <v xml:space="preserve">          6279 - GENERAL EXPENSE</v>
      </c>
      <c r="C26" s="9"/>
      <c r="D26" s="6"/>
      <c r="E26" s="3"/>
      <c r="F26" s="7">
        <f>IF(D$12=0,0,D26/D$12)</f>
        <v>0</v>
      </c>
      <c r="G26" s="3"/>
      <c r="H26" s="6"/>
      <c r="I26" s="3"/>
      <c r="J26" s="7">
        <f>IF(H$12=0,0,H26/H$12)</f>
        <v>0</v>
      </c>
      <c r="K26" s="3"/>
      <c r="L26" s="6">
        <f>+D26-H26</f>
        <v>0</v>
      </c>
      <c r="M26" s="3"/>
      <c r="N26" s="7">
        <f>IF(H26=0,0,L26/H26)</f>
        <v>0</v>
      </c>
      <c r="O26" s="9"/>
      <c r="P26" s="6">
        <v>758.88</v>
      </c>
      <c r="Q26" s="3"/>
      <c r="R26" s="7">
        <f>IF(P$12=0,0,P26/P$12)</f>
        <v>0.41535809091157877</v>
      </c>
      <c r="S26" s="3"/>
      <c r="T26" s="6">
        <v>120</v>
      </c>
      <c r="U26" s="3"/>
      <c r="V26" s="7">
        <f>IF(T$12=0,0,T26/T$12)</f>
        <v>0.27617951668584578</v>
      </c>
      <c r="W26" s="3"/>
      <c r="X26" s="6">
        <f>+P26-T26</f>
        <v>638.88</v>
      </c>
      <c r="Y26" s="3"/>
      <c r="Z26" s="7">
        <f>IF(T26=0,0,X26/T26)</f>
        <v>5.3239999999999998</v>
      </c>
    </row>
    <row r="27" spans="1:26" s="64" customFormat="1" ht="15" customHeight="1" x14ac:dyDescent="0.3">
      <c r="A27" s="37"/>
      <c r="B27" s="37"/>
      <c r="C27" s="37"/>
      <c r="D27" s="2"/>
      <c r="E27" s="2"/>
      <c r="F27" s="5"/>
      <c r="G27" s="2"/>
      <c r="H27" s="2"/>
      <c r="I27" s="2"/>
      <c r="J27" s="5"/>
      <c r="K27" s="2"/>
      <c r="L27" s="2"/>
      <c r="M27" s="2"/>
      <c r="N27" s="5"/>
      <c r="O27" s="37"/>
      <c r="P27" s="2"/>
      <c r="Q27" s="2"/>
      <c r="R27" s="5"/>
      <c r="S27" s="2"/>
      <c r="T27" s="2"/>
      <c r="U27" s="2"/>
      <c r="V27" s="5"/>
      <c r="W27" s="2"/>
      <c r="X27" s="2"/>
      <c r="Y27" s="2"/>
      <c r="Z27" s="5"/>
    </row>
    <row r="28" spans="1:26" s="62" customFormat="1" ht="15" customHeight="1" x14ac:dyDescent="0.3">
      <c r="A28" s="13"/>
      <c r="B28" s="27" t="s">
        <v>290</v>
      </c>
      <c r="C28" s="13"/>
      <c r="D28" s="8">
        <f>SUM(0)</f>
        <v>0</v>
      </c>
      <c r="E28" s="8"/>
      <c r="F28" s="14">
        <f>IF(D$12=0,0,D28/D$12)</f>
        <v>0</v>
      </c>
      <c r="G28" s="8"/>
      <c r="H28" s="8">
        <f>SUM(0)</f>
        <v>0</v>
      </c>
      <c r="I28" s="8"/>
      <c r="J28" s="14">
        <f>IF(H$12=0,0,H28/H$12)</f>
        <v>0</v>
      </c>
      <c r="K28" s="8"/>
      <c r="L28" s="8">
        <f>+D28-H28</f>
        <v>0</v>
      </c>
      <c r="M28" s="8"/>
      <c r="N28" s="14">
        <f>IF(H28=0,0,L28/H28)</f>
        <v>0</v>
      </c>
      <c r="O28" s="13"/>
      <c r="P28" s="8">
        <f>SUM(0)</f>
        <v>0</v>
      </c>
      <c r="Q28" s="8"/>
      <c r="R28" s="14">
        <f>IF(P$12=0,0,P28/P$12)</f>
        <v>0</v>
      </c>
      <c r="S28" s="8"/>
      <c r="T28" s="8">
        <f>SUM(0)</f>
        <v>0</v>
      </c>
      <c r="U28" s="8"/>
      <c r="V28" s="14">
        <f>IF(T$12=0,0,T28/T$12)</f>
        <v>0</v>
      </c>
      <c r="W28" s="8"/>
      <c r="X28" s="8">
        <f>+P28-T28</f>
        <v>0</v>
      </c>
      <c r="Y28" s="8"/>
      <c r="Z28" s="14">
        <f>IF(T28=0,0,X28/T28)</f>
        <v>0</v>
      </c>
    </row>
    <row r="29" spans="1:26" ht="15" customHeight="1" x14ac:dyDescent="0.3">
      <c r="A29" s="12"/>
      <c r="B29" s="13"/>
      <c r="C29" s="13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O29" s="13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2" customFormat="1" ht="15" customHeight="1" x14ac:dyDescent="0.3">
      <c r="A30" s="13"/>
      <c r="B30" s="28" t="s">
        <v>291</v>
      </c>
      <c r="C30" s="28"/>
      <c r="D30" s="22">
        <f>+D20-D22+D28</f>
        <v>0</v>
      </c>
      <c r="E30" s="15"/>
      <c r="F30" s="24">
        <f>IF(D$12=0,0,D30/D$12)</f>
        <v>0</v>
      </c>
      <c r="G30" s="15"/>
      <c r="H30" s="22">
        <f>+H20-H22+H28</f>
        <v>-1026.8700000000001</v>
      </c>
      <c r="I30" s="15"/>
      <c r="J30" s="24">
        <f>IF(H$12=0,0,H30/H$12)</f>
        <v>-30.157709251101327</v>
      </c>
      <c r="K30" s="17"/>
      <c r="L30" s="22">
        <f>+D30-H30</f>
        <v>1026.8700000000001</v>
      </c>
      <c r="M30" s="17"/>
      <c r="N30" s="24">
        <f>IF(H30=0,0,L30/H30)</f>
        <v>-1</v>
      </c>
      <c r="O30" s="27"/>
      <c r="P30" s="22">
        <f>+P20-P22+P28</f>
        <v>141.76999999999998</v>
      </c>
      <c r="Q30" s="15"/>
      <c r="R30" s="24">
        <f>IF(P$12=0,0,P30/P$12)</f>
        <v>7.7595030240004373E-2</v>
      </c>
      <c r="S30" s="15"/>
      <c r="T30" s="22">
        <f>+T20-T22+T28</f>
        <v>-954.04000000000008</v>
      </c>
      <c r="U30" s="15"/>
      <c r="V30" s="24">
        <f>IF(T$12=0,0,T30/T$12)</f>
        <v>-2.1957192174913698</v>
      </c>
      <c r="W30" s="17"/>
      <c r="X30" s="22">
        <f>+P30-T30</f>
        <v>1095.81</v>
      </c>
      <c r="Y30" s="17"/>
      <c r="Z30" s="24">
        <f>IF(T30=0,0,X30/T30)</f>
        <v>-1.1485996394281162</v>
      </c>
    </row>
    <row r="31" spans="1:26" ht="15" customHeight="1" x14ac:dyDescent="0.3">
      <c r="A31" s="12"/>
      <c r="B31" s="13"/>
      <c r="C31" s="12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2" customFormat="1" ht="15" customHeight="1" x14ac:dyDescent="0.3">
      <c r="A32" s="48"/>
      <c r="B32" s="13" t="s">
        <v>292</v>
      </c>
      <c r="C32" s="13"/>
      <c r="D32" s="8">
        <v>-416.05</v>
      </c>
      <c r="E32" s="8"/>
      <c r="F32" s="14">
        <f>IF(D$12=0,0,D32/D$12)</f>
        <v>0</v>
      </c>
      <c r="G32" s="8"/>
      <c r="H32" s="8">
        <v>34.700000000000003</v>
      </c>
      <c r="I32" s="8"/>
      <c r="J32" s="14">
        <f>IF(H$12=0,0,H32/H$12)</f>
        <v>1.0190895741556536</v>
      </c>
      <c r="K32" s="8"/>
      <c r="L32" s="8">
        <f>+D32-H32</f>
        <v>-450.75</v>
      </c>
      <c r="M32" s="8"/>
      <c r="N32" s="14">
        <f>IF(H32=0,0,L32/H32)</f>
        <v>-12.989913544668587</v>
      </c>
      <c r="O32" s="13"/>
      <c r="P32" s="8">
        <v>-210.64</v>
      </c>
      <c r="Q32" s="8"/>
      <c r="R32" s="14">
        <f>IF(P$12=0,0,P32/P$12)</f>
        <v>-0.11528967461207958</v>
      </c>
      <c r="S32" s="8"/>
      <c r="T32" s="8">
        <v>120.27</v>
      </c>
      <c r="U32" s="8"/>
      <c r="V32" s="14">
        <f>IF(T$12=0,0,T32/T$12)</f>
        <v>0.27680092059838896</v>
      </c>
      <c r="W32" s="8"/>
      <c r="X32" s="8">
        <f>+P32-T32</f>
        <v>-330.90999999999997</v>
      </c>
      <c r="Y32" s="8"/>
      <c r="Z32" s="14">
        <f>IF(T32=0,0,X32/T32)</f>
        <v>-2.7513926997588758</v>
      </c>
    </row>
    <row r="33" spans="1:26" ht="15" customHeight="1" x14ac:dyDescent="0.3">
      <c r="A33" s="12"/>
      <c r="B33" s="13"/>
      <c r="C33" s="13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O33" s="13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s="62" customFormat="1" ht="15" customHeight="1" x14ac:dyDescent="0.3">
      <c r="A34" s="13"/>
      <c r="B34" s="28" t="s">
        <v>293</v>
      </c>
      <c r="C34" s="28"/>
      <c r="D34" s="29">
        <f>+D30-D32</f>
        <v>416.05</v>
      </c>
      <c r="E34" s="15"/>
      <c r="F34" s="31">
        <f>IF(D$12=0,0,D34/D$12)</f>
        <v>0</v>
      </c>
      <c r="G34" s="15"/>
      <c r="H34" s="29">
        <f>+H30-H32</f>
        <v>-1061.5700000000002</v>
      </c>
      <c r="I34" s="15"/>
      <c r="J34" s="31">
        <f>IF(H$12=0,0,H34/H$12)</f>
        <v>-31.176798825256981</v>
      </c>
      <c r="K34" s="17"/>
      <c r="L34" s="29">
        <f>D34-H34</f>
        <v>1477.6200000000001</v>
      </c>
      <c r="M34" s="17"/>
      <c r="N34" s="31">
        <f>IF(H34=0,0,L34/H34)</f>
        <v>-1.3919195154346862</v>
      </c>
      <c r="O34" s="27"/>
      <c r="P34" s="29">
        <f>+P30-P32</f>
        <v>352.40999999999997</v>
      </c>
      <c r="Q34" s="15"/>
      <c r="R34" s="31">
        <f>IF(P$12=0,0,P34/P$12)</f>
        <v>0.19288470485208395</v>
      </c>
      <c r="S34" s="15"/>
      <c r="T34" s="29">
        <f>+T30-T32</f>
        <v>-1074.3100000000002</v>
      </c>
      <c r="U34" s="15"/>
      <c r="V34" s="31">
        <f>IF(T$12=0,0,T34/T$12)</f>
        <v>-2.4725201380897586</v>
      </c>
      <c r="W34" s="17"/>
      <c r="X34" s="29">
        <f>P34-T34</f>
        <v>1426.7200000000003</v>
      </c>
      <c r="Y34" s="17"/>
      <c r="Z34" s="31">
        <f>IF(T34=0,0,X34/T34)</f>
        <v>-1.3280338077463674</v>
      </c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ht="15" customHeight="1" x14ac:dyDescent="0.3">
      <c r="A36" s="12"/>
      <c r="B36" s="12"/>
      <c r="C36" s="12"/>
      <c r="D36" s="4"/>
      <c r="E36" s="4"/>
      <c r="F36" s="10"/>
      <c r="G36" s="4"/>
      <c r="H36" s="4"/>
      <c r="I36" s="4"/>
      <c r="J36" s="10"/>
      <c r="K36" s="4"/>
      <c r="L36" s="4"/>
      <c r="M36" s="4"/>
      <c r="N36" s="10"/>
      <c r="P36" s="4"/>
      <c r="Q36" s="4"/>
      <c r="R36" s="10"/>
      <c r="S36" s="4"/>
      <c r="T36" s="4"/>
      <c r="U36" s="4"/>
      <c r="V36" s="10"/>
      <c r="W36" s="4"/>
      <c r="X36" s="4"/>
      <c r="Y36" s="4"/>
      <c r="Z36" s="10"/>
    </row>
    <row r="37" spans="1:26" s="62" customFormat="1" ht="15" customHeight="1" x14ac:dyDescent="0.3">
      <c r="A37" s="13"/>
      <c r="B37" s="28" t="s">
        <v>296</v>
      </c>
      <c r="C37" s="28"/>
      <c r="D37" s="30">
        <f>SUM(D34:D36)</f>
        <v>416.05</v>
      </c>
      <c r="E37" s="15"/>
      <c r="F37" s="35">
        <f>IF(D$12=0,0,D37/D$12)</f>
        <v>0</v>
      </c>
      <c r="G37" s="15"/>
      <c r="H37" s="30">
        <f>SUM(H34:H36)</f>
        <v>-1061.5700000000002</v>
      </c>
      <c r="I37" s="15"/>
      <c r="J37" s="35">
        <f>IF(H$12=0,0,H37/H$12)</f>
        <v>-31.176798825256981</v>
      </c>
      <c r="K37" s="17"/>
      <c r="L37" s="30">
        <f>+D37-H37</f>
        <v>1477.6200000000001</v>
      </c>
      <c r="M37" s="17"/>
      <c r="N37" s="35">
        <f>IF(H37=0,0,L37/H37)</f>
        <v>-1.3919195154346862</v>
      </c>
      <c r="O37" s="27"/>
      <c r="P37" s="30">
        <f>SUM(P34:P36)</f>
        <v>352.40999999999997</v>
      </c>
      <c r="Q37" s="15"/>
      <c r="R37" s="35">
        <f>IF(P$12=0,0,P37/P$12)</f>
        <v>0.19288470485208395</v>
      </c>
      <c r="S37" s="15"/>
      <c r="T37" s="30">
        <f>SUM(T34:T36)</f>
        <v>-1074.3100000000002</v>
      </c>
      <c r="U37" s="15"/>
      <c r="V37" s="35">
        <f>IF(T$12=0,0,T37/T$12)</f>
        <v>-2.4725201380897586</v>
      </c>
      <c r="W37" s="17"/>
      <c r="X37" s="30">
        <f>+P37-T37</f>
        <v>1426.7200000000003</v>
      </c>
      <c r="Y37" s="17"/>
      <c r="Z37" s="35">
        <f>IF(T37=0,0,X37/T37)</f>
        <v>-1.3280338077463674</v>
      </c>
    </row>
    <row r="38" spans="1:26" ht="15" customHeight="1" x14ac:dyDescent="0.3">
      <c r="A38" s="12"/>
      <c r="C38" s="12"/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4">
        <v>44767.815885219905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3" t="s">
        <v>297</v>
      </c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1"/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044A9-EA7F-F9D9-D7F7-31381D93F3F2}">
  <sheetPr>
    <tabColor rgb="FFFFC000"/>
    <outlinePr summaryBelow="0" summaryRight="0"/>
  </sheetPr>
  <dimension ref="A2:Z13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210741.68</v>
      </c>
      <c r="E12" s="8"/>
      <c r="F12" s="14"/>
      <c r="G12" s="8"/>
      <c r="H12" s="8">
        <f>SUM(OSRRefH13x_0)</f>
        <v>96806.010000000009</v>
      </c>
      <c r="I12" s="8"/>
      <c r="J12" s="14"/>
      <c r="K12" s="8"/>
      <c r="L12" s="8">
        <f t="shared" ref="L12:L21" si="0">+D12-H12</f>
        <v>113935.66999999998</v>
      </c>
      <c r="M12" s="8"/>
      <c r="N12" s="14">
        <f t="shared" ref="N12:N21" si="1">IF(H12=0,0,L12/H12)</f>
        <v>1.1769483113703372</v>
      </c>
      <c r="O12" s="13"/>
      <c r="P12" s="8">
        <f>SUM(OSRRefP13x_0)</f>
        <v>13335765.109999999</v>
      </c>
      <c r="Q12" s="8"/>
      <c r="R12" s="14"/>
      <c r="S12" s="8"/>
      <c r="T12" s="8">
        <f>SUM(OSRRefT13x_0)</f>
        <v>1607065.67</v>
      </c>
      <c r="U12" s="8"/>
      <c r="V12" s="14"/>
      <c r="W12" s="8"/>
      <c r="X12" s="8">
        <f t="shared" ref="X12:X21" si="2">+P12-T12</f>
        <v>11728699.439999999</v>
      </c>
      <c r="Y12" s="8"/>
      <c r="Z12" s="14">
        <f t="shared" ref="Z12:Z21" si="3">IF(T12=0,0,X12/T12)</f>
        <v>7.2982079444208399</v>
      </c>
    </row>
    <row r="13" spans="1:26" s="69" customFormat="1" ht="15" hidden="1" customHeight="1" outlineLevel="1" x14ac:dyDescent="0.3">
      <c r="A13" s="47"/>
      <c r="B13" s="9" t="str">
        <f>CONCATENATE("          ","4051"," - ","TAXABLE SALES-FOOD")</f>
        <v xml:space="preserve">          4051 - TAXABLE SALES-FOOD</v>
      </c>
      <c r="C13" s="9"/>
      <c r="D13" s="3">
        <f>--14372.1</f>
        <v>14372.1</v>
      </c>
      <c r="E13" s="3"/>
      <c r="F13" s="26"/>
      <c r="G13" s="3"/>
      <c r="H13" s="3">
        <f>--9799.52</f>
        <v>9799.52</v>
      </c>
      <c r="I13" s="3"/>
      <c r="J13" s="26"/>
      <c r="K13" s="3"/>
      <c r="L13" s="3">
        <f t="shared" si="0"/>
        <v>4572.58</v>
      </c>
      <c r="M13" s="3"/>
      <c r="N13" s="26">
        <f t="shared" si="1"/>
        <v>0.46661265041553052</v>
      </c>
      <c r="O13" s="9"/>
      <c r="P13" s="3">
        <f>--360383.38</f>
        <v>360383.38</v>
      </c>
      <c r="Q13" s="3"/>
      <c r="R13" s="26"/>
      <c r="S13" s="3"/>
      <c r="T13" s="3">
        <f>--49082.44</f>
        <v>49082.44</v>
      </c>
      <c r="U13" s="3"/>
      <c r="V13" s="26"/>
      <c r="W13" s="3"/>
      <c r="X13" s="3">
        <f t="shared" si="2"/>
        <v>311300.94</v>
      </c>
      <c r="Y13" s="3"/>
      <c r="Z13" s="26">
        <f t="shared" si="3"/>
        <v>6.3424096275572284</v>
      </c>
    </row>
    <row r="14" spans="1:26" s="69" customFormat="1" ht="15" hidden="1" customHeight="1" outlineLevel="1" x14ac:dyDescent="0.3">
      <c r="A14" s="47"/>
      <c r="B14" s="9" t="str">
        <f>CONCATENATE("          ","4052"," - ","TAXABLE SALES-FOOD")</f>
        <v xml:space="preserve">          4052 - TAXABLE SALES-FOOD</v>
      </c>
      <c r="C14" s="9"/>
      <c r="D14" s="3">
        <f>0</f>
        <v>0</v>
      </c>
      <c r="E14" s="3"/>
      <c r="F14" s="26"/>
      <c r="G14" s="3"/>
      <c r="H14" s="3">
        <f>--61213.59</f>
        <v>61213.59</v>
      </c>
      <c r="I14" s="3"/>
      <c r="J14" s="26"/>
      <c r="K14" s="3"/>
      <c r="L14" s="3">
        <f t="shared" si="0"/>
        <v>-61213.59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--489866.6</f>
        <v>489866.6</v>
      </c>
      <c r="U14" s="3"/>
      <c r="V14" s="26"/>
      <c r="W14" s="3"/>
      <c r="X14" s="3">
        <f t="shared" si="2"/>
        <v>-489866.6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","4053"," - ","TAXABLE SALES-FOOD")</f>
        <v xml:space="preserve">          4053 - TAXABLE SALES-FOOD</v>
      </c>
      <c r="C15" s="9"/>
      <c r="D15" s="3">
        <f>--11752.35</f>
        <v>11752.35</v>
      </c>
      <c r="E15" s="3"/>
      <c r="F15" s="26"/>
      <c r="G15" s="3"/>
      <c r="H15" s="3">
        <f>--10.83</f>
        <v>10.83</v>
      </c>
      <c r="I15" s="3"/>
      <c r="J15" s="26"/>
      <c r="K15" s="3"/>
      <c r="L15" s="3">
        <f t="shared" si="0"/>
        <v>11741.52</v>
      </c>
      <c r="M15" s="3"/>
      <c r="N15" s="26">
        <f t="shared" si="1"/>
        <v>1084.1662049861495</v>
      </c>
      <c r="O15" s="9"/>
      <c r="P15" s="3">
        <f>--41114.33</f>
        <v>41114.33</v>
      </c>
      <c r="Q15" s="3"/>
      <c r="R15" s="26"/>
      <c r="S15" s="3"/>
      <c r="T15" s="3">
        <f>--1117.39</f>
        <v>1117.3900000000001</v>
      </c>
      <c r="U15" s="3"/>
      <c r="V15" s="26"/>
      <c r="W15" s="3"/>
      <c r="X15" s="3">
        <f t="shared" si="2"/>
        <v>39996.94</v>
      </c>
      <c r="Y15" s="3"/>
      <c r="Z15" s="26">
        <f t="shared" si="3"/>
        <v>35.794968632259099</v>
      </c>
    </row>
    <row r="16" spans="1:26" s="69" customFormat="1" ht="15" hidden="1" customHeight="1" outlineLevel="1" x14ac:dyDescent="0.3">
      <c r="A16" s="47"/>
      <c r="B16" s="9" t="str">
        <f>CONCATENATE("          ","4055"," - ","TAXABLE SALES-FOOD")</f>
        <v xml:space="preserve">          4055 - TAXABLE SALES-FOOD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--2070.63</f>
        <v>2070.63</v>
      </c>
      <c r="Q16" s="3"/>
      <c r="R16" s="26"/>
      <c r="S16" s="3"/>
      <c r="T16" s="3">
        <f>0</f>
        <v>0</v>
      </c>
      <c r="U16" s="3"/>
      <c r="V16" s="26"/>
      <c r="W16" s="3"/>
      <c r="X16" s="3">
        <f t="shared" si="2"/>
        <v>2070.63</v>
      </c>
      <c r="Y16" s="3"/>
      <c r="Z16" s="26">
        <f t="shared" si="3"/>
        <v>0</v>
      </c>
    </row>
    <row r="17" spans="1:26" s="69" customFormat="1" ht="15" hidden="1" customHeight="1" outlineLevel="1" x14ac:dyDescent="0.3">
      <c r="A17" s="47"/>
      <c r="B17" s="9" t="str">
        <f>CONCATENATE("          ","4058"," - ","TAXABLE SALES-FOOD")</f>
        <v xml:space="preserve">          4058 - TAXABLE SALES-FOOD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>
        <f>--974.91</f>
        <v>974.91</v>
      </c>
      <c r="U17" s="3"/>
      <c r="V17" s="26"/>
      <c r="W17" s="3"/>
      <c r="X17" s="3">
        <f t="shared" si="2"/>
        <v>-974.91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","4151"," - ","NON-TAXABLE SALES-FOOD")</f>
        <v xml:space="preserve">          4151 - NON-TAXABLE SALES-FOOD</v>
      </c>
      <c r="C18" s="9"/>
      <c r="D18" s="3">
        <f>--183490.71</f>
        <v>183490.71</v>
      </c>
      <c r="E18" s="3"/>
      <c r="F18" s="26"/>
      <c r="G18" s="3"/>
      <c r="H18" s="3">
        <f>--34861.45</f>
        <v>34861.449999999997</v>
      </c>
      <c r="I18" s="3"/>
      <c r="J18" s="26"/>
      <c r="K18" s="3"/>
      <c r="L18" s="3">
        <f t="shared" si="0"/>
        <v>148629.26</v>
      </c>
      <c r="M18" s="3"/>
      <c r="N18" s="26">
        <f t="shared" si="1"/>
        <v>4.263427367478978</v>
      </c>
      <c r="O18" s="9"/>
      <c r="P18" s="3">
        <f>--12808271.85</f>
        <v>12808271.85</v>
      </c>
      <c r="Q18" s="3"/>
      <c r="R18" s="26"/>
      <c r="S18" s="3"/>
      <c r="T18" s="3">
        <f>--1013188.44</f>
        <v>1013188.44</v>
      </c>
      <c r="U18" s="3"/>
      <c r="V18" s="26"/>
      <c r="W18" s="3"/>
      <c r="X18" s="3">
        <f t="shared" si="2"/>
        <v>11795083.41</v>
      </c>
      <c r="Y18" s="3"/>
      <c r="Z18" s="26">
        <f t="shared" si="3"/>
        <v>11.641549532483809</v>
      </c>
    </row>
    <row r="19" spans="1:26" s="69" customFormat="1" ht="15" hidden="1" customHeight="1" outlineLevel="1" x14ac:dyDescent="0.3">
      <c r="A19" s="47"/>
      <c r="B19" s="9" t="str">
        <f>CONCATENATE("          ","4152"," - ","NON-TAXABLE SALES-FOOD")</f>
        <v xml:space="preserve">          4152 - NON-TAXABLE SALES-FOOD</v>
      </c>
      <c r="C19" s="9"/>
      <c r="D19" s="3">
        <f>0</f>
        <v>0</v>
      </c>
      <c r="E19" s="3"/>
      <c r="F19" s="26"/>
      <c r="G19" s="3"/>
      <c r="H19" s="3">
        <f>-11580.95</f>
        <v>-11580.95</v>
      </c>
      <c r="I19" s="3"/>
      <c r="J19" s="26"/>
      <c r="K19" s="3"/>
      <c r="L19" s="3">
        <f t="shared" si="0"/>
        <v>11580.95</v>
      </c>
      <c r="M19" s="3"/>
      <c r="N19" s="26">
        <f t="shared" si="1"/>
        <v>-1</v>
      </c>
      <c r="O19" s="9"/>
      <c r="P19" s="3">
        <f>0</f>
        <v>0</v>
      </c>
      <c r="Q19" s="3"/>
      <c r="R19" s="26"/>
      <c r="S19" s="3"/>
      <c r="T19" s="3">
        <f>0</f>
        <v>0</v>
      </c>
      <c r="U19" s="3"/>
      <c r="V19" s="26"/>
      <c r="W19" s="3"/>
      <c r="X19" s="3">
        <f t="shared" si="2"/>
        <v>0</v>
      </c>
      <c r="Y19" s="3"/>
      <c r="Z19" s="26">
        <f t="shared" si="3"/>
        <v>0</v>
      </c>
    </row>
    <row r="20" spans="1:26" s="69" customFormat="1" ht="15" hidden="1" customHeight="1" outlineLevel="1" x14ac:dyDescent="0.3">
      <c r="A20" s="47"/>
      <c r="B20" s="9" t="str">
        <f>CONCATENATE("          ","4153"," - ","NON-TAXABLE SALES-FOOD")</f>
        <v xml:space="preserve">          4153 - NON-TAXABLE SALES-FOOD</v>
      </c>
      <c r="C20" s="9"/>
      <c r="D20" s="3">
        <f>--1126.52</f>
        <v>1126.52</v>
      </c>
      <c r="E20" s="3"/>
      <c r="F20" s="26"/>
      <c r="G20" s="3"/>
      <c r="H20" s="3">
        <f>--2501.57</f>
        <v>2501.5700000000002</v>
      </c>
      <c r="I20" s="3"/>
      <c r="J20" s="26"/>
      <c r="K20" s="3"/>
      <c r="L20" s="3">
        <f t="shared" si="0"/>
        <v>-1375.0500000000002</v>
      </c>
      <c r="M20" s="3"/>
      <c r="N20" s="26">
        <f t="shared" si="1"/>
        <v>-0.54967480422294801</v>
      </c>
      <c r="O20" s="9"/>
      <c r="P20" s="3">
        <f>--119241.51</f>
        <v>119241.51</v>
      </c>
      <c r="Q20" s="3"/>
      <c r="R20" s="26"/>
      <c r="S20" s="3"/>
      <c r="T20" s="3">
        <f>--52835.89</f>
        <v>52835.89</v>
      </c>
      <c r="U20" s="3"/>
      <c r="V20" s="26"/>
      <c r="W20" s="3"/>
      <c r="X20" s="3">
        <f t="shared" si="2"/>
        <v>66405.62</v>
      </c>
      <c r="Y20" s="3"/>
      <c r="Z20" s="26">
        <f t="shared" si="3"/>
        <v>1.2568278872561813</v>
      </c>
    </row>
    <row r="21" spans="1:26" s="69" customFormat="1" ht="15" hidden="1" customHeight="1" outlineLevel="1" x14ac:dyDescent="0.3">
      <c r="A21" s="47"/>
      <c r="B21" s="9" t="str">
        <f>CONCATENATE("          ","4155"," - ","NON-TAXABLE SALES-FOOD")</f>
        <v xml:space="preserve">          4155 - NON-TAXABLE SALES-FOOD</v>
      </c>
      <c r="C21" s="9"/>
      <c r="D21" s="3">
        <f>0</f>
        <v>0</v>
      </c>
      <c r="E21" s="3"/>
      <c r="F21" s="26"/>
      <c r="G21" s="3"/>
      <c r="H21" s="3">
        <f>0</f>
        <v>0</v>
      </c>
      <c r="I21" s="3"/>
      <c r="J21" s="26"/>
      <c r="K21" s="3"/>
      <c r="L21" s="3">
        <f t="shared" si="0"/>
        <v>0</v>
      </c>
      <c r="M21" s="3"/>
      <c r="N21" s="26">
        <f t="shared" si="1"/>
        <v>0</v>
      </c>
      <c r="O21" s="9"/>
      <c r="P21" s="3">
        <f>--4683.41</f>
        <v>4683.41</v>
      </c>
      <c r="Q21" s="3"/>
      <c r="R21" s="26"/>
      <c r="S21" s="3"/>
      <c r="T21" s="3">
        <f>0</f>
        <v>0</v>
      </c>
      <c r="U21" s="3"/>
      <c r="V21" s="26"/>
      <c r="W21" s="3"/>
      <c r="X21" s="3">
        <f t="shared" si="2"/>
        <v>4683.41</v>
      </c>
      <c r="Y21" s="3"/>
      <c r="Z21" s="26">
        <f t="shared" si="3"/>
        <v>0</v>
      </c>
    </row>
    <row r="22" spans="1:26" ht="15" customHeight="1" x14ac:dyDescent="0.3">
      <c r="A22" s="12"/>
      <c r="B22" s="13"/>
      <c r="C22" s="12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2" customFormat="1" ht="15" customHeight="1" collapsed="1" x14ac:dyDescent="0.3">
      <c r="A23" s="13"/>
      <c r="B23" s="27" t="s">
        <v>287</v>
      </c>
      <c r="C23" s="13"/>
      <c r="D23" s="8">
        <f>SUM(OSRRefD16x_0)</f>
        <v>87077</v>
      </c>
      <c r="E23" s="8"/>
      <c r="F23" s="14">
        <f>IF(D$12=0,0,D23/D$12)</f>
        <v>0.41319306176167903</v>
      </c>
      <c r="G23" s="8"/>
      <c r="H23" s="8">
        <f>SUM(OSRRefH16x_0)</f>
        <v>25239.5</v>
      </c>
      <c r="I23" s="8"/>
      <c r="J23" s="14">
        <f>IF(H$12=0,0,H23/H$12)</f>
        <v>0.26072244894712632</v>
      </c>
      <c r="K23" s="8"/>
      <c r="L23" s="8">
        <f>+D23-H23</f>
        <v>61837.5</v>
      </c>
      <c r="M23" s="8"/>
      <c r="N23" s="14">
        <f>IF(H23=0,0,L23/H23)</f>
        <v>2.4500287248162604</v>
      </c>
      <c r="O23" s="13"/>
      <c r="P23" s="8">
        <f>SUM(OSRRefP16x_0)</f>
        <v>3437726.48</v>
      </c>
      <c r="Q23" s="8"/>
      <c r="R23" s="14">
        <f>IF(P$12=0,0,P23/P$12)</f>
        <v>0.25778247079518335</v>
      </c>
      <c r="S23" s="8"/>
      <c r="T23" s="8">
        <f>SUM(OSRRefT16x_0)</f>
        <v>484074.91</v>
      </c>
      <c r="U23" s="8"/>
      <c r="V23" s="14">
        <f>IF(T$12=0,0,T23/T$12)</f>
        <v>0.30121663292079409</v>
      </c>
      <c r="W23" s="8"/>
      <c r="X23" s="8">
        <f>+P23-T23</f>
        <v>2953651.57</v>
      </c>
      <c r="Y23" s="8"/>
      <c r="Z23" s="14">
        <f>IF(T23=0,0,X23/T23)</f>
        <v>6.1016415207307482</v>
      </c>
    </row>
    <row r="24" spans="1:26" s="69" customFormat="1" ht="15" hidden="1" customHeight="1" outlineLevel="1" x14ac:dyDescent="0.3">
      <c r="A24" s="47"/>
      <c r="B24" s="9" t="str">
        <f>CONCATENATE("          ","5053"," - ","PURCHASES @ COST-FOOD")</f>
        <v xml:space="preserve">          5053 - PURCHASES @ COST-FOOD</v>
      </c>
      <c r="C24" s="9"/>
      <c r="D24" s="3">
        <v>86584.14</v>
      </c>
      <c r="E24" s="3"/>
      <c r="F24" s="26">
        <f>IF(D$12=0,0,D24/D$12)</f>
        <v>0.41085436919739848</v>
      </c>
      <c r="G24" s="3"/>
      <c r="H24" s="3">
        <v>20419.5</v>
      </c>
      <c r="I24" s="3"/>
      <c r="J24" s="26">
        <f>IF(H$12=0,0,H24/H$12)</f>
        <v>0.21093215183644071</v>
      </c>
      <c r="K24" s="3"/>
      <c r="L24" s="3">
        <f>+D24-H24</f>
        <v>66164.639999999999</v>
      </c>
      <c r="M24" s="3"/>
      <c r="N24" s="26">
        <f>IF(H24=0,0,L24/H24)</f>
        <v>3.2402673914640419</v>
      </c>
      <c r="O24" s="9"/>
      <c r="P24" s="3">
        <v>3369434.65</v>
      </c>
      <c r="Q24" s="3"/>
      <c r="R24" s="26">
        <f>IF(P$12=0,0,P24/P$12)</f>
        <v>0.25266151752128452</v>
      </c>
      <c r="S24" s="3"/>
      <c r="T24" s="3">
        <v>476295.6</v>
      </c>
      <c r="U24" s="3"/>
      <c r="V24" s="26">
        <f>IF(T$12=0,0,T24/T$12)</f>
        <v>0.29637594087863256</v>
      </c>
      <c r="W24" s="3"/>
      <c r="X24" s="3">
        <f>+P24-T24</f>
        <v>2893139.05</v>
      </c>
      <c r="Y24" s="3"/>
      <c r="Z24" s="26">
        <f>IF(T24=0,0,X24/T24)</f>
        <v>6.0742510533374654</v>
      </c>
    </row>
    <row r="25" spans="1:26" s="69" customFormat="1" ht="15" hidden="1" customHeight="1" outlineLevel="1" x14ac:dyDescent="0.3">
      <c r="A25" s="47"/>
      <c r="B25" s="9" t="str">
        <f>CONCATENATE("          ","5059"," - ","PURCHASES @ COST-FOOD")</f>
        <v xml:space="preserve">          5059 - PURCHASES @ COST-FOOD</v>
      </c>
      <c r="C25" s="9"/>
      <c r="D25" s="3">
        <v>492.86</v>
      </c>
      <c r="E25" s="3"/>
      <c r="F25" s="26">
        <f>IF(D$12=0,0,D25/D$12)</f>
        <v>2.3386925642805926E-3</v>
      </c>
      <c r="G25" s="3"/>
      <c r="H25" s="3">
        <v>4820</v>
      </c>
      <c r="I25" s="3"/>
      <c r="J25" s="26">
        <f>IF(H$12=0,0,H25/H$12)</f>
        <v>4.9790297110685583E-2</v>
      </c>
      <c r="K25" s="3"/>
      <c r="L25" s="3">
        <f>+D25-H25</f>
        <v>-4327.1400000000003</v>
      </c>
      <c r="M25" s="3"/>
      <c r="N25" s="26">
        <f>IF(H25=0,0,L25/H25)</f>
        <v>-0.89774688796680502</v>
      </c>
      <c r="O25" s="9"/>
      <c r="P25" s="3">
        <v>68291.83</v>
      </c>
      <c r="Q25" s="3"/>
      <c r="R25" s="26">
        <f>IF(P$12=0,0,P25/P$12)</f>
        <v>5.1209532738988083E-3</v>
      </c>
      <c r="S25" s="3"/>
      <c r="T25" s="3">
        <v>7779.31</v>
      </c>
      <c r="U25" s="3"/>
      <c r="V25" s="26">
        <f>IF(T$12=0,0,T25/T$12)</f>
        <v>4.8406920421615379E-3</v>
      </c>
      <c r="W25" s="3"/>
      <c r="X25" s="3">
        <f>+P25-T25</f>
        <v>60512.520000000004</v>
      </c>
      <c r="Y25" s="3"/>
      <c r="Z25" s="26">
        <f>IF(T25=0,0,X25/T25)</f>
        <v>7.7786487490535796</v>
      </c>
    </row>
    <row r="26" spans="1:26" ht="15" customHeight="1" x14ac:dyDescent="0.3">
      <c r="A26" s="12"/>
      <c r="B26" s="13"/>
      <c r="C26" s="13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O26" s="13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2" customFormat="1" ht="15" customHeight="1" x14ac:dyDescent="0.3">
      <c r="A27" s="13"/>
      <c r="B27" s="28" t="s">
        <v>288</v>
      </c>
      <c r="C27" s="28"/>
      <c r="D27" s="22">
        <f>D12-D23</f>
        <v>123664.68</v>
      </c>
      <c r="E27" s="15"/>
      <c r="F27" s="24">
        <f>IF(D$12=0,0,D27/D$12)</f>
        <v>0.58680693823832097</v>
      </c>
      <c r="G27" s="15"/>
      <c r="H27" s="22">
        <f>H12-H23</f>
        <v>71566.510000000009</v>
      </c>
      <c r="I27" s="15"/>
      <c r="J27" s="24">
        <f>IF(H$12=0,0,H27/H$12)</f>
        <v>0.73927755105287374</v>
      </c>
      <c r="K27" s="17"/>
      <c r="L27" s="22">
        <f>+D27-H27</f>
        <v>52098.169999999984</v>
      </c>
      <c r="M27" s="17"/>
      <c r="N27" s="24">
        <f>IF(H27=0,0,L27/H27)</f>
        <v>0.72796857077423471</v>
      </c>
      <c r="O27" s="27"/>
      <c r="P27" s="22">
        <f>P12-P23</f>
        <v>9898038.629999999</v>
      </c>
      <c r="Q27" s="15"/>
      <c r="R27" s="24">
        <f>IF(P$12=0,0,P27/P$12)</f>
        <v>0.74221752920481665</v>
      </c>
      <c r="S27" s="15"/>
      <c r="T27" s="22">
        <f>T12-T23</f>
        <v>1122990.76</v>
      </c>
      <c r="U27" s="15"/>
      <c r="V27" s="24">
        <f>IF(T$12=0,0,T27/T$12)</f>
        <v>0.69878336707920596</v>
      </c>
      <c r="W27" s="17"/>
      <c r="X27" s="22">
        <f>+P27-T27</f>
        <v>8775047.8699999992</v>
      </c>
      <c r="Y27" s="17"/>
      <c r="Z27" s="24">
        <f>IF(T27=0,0,X27/T27)</f>
        <v>7.8139982825860468</v>
      </c>
    </row>
    <row r="28" spans="1:26" ht="15" customHeight="1" x14ac:dyDescent="0.3">
      <c r="A28" s="12"/>
      <c r="B28" s="13"/>
      <c r="C28" s="12"/>
      <c r="D28" s="2"/>
      <c r="E28" s="2"/>
      <c r="F28" s="5"/>
      <c r="G28" s="2"/>
      <c r="H28" s="2"/>
      <c r="I28" s="2"/>
      <c r="J28" s="5"/>
      <c r="K28" s="2"/>
      <c r="L28" s="2"/>
      <c r="M28" s="2"/>
      <c r="N28" s="5"/>
      <c r="O28" s="37"/>
      <c r="P28" s="2"/>
      <c r="Q28" s="2"/>
      <c r="R28" s="5"/>
      <c r="S28" s="2"/>
      <c r="T28" s="2"/>
      <c r="U28" s="2"/>
      <c r="V28" s="5"/>
      <c r="W28" s="2"/>
      <c r="X28" s="2"/>
      <c r="Y28" s="2"/>
      <c r="Z28" s="5"/>
    </row>
    <row r="29" spans="1:26" s="62" customFormat="1" ht="15" customHeight="1" x14ac:dyDescent="0.3">
      <c r="A29" s="13"/>
      <c r="B29" s="27" t="s">
        <v>289</v>
      </c>
      <c r="C29" s="13"/>
      <c r="D29" s="23" cm="1">
        <f t="array" ref="D29">SUM(OSRRefD22x_0)</f>
        <v>389345.14000000007</v>
      </c>
      <c r="E29" s="23"/>
      <c r="F29" s="34">
        <f t="shared" ref="F29:F60" si="4">IF(D$12=0,0,D29/D$12)</f>
        <v>1.8474994600024071</v>
      </c>
      <c r="G29" s="23"/>
      <c r="H29" s="23" cm="1">
        <f t="array" ref="H29">SUM(OSRRefH22x_0)</f>
        <v>358807.16</v>
      </c>
      <c r="I29" s="23"/>
      <c r="J29" s="34">
        <f t="shared" ref="J29:J60" si="5">IF(H$12=0,0,H29/H$12)</f>
        <v>3.7064554153197715</v>
      </c>
      <c r="K29" s="8"/>
      <c r="L29" s="23">
        <f t="shared" ref="L29:L60" si="6">+D29-H29</f>
        <v>30537.980000000098</v>
      </c>
      <c r="M29" s="8"/>
      <c r="N29" s="34">
        <f t="shared" ref="N29:N60" si="7">IF(H29=0,0,L29/H29)</f>
        <v>8.5109728579552596E-2</v>
      </c>
      <c r="O29" s="13"/>
      <c r="P29" s="23" cm="1">
        <f t="array" ref="P29">SUM(OSRRefP22x_0)</f>
        <v>7647167.6699999981</v>
      </c>
      <c r="Q29" s="23"/>
      <c r="R29" s="34">
        <f t="shared" ref="R29:R60" si="8">IF(P$12=0,0,P29/P$12)</f>
        <v>0.57343299067750286</v>
      </c>
      <c r="S29" s="23"/>
      <c r="T29" s="23" cm="1">
        <f t="array" ref="T29">SUM(OSRRefT22x_0)</f>
        <v>4060338.0699999994</v>
      </c>
      <c r="U29" s="23"/>
      <c r="V29" s="34">
        <f t="shared" ref="V29:V60" si="9">IF(T$12=0,0,T29/T$12)</f>
        <v>2.5265539210976984</v>
      </c>
      <c r="W29" s="8"/>
      <c r="X29" s="23">
        <f t="shared" ref="X29:X60" si="10">+P29-T29</f>
        <v>3586829.5999999987</v>
      </c>
      <c r="Y29" s="8"/>
      <c r="Z29" s="34">
        <f t="shared" ref="Z29:Z60" si="11">IF(T29=0,0,X29/T29)</f>
        <v>0.88338200863161109</v>
      </c>
    </row>
    <row r="30" spans="1:26" s="68" customFormat="1" ht="15" customHeight="1" outlineLevel="1" collapsed="1" x14ac:dyDescent="0.3">
      <c r="A30" s="20"/>
      <c r="B30" s="11" t="str">
        <f>CONCATENATE("     ","*Benefits                                         ")</f>
        <v xml:space="preserve">     *Benefits                                         </v>
      </c>
      <c r="C30" s="11"/>
      <c r="D30" s="2">
        <f>SUM(OSRRefD22_0x_0)</f>
        <v>52181.499999999993</v>
      </c>
      <c r="E30" s="2"/>
      <c r="F30" s="5">
        <f t="shared" si="4"/>
        <v>0.2476088261230526</v>
      </c>
      <c r="G30" s="2"/>
      <c r="H30" s="2">
        <f>SUM(OSRRefH22_0x_0)</f>
        <v>95671.909999999989</v>
      </c>
      <c r="I30" s="2"/>
      <c r="J30" s="5">
        <f t="shared" si="5"/>
        <v>0.98828481826696479</v>
      </c>
      <c r="K30" s="2"/>
      <c r="L30" s="2">
        <f t="shared" si="6"/>
        <v>-43490.409999999996</v>
      </c>
      <c r="M30" s="2"/>
      <c r="N30" s="5">
        <f t="shared" si="7"/>
        <v>-0.45457867413747671</v>
      </c>
      <c r="O30" s="11"/>
      <c r="P30" s="2">
        <f>SUM(OSRRefP22_0x_0)</f>
        <v>1347368.98</v>
      </c>
      <c r="Q30" s="2"/>
      <c r="R30" s="5">
        <f t="shared" si="8"/>
        <v>0.10103424654575369</v>
      </c>
      <c r="S30" s="2"/>
      <c r="T30" s="2">
        <f>SUM(OSRRefT22_0x_0)</f>
        <v>1172676.9000000001</v>
      </c>
      <c r="U30" s="2"/>
      <c r="V30" s="5">
        <f t="shared" si="9"/>
        <v>0.7297006724062497</v>
      </c>
      <c r="W30" s="2"/>
      <c r="X30" s="2">
        <f t="shared" si="10"/>
        <v>174692.07999999984</v>
      </c>
      <c r="Y30" s="2"/>
      <c r="Z30" s="5">
        <f t="shared" si="11"/>
        <v>0.14896863748232766</v>
      </c>
    </row>
    <row r="31" spans="1:26" s="69" customFormat="1" ht="15" hidden="1" customHeight="1" outlineLevel="2" x14ac:dyDescent="0.3">
      <c r="A31" s="21"/>
      <c r="B31" s="9" t="str">
        <f>CONCATENATE("          ","6111"," - ","F.I.C.A.")</f>
        <v xml:space="preserve">          6111 - F.I.C.A.</v>
      </c>
      <c r="C31" s="9"/>
      <c r="D31" s="6">
        <v>13695.56</v>
      </c>
      <c r="E31" s="3"/>
      <c r="F31" s="7">
        <f t="shared" si="4"/>
        <v>6.4987429159718196E-2</v>
      </c>
      <c r="G31" s="3"/>
      <c r="H31" s="6">
        <v>9336.73</v>
      </c>
      <c r="I31" s="3"/>
      <c r="J31" s="7">
        <f t="shared" si="5"/>
        <v>9.6447834178890329E-2</v>
      </c>
      <c r="K31" s="3"/>
      <c r="L31" s="6">
        <f t="shared" si="6"/>
        <v>4358.83</v>
      </c>
      <c r="M31" s="3"/>
      <c r="N31" s="7">
        <f t="shared" si="7"/>
        <v>0.46684760081955889</v>
      </c>
      <c r="O31" s="9"/>
      <c r="P31" s="6">
        <v>199943.45</v>
      </c>
      <c r="Q31" s="3"/>
      <c r="R31" s="7">
        <f t="shared" si="8"/>
        <v>1.499302427350567E-2</v>
      </c>
      <c r="S31" s="3"/>
      <c r="T31" s="6">
        <v>126606.75</v>
      </c>
      <c r="U31" s="3"/>
      <c r="V31" s="7">
        <f t="shared" si="9"/>
        <v>7.8781317007412643E-2</v>
      </c>
      <c r="W31" s="3"/>
      <c r="X31" s="6">
        <f t="shared" si="10"/>
        <v>73336.700000000012</v>
      </c>
      <c r="Y31" s="3"/>
      <c r="Z31" s="7">
        <f t="shared" si="11"/>
        <v>0.5792479468906675</v>
      </c>
    </row>
    <row r="32" spans="1:26" s="69" customFormat="1" ht="15" hidden="1" customHeight="1" outlineLevel="2" x14ac:dyDescent="0.3">
      <c r="A32" s="21"/>
      <c r="B32" s="9" t="str">
        <f>CONCATENATE("          ","6112"," - ","COMPENSATION INSURANCE")</f>
        <v xml:space="preserve">          6112 - COMPENSATION INSURANCE</v>
      </c>
      <c r="C32" s="9"/>
      <c r="D32" s="6">
        <v>-42642.51</v>
      </c>
      <c r="E32" s="3"/>
      <c r="F32" s="7">
        <f t="shared" si="4"/>
        <v>-0.20234492768587592</v>
      </c>
      <c r="G32" s="3"/>
      <c r="H32" s="6">
        <v>4508.42</v>
      </c>
      <c r="I32" s="3"/>
      <c r="J32" s="7">
        <f t="shared" si="5"/>
        <v>4.6571695290406036E-2</v>
      </c>
      <c r="K32" s="3"/>
      <c r="L32" s="6">
        <f t="shared" si="6"/>
        <v>-47150.93</v>
      </c>
      <c r="M32" s="3"/>
      <c r="N32" s="7">
        <f t="shared" si="7"/>
        <v>-10.458415586835299</v>
      </c>
      <c r="O32" s="9"/>
      <c r="P32" s="6">
        <v>72486.97</v>
      </c>
      <c r="Q32" s="3"/>
      <c r="R32" s="7">
        <f t="shared" si="8"/>
        <v>5.43553140011777E-3</v>
      </c>
      <c r="S32" s="3"/>
      <c r="T32" s="6">
        <v>67751.44</v>
      </c>
      <c r="U32" s="3"/>
      <c r="V32" s="7">
        <f t="shared" si="9"/>
        <v>4.2158476324119357E-2</v>
      </c>
      <c r="W32" s="3"/>
      <c r="X32" s="6">
        <f t="shared" si="10"/>
        <v>4735.5299999999988</v>
      </c>
      <c r="Y32" s="3"/>
      <c r="Z32" s="7">
        <f t="shared" si="11"/>
        <v>6.9895636166552311E-2</v>
      </c>
    </row>
    <row r="33" spans="1:26" s="69" customFormat="1" ht="15" hidden="1" customHeight="1" outlineLevel="2" x14ac:dyDescent="0.3">
      <c r="A33" s="21"/>
      <c r="B33" s="9" t="str">
        <f>CONCATENATE("          ","6113"," - ","GROUP INSURANCE")</f>
        <v xml:space="preserve">          6113 - GROUP INSURANCE</v>
      </c>
      <c r="C33" s="9"/>
      <c r="D33" s="6">
        <v>52163.360000000001</v>
      </c>
      <c r="E33" s="3"/>
      <c r="F33" s="7">
        <f t="shared" si="4"/>
        <v>0.24752274917804584</v>
      </c>
      <c r="G33" s="3"/>
      <c r="H33" s="6">
        <v>53382.080000000002</v>
      </c>
      <c r="I33" s="3"/>
      <c r="J33" s="7">
        <f t="shared" si="5"/>
        <v>0.55143353186439559</v>
      </c>
      <c r="K33" s="3"/>
      <c r="L33" s="6">
        <f t="shared" si="6"/>
        <v>-1218.7200000000012</v>
      </c>
      <c r="M33" s="3"/>
      <c r="N33" s="7">
        <f t="shared" si="7"/>
        <v>-2.2830133258202025E-2</v>
      </c>
      <c r="O33" s="9"/>
      <c r="P33" s="6">
        <v>651529.43000000005</v>
      </c>
      <c r="Q33" s="3"/>
      <c r="R33" s="7">
        <f t="shared" si="8"/>
        <v>4.8855796771003573E-2</v>
      </c>
      <c r="S33" s="3"/>
      <c r="T33" s="6">
        <v>650606.31999999995</v>
      </c>
      <c r="U33" s="3"/>
      <c r="V33" s="7">
        <f t="shared" si="9"/>
        <v>0.40484115375322527</v>
      </c>
      <c r="W33" s="3"/>
      <c r="X33" s="6">
        <f t="shared" si="10"/>
        <v>923.11000000010245</v>
      </c>
      <c r="Y33" s="3"/>
      <c r="Z33" s="7">
        <f t="shared" si="11"/>
        <v>1.4188457314710723E-3</v>
      </c>
    </row>
    <row r="34" spans="1:26" s="69" customFormat="1" ht="15" hidden="1" customHeight="1" outlineLevel="2" x14ac:dyDescent="0.3">
      <c r="A34" s="21"/>
      <c r="B34" s="9" t="str">
        <f>CONCATENATE("          ","6114"," - ","STATE UNEMPLOYMENT INSURANCE")</f>
        <v xml:space="preserve">          6114 - STATE UNEMPLOYMENT INSURANCE</v>
      </c>
      <c r="C34" s="9"/>
      <c r="D34" s="6"/>
      <c r="E34" s="3"/>
      <c r="F34" s="7">
        <f t="shared" si="4"/>
        <v>0</v>
      </c>
      <c r="G34" s="3"/>
      <c r="H34" s="6">
        <v>314.92</v>
      </c>
      <c r="I34" s="3"/>
      <c r="J34" s="7">
        <f t="shared" si="5"/>
        <v>3.2531038103935902E-3</v>
      </c>
      <c r="K34" s="3"/>
      <c r="L34" s="6">
        <f t="shared" si="6"/>
        <v>-314.92</v>
      </c>
      <c r="M34" s="3"/>
      <c r="N34" s="7">
        <f t="shared" si="7"/>
        <v>-1</v>
      </c>
      <c r="O34" s="9"/>
      <c r="P34" s="6">
        <v>8672.27</v>
      </c>
      <c r="Q34" s="3"/>
      <c r="R34" s="7">
        <f t="shared" si="8"/>
        <v>6.5030164587234556E-4</v>
      </c>
      <c r="S34" s="3"/>
      <c r="T34" s="6">
        <v>4785.79</v>
      </c>
      <c r="U34" s="3"/>
      <c r="V34" s="7">
        <f t="shared" si="9"/>
        <v>2.9779679134082928E-3</v>
      </c>
      <c r="W34" s="3"/>
      <c r="X34" s="6">
        <f t="shared" si="10"/>
        <v>3886.4800000000005</v>
      </c>
      <c r="Y34" s="3"/>
      <c r="Z34" s="7">
        <f t="shared" si="11"/>
        <v>0.81208745055675247</v>
      </c>
    </row>
    <row r="35" spans="1:26" s="69" customFormat="1" ht="15" hidden="1" customHeight="1" outlineLevel="2" x14ac:dyDescent="0.3">
      <c r="A35" s="21"/>
      <c r="B35" s="9" t="str">
        <f>CONCATENATE("          ","6115"," - ","P.E.R.S.")</f>
        <v xml:space="preserve">          6115 - P.E.R.S.</v>
      </c>
      <c r="C35" s="9"/>
      <c r="D35" s="6">
        <v>6112.18</v>
      </c>
      <c r="E35" s="3"/>
      <c r="F35" s="7">
        <f t="shared" si="4"/>
        <v>2.9003185321479837E-2</v>
      </c>
      <c r="G35" s="3"/>
      <c r="H35" s="6">
        <v>9566.91</v>
      </c>
      <c r="I35" s="3"/>
      <c r="J35" s="7">
        <f t="shared" si="5"/>
        <v>9.8825579114354564E-2</v>
      </c>
      <c r="K35" s="3"/>
      <c r="L35" s="6">
        <f t="shared" si="6"/>
        <v>-3454.7299999999996</v>
      </c>
      <c r="M35" s="3"/>
      <c r="N35" s="7">
        <f t="shared" si="7"/>
        <v>-0.36111241769808639</v>
      </c>
      <c r="O35" s="9"/>
      <c r="P35" s="6">
        <v>90085.09</v>
      </c>
      <c r="Q35" s="3"/>
      <c r="R35" s="7">
        <f t="shared" si="8"/>
        <v>6.7551497238391295E-3</v>
      </c>
      <c r="S35" s="3"/>
      <c r="T35" s="6">
        <v>88114.559999999998</v>
      </c>
      <c r="U35" s="3"/>
      <c r="V35" s="7">
        <f t="shared" si="9"/>
        <v>5.4829470658781479E-2</v>
      </c>
      <c r="W35" s="3"/>
      <c r="X35" s="6">
        <f t="shared" si="10"/>
        <v>1970.5299999999988</v>
      </c>
      <c r="Y35" s="3"/>
      <c r="Z35" s="7">
        <f t="shared" si="11"/>
        <v>2.236327344765722E-2</v>
      </c>
    </row>
    <row r="36" spans="1:26" s="69" customFormat="1" ht="15" hidden="1" customHeight="1" outlineLevel="2" x14ac:dyDescent="0.3">
      <c r="A36" s="21"/>
      <c r="B36" s="9" t="str">
        <f>CONCATENATE("          ","6117"," - ","RETIREMENT STAFF HOURLY")</f>
        <v xml:space="preserve">          6117 - RETIREMENT STAFF HOURLY</v>
      </c>
      <c r="C36" s="9"/>
      <c r="D36" s="6">
        <v>1481.2</v>
      </c>
      <c r="E36" s="3"/>
      <c r="F36" s="7">
        <f t="shared" si="4"/>
        <v>7.0285099748659124E-3</v>
      </c>
      <c r="G36" s="3"/>
      <c r="H36" s="6">
        <v>1294.78</v>
      </c>
      <c r="I36" s="3"/>
      <c r="J36" s="7">
        <f t="shared" si="5"/>
        <v>1.3374996035886613E-2</v>
      </c>
      <c r="K36" s="3"/>
      <c r="L36" s="6">
        <f t="shared" si="6"/>
        <v>186.42000000000007</v>
      </c>
      <c r="M36" s="3"/>
      <c r="N36" s="7">
        <f t="shared" si="7"/>
        <v>0.14397812755834974</v>
      </c>
      <c r="O36" s="9"/>
      <c r="P36" s="6">
        <v>20161.59</v>
      </c>
      <c r="Q36" s="3"/>
      <c r="R36" s="7">
        <f t="shared" si="8"/>
        <v>1.5118435150662309E-3</v>
      </c>
      <c r="S36" s="3"/>
      <c r="T36" s="6">
        <v>18126.740000000002</v>
      </c>
      <c r="U36" s="3"/>
      <c r="V36" s="7">
        <f t="shared" si="9"/>
        <v>1.1279402166558634E-2</v>
      </c>
      <c r="W36" s="3"/>
      <c r="X36" s="6">
        <f t="shared" si="10"/>
        <v>2034.8499999999985</v>
      </c>
      <c r="Y36" s="3"/>
      <c r="Z36" s="7">
        <f t="shared" si="11"/>
        <v>0.11225680955317936</v>
      </c>
    </row>
    <row r="37" spans="1:26" s="69" customFormat="1" ht="15" hidden="1" customHeight="1" outlineLevel="2" x14ac:dyDescent="0.3">
      <c r="A37" s="21"/>
      <c r="B37" s="9" t="str">
        <f>CONCATENATE("          ","6118"," - ","VACATION")</f>
        <v xml:space="preserve">          6118 - VACATION</v>
      </c>
      <c r="C37" s="9"/>
      <c r="D37" s="6">
        <v>9716.83</v>
      </c>
      <c r="E37" s="3"/>
      <c r="F37" s="7">
        <f t="shared" si="4"/>
        <v>4.6107775168158477E-2</v>
      </c>
      <c r="G37" s="3"/>
      <c r="H37" s="6">
        <v>8559.56</v>
      </c>
      <c r="I37" s="3"/>
      <c r="J37" s="7">
        <f t="shared" si="5"/>
        <v>8.8419716916336072E-2</v>
      </c>
      <c r="K37" s="3"/>
      <c r="L37" s="6">
        <f t="shared" si="6"/>
        <v>1157.2700000000004</v>
      </c>
      <c r="M37" s="3"/>
      <c r="N37" s="7">
        <f t="shared" si="7"/>
        <v>0.13520204309567321</v>
      </c>
      <c r="O37" s="9"/>
      <c r="P37" s="6">
        <v>136609.20000000001</v>
      </c>
      <c r="Q37" s="3"/>
      <c r="R37" s="7">
        <f t="shared" si="8"/>
        <v>1.0243821698506208E-2</v>
      </c>
      <c r="S37" s="3"/>
      <c r="T37" s="6">
        <v>111186.51</v>
      </c>
      <c r="U37" s="3"/>
      <c r="V37" s="7">
        <f t="shared" si="9"/>
        <v>6.9186040169721255E-2</v>
      </c>
      <c r="W37" s="3"/>
      <c r="X37" s="6">
        <f t="shared" si="10"/>
        <v>25422.690000000017</v>
      </c>
      <c r="Y37" s="3"/>
      <c r="Z37" s="7">
        <f t="shared" si="11"/>
        <v>0.22864905104045463</v>
      </c>
    </row>
    <row r="38" spans="1:26" s="69" customFormat="1" ht="15" hidden="1" customHeight="1" outlineLevel="2" x14ac:dyDescent="0.3">
      <c r="A38" s="21"/>
      <c r="B38" s="9" t="str">
        <f>CONCATENATE("          ","6119"," - ","SICK LEAVE")</f>
        <v xml:space="preserve">          6119 - SICK LEAVE</v>
      </c>
      <c r="C38" s="9"/>
      <c r="D38" s="6">
        <v>7056.78</v>
      </c>
      <c r="E38" s="3"/>
      <c r="F38" s="7">
        <f t="shared" si="4"/>
        <v>3.3485450054303451E-2</v>
      </c>
      <c r="G38" s="3"/>
      <c r="H38" s="6">
        <v>5387.89</v>
      </c>
      <c r="I38" s="3"/>
      <c r="J38" s="7">
        <f t="shared" si="5"/>
        <v>5.5656565124417377E-2</v>
      </c>
      <c r="K38" s="3"/>
      <c r="L38" s="6">
        <f t="shared" si="6"/>
        <v>1668.8899999999994</v>
      </c>
      <c r="M38" s="3"/>
      <c r="N38" s="7">
        <f t="shared" si="7"/>
        <v>0.3097483430433805</v>
      </c>
      <c r="O38" s="9"/>
      <c r="P38" s="6">
        <v>108485.94</v>
      </c>
      <c r="Q38" s="3"/>
      <c r="R38" s="7">
        <f t="shared" si="8"/>
        <v>8.1349618192247848E-3</v>
      </c>
      <c r="S38" s="3"/>
      <c r="T38" s="6">
        <v>71644.94</v>
      </c>
      <c r="U38" s="3"/>
      <c r="V38" s="7">
        <f t="shared" si="9"/>
        <v>4.4581214904553343E-2</v>
      </c>
      <c r="W38" s="3"/>
      <c r="X38" s="6">
        <f t="shared" si="10"/>
        <v>36841</v>
      </c>
      <c r="Y38" s="3"/>
      <c r="Z38" s="7">
        <f t="shared" si="11"/>
        <v>0.51421635638190222</v>
      </c>
    </row>
    <row r="39" spans="1:26" s="69" customFormat="1" ht="15" hidden="1" customHeight="1" outlineLevel="2" x14ac:dyDescent="0.3">
      <c r="A39" s="21"/>
      <c r="B39" s="9" t="str">
        <f>CONCATENATE("          ","6156"," - ","EMPLOYEE MEALS")</f>
        <v xml:space="preserve">          6156 - EMPLOYEE MEALS</v>
      </c>
      <c r="C39" s="9"/>
      <c r="D39" s="6">
        <v>4598.1000000000004</v>
      </c>
      <c r="E39" s="3"/>
      <c r="F39" s="7">
        <f t="shared" si="4"/>
        <v>2.1818654952356839E-2</v>
      </c>
      <c r="G39" s="3"/>
      <c r="H39" s="6">
        <v>3320.62</v>
      </c>
      <c r="I39" s="3"/>
      <c r="J39" s="7">
        <f t="shared" si="5"/>
        <v>3.4301795931884801E-2</v>
      </c>
      <c r="K39" s="3"/>
      <c r="L39" s="6">
        <f t="shared" si="6"/>
        <v>1277.4800000000005</v>
      </c>
      <c r="M39" s="3"/>
      <c r="N39" s="7">
        <f t="shared" si="7"/>
        <v>0.38471128885569578</v>
      </c>
      <c r="O39" s="9"/>
      <c r="P39" s="6">
        <v>59395.040000000001</v>
      </c>
      <c r="Q39" s="3"/>
      <c r="R39" s="7">
        <f t="shared" si="8"/>
        <v>4.4538156986179854E-3</v>
      </c>
      <c r="S39" s="3"/>
      <c r="T39" s="6">
        <v>33853.85</v>
      </c>
      <c r="U39" s="3"/>
      <c r="V39" s="7">
        <f t="shared" si="9"/>
        <v>2.1065629508469307E-2</v>
      </c>
      <c r="W39" s="3"/>
      <c r="X39" s="6">
        <f t="shared" si="10"/>
        <v>25541.190000000002</v>
      </c>
      <c r="Y39" s="3"/>
      <c r="Z39" s="7">
        <f t="shared" si="11"/>
        <v>0.7544545155130068</v>
      </c>
    </row>
    <row r="40" spans="1:26" s="68" customFormat="1" ht="15" customHeight="1" outlineLevel="1" collapsed="1" x14ac:dyDescent="0.3">
      <c r="A40" s="20"/>
      <c r="B40" s="11" t="str">
        <f>CONCATENATE("     ","*Payroll                                          ")</f>
        <v xml:space="preserve">     *Payroll                                          </v>
      </c>
      <c r="C40" s="11"/>
      <c r="D40" s="2">
        <f>SUM(OSRRefD22_1x_0)</f>
        <v>144862.12000000002</v>
      </c>
      <c r="E40" s="2"/>
      <c r="F40" s="5">
        <f t="shared" si="4"/>
        <v>0.6873918818527025</v>
      </c>
      <c r="G40" s="2"/>
      <c r="H40" s="2">
        <f>SUM(OSRRefH22_1x_0)</f>
        <v>104704.26999999999</v>
      </c>
      <c r="I40" s="2"/>
      <c r="J40" s="5">
        <f t="shared" si="5"/>
        <v>1.0815885294724985</v>
      </c>
      <c r="K40" s="2"/>
      <c r="L40" s="2">
        <f t="shared" si="6"/>
        <v>40157.850000000035</v>
      </c>
      <c r="M40" s="2"/>
      <c r="N40" s="5">
        <f t="shared" si="7"/>
        <v>0.38353593411233411</v>
      </c>
      <c r="O40" s="11"/>
      <c r="P40" s="2">
        <f>SUM(OSRRefP22_1x_0)</f>
        <v>3503863.0300000003</v>
      </c>
      <c r="Q40" s="2"/>
      <c r="R40" s="5">
        <f t="shared" si="8"/>
        <v>0.26274180754522908</v>
      </c>
      <c r="S40" s="2"/>
      <c r="T40" s="2">
        <f>SUM(OSRRefT22_1x_0)</f>
        <v>1582325.4399999997</v>
      </c>
      <c r="U40" s="2"/>
      <c r="V40" s="5">
        <f t="shared" si="9"/>
        <v>0.98460533974321018</v>
      </c>
      <c r="W40" s="2"/>
      <c r="X40" s="2">
        <f t="shared" si="10"/>
        <v>1921537.5900000005</v>
      </c>
      <c r="Y40" s="2"/>
      <c r="Z40" s="5">
        <f t="shared" si="11"/>
        <v>1.214375716540335</v>
      </c>
    </row>
    <row r="41" spans="1:26" s="69" customFormat="1" ht="15" hidden="1" customHeight="1" outlineLevel="2" x14ac:dyDescent="0.3">
      <c r="A41" s="21"/>
      <c r="B41" s="9" t="str">
        <f>CONCATENATE("          ","6001"," - ","ADMINISTRATIVE SALARIES")</f>
        <v xml:space="preserve">          6001 - ADMINISTRATIVE SALARIES</v>
      </c>
      <c r="C41" s="9"/>
      <c r="D41" s="6">
        <v>15073.93</v>
      </c>
      <c r="E41" s="3"/>
      <c r="F41" s="7">
        <f t="shared" si="4"/>
        <v>7.152799579086587E-2</v>
      </c>
      <c r="G41" s="3"/>
      <c r="H41" s="6">
        <v>17340.95</v>
      </c>
      <c r="I41" s="3"/>
      <c r="J41" s="7">
        <f t="shared" si="5"/>
        <v>0.17913092379285128</v>
      </c>
      <c r="K41" s="3"/>
      <c r="L41" s="6">
        <f t="shared" si="6"/>
        <v>-2267.0200000000004</v>
      </c>
      <c r="M41" s="3"/>
      <c r="N41" s="7">
        <f t="shared" si="7"/>
        <v>-0.13073216865281315</v>
      </c>
      <c r="O41" s="9"/>
      <c r="P41" s="6">
        <v>241964.29</v>
      </c>
      <c r="Q41" s="3"/>
      <c r="R41" s="7">
        <f t="shared" si="8"/>
        <v>1.8144012586016525E-2</v>
      </c>
      <c r="S41" s="3"/>
      <c r="T41" s="6">
        <v>236822.94</v>
      </c>
      <c r="U41" s="3"/>
      <c r="V41" s="7">
        <f t="shared" si="9"/>
        <v>0.14736357351221374</v>
      </c>
      <c r="W41" s="3"/>
      <c r="X41" s="6">
        <f t="shared" si="10"/>
        <v>5141.3500000000058</v>
      </c>
      <c r="Y41" s="3"/>
      <c r="Z41" s="7">
        <f t="shared" si="11"/>
        <v>2.1709678969444455E-2</v>
      </c>
    </row>
    <row r="42" spans="1:26" s="69" customFormat="1" ht="15" hidden="1" customHeight="1" outlineLevel="2" x14ac:dyDescent="0.3">
      <c r="A42" s="21"/>
      <c r="B42" s="9" t="str">
        <f>CONCATENATE("          ","6002"," - ","STAFF SALARIES")</f>
        <v xml:space="preserve">          6002 - STAFF SALARIES</v>
      </c>
      <c r="C42" s="9"/>
      <c r="D42" s="6">
        <v>37733.760000000002</v>
      </c>
      <c r="E42" s="3"/>
      <c r="F42" s="7">
        <f t="shared" si="4"/>
        <v>0.17905219318741317</v>
      </c>
      <c r="G42" s="3"/>
      <c r="H42" s="6">
        <v>38618.65</v>
      </c>
      <c r="I42" s="3"/>
      <c r="J42" s="7">
        <f t="shared" si="5"/>
        <v>0.39892822769991243</v>
      </c>
      <c r="K42" s="3"/>
      <c r="L42" s="6">
        <f t="shared" si="6"/>
        <v>-884.88999999999942</v>
      </c>
      <c r="M42" s="3"/>
      <c r="N42" s="7">
        <f t="shared" si="7"/>
        <v>-2.2913540478499361E-2</v>
      </c>
      <c r="O42" s="9"/>
      <c r="P42" s="6">
        <v>688953.05</v>
      </c>
      <c r="Q42" s="3"/>
      <c r="R42" s="7">
        <f t="shared" si="8"/>
        <v>5.1662056456241834E-2</v>
      </c>
      <c r="S42" s="3"/>
      <c r="T42" s="6">
        <v>519962.09</v>
      </c>
      <c r="U42" s="3"/>
      <c r="V42" s="7">
        <f t="shared" si="9"/>
        <v>0.32354750630694518</v>
      </c>
      <c r="W42" s="3"/>
      <c r="X42" s="6">
        <f t="shared" si="10"/>
        <v>168990.96000000002</v>
      </c>
      <c r="Y42" s="3"/>
      <c r="Z42" s="7">
        <f t="shared" si="11"/>
        <v>0.32500630959460913</v>
      </c>
    </row>
    <row r="43" spans="1:26" s="69" customFormat="1" ht="15" hidden="1" customHeight="1" outlineLevel="2" x14ac:dyDescent="0.3">
      <c r="A43" s="21"/>
      <c r="B43" s="9" t="str">
        <f>CONCATENATE("          ","6004"," - ","STAFF HOURLY")</f>
        <v xml:space="preserve">          6004 - STAFF HOURLY</v>
      </c>
      <c r="C43" s="9"/>
      <c r="D43" s="6">
        <v>65145.16</v>
      </c>
      <c r="E43" s="3"/>
      <c r="F43" s="7">
        <f t="shared" si="4"/>
        <v>0.30912328306389131</v>
      </c>
      <c r="G43" s="3"/>
      <c r="H43" s="6">
        <v>43013.96</v>
      </c>
      <c r="I43" s="3"/>
      <c r="J43" s="7">
        <f t="shared" si="5"/>
        <v>0.44433150379816289</v>
      </c>
      <c r="K43" s="3"/>
      <c r="L43" s="6">
        <f t="shared" si="6"/>
        <v>22131.200000000004</v>
      </c>
      <c r="M43" s="3"/>
      <c r="N43" s="7">
        <f t="shared" si="7"/>
        <v>0.51451203283771141</v>
      </c>
      <c r="O43" s="9"/>
      <c r="P43" s="6">
        <v>1035489.63</v>
      </c>
      <c r="Q43" s="3"/>
      <c r="R43" s="7">
        <f t="shared" si="8"/>
        <v>7.7647560635536725E-2</v>
      </c>
      <c r="S43" s="3"/>
      <c r="T43" s="6">
        <v>579169.66</v>
      </c>
      <c r="U43" s="3"/>
      <c r="V43" s="7">
        <f t="shared" si="9"/>
        <v>0.36038954151761582</v>
      </c>
      <c r="W43" s="3"/>
      <c r="X43" s="6">
        <f t="shared" si="10"/>
        <v>456319.97</v>
      </c>
      <c r="Y43" s="3"/>
      <c r="Z43" s="7">
        <f t="shared" si="11"/>
        <v>0.78788652361382316</v>
      </c>
    </row>
    <row r="44" spans="1:26" s="69" customFormat="1" ht="15" hidden="1" customHeight="1" outlineLevel="2" x14ac:dyDescent="0.3">
      <c r="A44" s="21"/>
      <c r="B44" s="9" t="str">
        <f>CONCATENATE("          ","6005"," - ","TEMPORARY WAGES-HOURLY")</f>
        <v xml:space="preserve">          6005 - TEMPORARY WAGES-HOURLY</v>
      </c>
      <c r="C44" s="9"/>
      <c r="D44" s="6">
        <v>18334.61</v>
      </c>
      <c r="E44" s="3"/>
      <c r="F44" s="7">
        <f t="shared" si="4"/>
        <v>8.7000397833024781E-2</v>
      </c>
      <c r="G44" s="3"/>
      <c r="H44" s="6">
        <v>5617.03</v>
      </c>
      <c r="I44" s="3"/>
      <c r="J44" s="7">
        <f t="shared" si="5"/>
        <v>5.8023566925235318E-2</v>
      </c>
      <c r="K44" s="3"/>
      <c r="L44" s="6">
        <f t="shared" si="6"/>
        <v>12717.580000000002</v>
      </c>
      <c r="M44" s="3"/>
      <c r="N44" s="7">
        <f t="shared" si="7"/>
        <v>2.2641111049789662</v>
      </c>
      <c r="O44" s="9"/>
      <c r="P44" s="6">
        <v>533239.32999999996</v>
      </c>
      <c r="Q44" s="3"/>
      <c r="R44" s="7">
        <f t="shared" si="8"/>
        <v>3.9985657035916403E-2</v>
      </c>
      <c r="S44" s="3"/>
      <c r="T44" s="6">
        <v>116015.42</v>
      </c>
      <c r="U44" s="3"/>
      <c r="V44" s="7">
        <f t="shared" si="9"/>
        <v>7.2190839594003645E-2</v>
      </c>
      <c r="W44" s="3"/>
      <c r="X44" s="6">
        <f t="shared" si="10"/>
        <v>417223.91</v>
      </c>
      <c r="Y44" s="3"/>
      <c r="Z44" s="7">
        <f t="shared" si="11"/>
        <v>3.5962797876351265</v>
      </c>
    </row>
    <row r="45" spans="1:26" s="69" customFormat="1" ht="15" hidden="1" customHeight="1" outlineLevel="2" x14ac:dyDescent="0.3">
      <c r="A45" s="21"/>
      <c r="B45" s="9" t="str">
        <f>CONCATENATE("          ","6006"," - ","TEMPORARY PART TIME")</f>
        <v xml:space="preserve">          6006 - TEMPORARY PART TIME</v>
      </c>
      <c r="C45" s="9"/>
      <c r="D45" s="6">
        <v>463.45</v>
      </c>
      <c r="E45" s="3"/>
      <c r="F45" s="7">
        <f t="shared" si="4"/>
        <v>2.1991378259867719E-3</v>
      </c>
      <c r="G45" s="3"/>
      <c r="H45" s="6"/>
      <c r="I45" s="3"/>
      <c r="J45" s="7">
        <f t="shared" si="5"/>
        <v>0</v>
      </c>
      <c r="K45" s="3"/>
      <c r="L45" s="6">
        <f t="shared" si="6"/>
        <v>463.45</v>
      </c>
      <c r="M45" s="3"/>
      <c r="N45" s="7">
        <f t="shared" si="7"/>
        <v>0</v>
      </c>
      <c r="O45" s="9"/>
      <c r="P45" s="6">
        <v>9661.67</v>
      </c>
      <c r="Q45" s="3"/>
      <c r="R45" s="7">
        <f t="shared" si="8"/>
        <v>7.2449311459115828E-4</v>
      </c>
      <c r="S45" s="3"/>
      <c r="T45" s="6">
        <v>2427.2199999999998</v>
      </c>
      <c r="U45" s="3"/>
      <c r="V45" s="7">
        <f t="shared" si="9"/>
        <v>1.5103427602930501E-3</v>
      </c>
      <c r="W45" s="3"/>
      <c r="X45" s="6">
        <f t="shared" si="10"/>
        <v>7234.4500000000007</v>
      </c>
      <c r="Y45" s="3"/>
      <c r="Z45" s="7">
        <f t="shared" si="11"/>
        <v>2.9805497647514447</v>
      </c>
    </row>
    <row r="46" spans="1:26" s="69" customFormat="1" ht="15" hidden="1" customHeight="1" outlineLevel="2" x14ac:dyDescent="0.3">
      <c r="A46" s="21"/>
      <c r="B46" s="9" t="str">
        <f>CONCATENATE("          ","6007"," - ","STUDENT HOURLY")</f>
        <v xml:space="preserve">          6007 - STUDENT HOURLY</v>
      </c>
      <c r="C46" s="9"/>
      <c r="D46" s="6">
        <v>6355.61</v>
      </c>
      <c r="E46" s="3"/>
      <c r="F46" s="7">
        <f t="shared" si="4"/>
        <v>3.0158296166187912E-2</v>
      </c>
      <c r="G46" s="3"/>
      <c r="H46" s="6">
        <v>113.68</v>
      </c>
      <c r="I46" s="3"/>
      <c r="J46" s="7">
        <f t="shared" si="5"/>
        <v>1.1743072563366675E-3</v>
      </c>
      <c r="K46" s="3"/>
      <c r="L46" s="6">
        <f t="shared" si="6"/>
        <v>6241.9299999999994</v>
      </c>
      <c r="M46" s="3"/>
      <c r="N46" s="7">
        <f t="shared" si="7"/>
        <v>54.9078993666432</v>
      </c>
      <c r="O46" s="9"/>
      <c r="P46" s="6">
        <v>742794.88</v>
      </c>
      <c r="Q46" s="3"/>
      <c r="R46" s="7">
        <f t="shared" si="8"/>
        <v>5.5699457351944918E-2</v>
      </c>
      <c r="S46" s="3"/>
      <c r="T46" s="6">
        <v>117297.23</v>
      </c>
      <c r="U46" s="3"/>
      <c r="V46" s="7">
        <f t="shared" si="9"/>
        <v>7.2988448567879616E-2</v>
      </c>
      <c r="W46" s="3"/>
      <c r="X46" s="6">
        <f t="shared" si="10"/>
        <v>625497.65</v>
      </c>
      <c r="Y46" s="3"/>
      <c r="Z46" s="7">
        <f t="shared" si="11"/>
        <v>5.3325867115532057</v>
      </c>
    </row>
    <row r="47" spans="1:26" s="69" customFormat="1" ht="15" hidden="1" customHeight="1" outlineLevel="2" x14ac:dyDescent="0.3">
      <c r="A47" s="21"/>
      <c r="B47" s="9" t="str">
        <f>CONCATENATE("          ","6008"," - ","STUDENT HOURLY-FICA EXEMPT")</f>
        <v xml:space="preserve">          6008 - STUDENT HOURLY-FICA EXEMPT</v>
      </c>
      <c r="C47" s="9"/>
      <c r="D47" s="6">
        <v>1755.6</v>
      </c>
      <c r="E47" s="3"/>
      <c r="F47" s="7">
        <f t="shared" si="4"/>
        <v>8.3305779853325643E-3</v>
      </c>
      <c r="G47" s="3"/>
      <c r="H47" s="6"/>
      <c r="I47" s="3"/>
      <c r="J47" s="7">
        <f t="shared" si="5"/>
        <v>0</v>
      </c>
      <c r="K47" s="3"/>
      <c r="L47" s="6">
        <f t="shared" si="6"/>
        <v>1755.6</v>
      </c>
      <c r="M47" s="3"/>
      <c r="N47" s="7">
        <f t="shared" si="7"/>
        <v>0</v>
      </c>
      <c r="O47" s="9"/>
      <c r="P47" s="6">
        <v>251760.18</v>
      </c>
      <c r="Q47" s="3"/>
      <c r="R47" s="7">
        <f t="shared" si="8"/>
        <v>1.887857036498148E-2</v>
      </c>
      <c r="S47" s="3"/>
      <c r="T47" s="6">
        <v>10630.88</v>
      </c>
      <c r="U47" s="3"/>
      <c r="V47" s="7">
        <f t="shared" si="9"/>
        <v>6.6150874842594324E-3</v>
      </c>
      <c r="W47" s="3"/>
      <c r="X47" s="6">
        <f t="shared" si="10"/>
        <v>241129.3</v>
      </c>
      <c r="Y47" s="3"/>
      <c r="Z47" s="7">
        <f t="shared" si="11"/>
        <v>22.68196988396069</v>
      </c>
    </row>
    <row r="48" spans="1:26" s="68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1661.05</v>
      </c>
      <c r="E48" s="2"/>
      <c r="F48" s="5">
        <f t="shared" si="4"/>
        <v>7.8819244489272359E-3</v>
      </c>
      <c r="G48" s="2"/>
      <c r="H48" s="2">
        <f>SUM(OSRRefH22_2x_0)</f>
        <v>75.180000000000007</v>
      </c>
      <c r="I48" s="2"/>
      <c r="J48" s="5">
        <f t="shared" si="5"/>
        <v>7.7660467568077638E-4</v>
      </c>
      <c r="K48" s="2"/>
      <c r="L48" s="2">
        <f t="shared" si="6"/>
        <v>1585.87</v>
      </c>
      <c r="M48" s="2"/>
      <c r="N48" s="5">
        <f t="shared" si="7"/>
        <v>21.094306996541629</v>
      </c>
      <c r="O48" s="11"/>
      <c r="P48" s="2">
        <f>SUM(OSRRefP22_2x_0)</f>
        <v>9044.0499999999993</v>
      </c>
      <c r="Q48" s="2"/>
      <c r="R48" s="5">
        <f t="shared" si="8"/>
        <v>6.7818006131633191E-4</v>
      </c>
      <c r="S48" s="2"/>
      <c r="T48" s="2">
        <f>SUM(OSRRefT22_2x_0)</f>
        <v>2090.56</v>
      </c>
      <c r="U48" s="2"/>
      <c r="V48" s="5">
        <f t="shared" si="9"/>
        <v>1.3008553657922392E-3</v>
      </c>
      <c r="W48" s="2"/>
      <c r="X48" s="2">
        <f t="shared" si="10"/>
        <v>6953.49</v>
      </c>
      <c r="Y48" s="2"/>
      <c r="Z48" s="5">
        <f t="shared" si="11"/>
        <v>3.3261374942599113</v>
      </c>
    </row>
    <row r="49" spans="1:26" s="69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>
        <v>1661.05</v>
      </c>
      <c r="E49" s="3"/>
      <c r="F49" s="7">
        <f t="shared" si="4"/>
        <v>7.8819244489272359E-3</v>
      </c>
      <c r="G49" s="3"/>
      <c r="H49" s="6">
        <v>75.180000000000007</v>
      </c>
      <c r="I49" s="3"/>
      <c r="J49" s="7">
        <f t="shared" si="5"/>
        <v>7.7660467568077638E-4</v>
      </c>
      <c r="K49" s="3"/>
      <c r="L49" s="6">
        <f t="shared" si="6"/>
        <v>1585.87</v>
      </c>
      <c r="M49" s="3"/>
      <c r="N49" s="7">
        <f t="shared" si="7"/>
        <v>21.094306996541629</v>
      </c>
      <c r="O49" s="9"/>
      <c r="P49" s="6">
        <v>9044.0499999999993</v>
      </c>
      <c r="Q49" s="3"/>
      <c r="R49" s="7">
        <f t="shared" si="8"/>
        <v>6.7818006131633191E-4</v>
      </c>
      <c r="S49" s="3"/>
      <c r="T49" s="6">
        <v>2090.56</v>
      </c>
      <c r="U49" s="3"/>
      <c r="V49" s="7">
        <f t="shared" si="9"/>
        <v>1.3008553657922392E-3</v>
      </c>
      <c r="W49" s="3"/>
      <c r="X49" s="6">
        <f t="shared" si="10"/>
        <v>6953.49</v>
      </c>
      <c r="Y49" s="3"/>
      <c r="Z49" s="7">
        <f t="shared" si="11"/>
        <v>3.3261374942599113</v>
      </c>
    </row>
    <row r="50" spans="1:26" s="68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-9.34</v>
      </c>
      <c r="E50" s="2"/>
      <c r="F50" s="5">
        <f t="shared" si="4"/>
        <v>-4.4319661872297875E-5</v>
      </c>
      <c r="G50" s="2"/>
      <c r="H50" s="2">
        <f>SUM(OSRRefH22_3x_0)</f>
        <v>-2.69</v>
      </c>
      <c r="I50" s="2"/>
      <c r="J50" s="5">
        <f t="shared" si="5"/>
        <v>-2.7787530960112906E-5</v>
      </c>
      <c r="K50" s="2"/>
      <c r="L50" s="2">
        <f t="shared" si="6"/>
        <v>-6.65</v>
      </c>
      <c r="M50" s="2"/>
      <c r="N50" s="5">
        <f t="shared" si="7"/>
        <v>2.472118959107807</v>
      </c>
      <c r="O50" s="11"/>
      <c r="P50" s="2">
        <f>SUM(OSRRefP22_3x_0)</f>
        <v>-35.549999999999997</v>
      </c>
      <c r="Q50" s="2"/>
      <c r="R50" s="5">
        <f t="shared" si="8"/>
        <v>-2.6657638093327216E-6</v>
      </c>
      <c r="S50" s="2"/>
      <c r="T50" s="2">
        <f>SUM(OSRRefT22_3x_0)</f>
        <v>67.05</v>
      </c>
      <c r="U50" s="2"/>
      <c r="V50" s="5">
        <f t="shared" si="9"/>
        <v>4.1722003805855673E-5</v>
      </c>
      <c r="W50" s="2"/>
      <c r="X50" s="2">
        <f t="shared" si="10"/>
        <v>-102.6</v>
      </c>
      <c r="Y50" s="2"/>
      <c r="Z50" s="5">
        <f t="shared" si="11"/>
        <v>-1.5302013422818792</v>
      </c>
    </row>
    <row r="51" spans="1:26" s="69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>
        <v>-9.34</v>
      </c>
      <c r="E51" s="3"/>
      <c r="F51" s="7">
        <f t="shared" si="4"/>
        <v>-4.4319661872297875E-5</v>
      </c>
      <c r="G51" s="3"/>
      <c r="H51" s="6">
        <v>-2.69</v>
      </c>
      <c r="I51" s="3"/>
      <c r="J51" s="7">
        <f t="shared" si="5"/>
        <v>-2.7787530960112906E-5</v>
      </c>
      <c r="K51" s="3"/>
      <c r="L51" s="6">
        <f t="shared" si="6"/>
        <v>-6.65</v>
      </c>
      <c r="M51" s="3"/>
      <c r="N51" s="7">
        <f t="shared" si="7"/>
        <v>2.472118959107807</v>
      </c>
      <c r="O51" s="9"/>
      <c r="P51" s="6">
        <v>-35.549999999999997</v>
      </c>
      <c r="Q51" s="3"/>
      <c r="R51" s="7">
        <f t="shared" si="8"/>
        <v>-2.6657638093327216E-6</v>
      </c>
      <c r="S51" s="3"/>
      <c r="T51" s="6">
        <v>67.05</v>
      </c>
      <c r="U51" s="3"/>
      <c r="V51" s="7">
        <f t="shared" si="9"/>
        <v>4.1722003805855673E-5</v>
      </c>
      <c r="W51" s="3"/>
      <c r="X51" s="6">
        <f t="shared" si="10"/>
        <v>-102.6</v>
      </c>
      <c r="Y51" s="3"/>
      <c r="Z51" s="7">
        <f t="shared" si="11"/>
        <v>-1.5302013422818792</v>
      </c>
    </row>
    <row r="52" spans="1:26" s="68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1690.14</v>
      </c>
      <c r="E52" s="2"/>
      <c r="F52" s="5">
        <f t="shared" si="4"/>
        <v>8.0199607405616203E-3</v>
      </c>
      <c r="G52" s="2"/>
      <c r="H52" s="2">
        <f>SUM(OSRRefH22_4x_0)</f>
        <v>829.57</v>
      </c>
      <c r="I52" s="2"/>
      <c r="J52" s="5">
        <f t="shared" si="5"/>
        <v>8.5694059697326644E-3</v>
      </c>
      <c r="K52" s="2"/>
      <c r="L52" s="2">
        <f t="shared" si="6"/>
        <v>860.57</v>
      </c>
      <c r="M52" s="2"/>
      <c r="N52" s="5">
        <f t="shared" si="7"/>
        <v>1.037368757308003</v>
      </c>
      <c r="O52" s="11"/>
      <c r="P52" s="2">
        <f>SUM(OSRRefP22_4x_0)</f>
        <v>56425.8</v>
      </c>
      <c r="Q52" s="2"/>
      <c r="R52" s="5">
        <f t="shared" si="8"/>
        <v>4.2311633066848464E-3</v>
      </c>
      <c r="S52" s="2"/>
      <c r="T52" s="2">
        <f>SUM(OSRRefT22_4x_0)</f>
        <v>8271.23</v>
      </c>
      <c r="U52" s="2"/>
      <c r="V52" s="5">
        <f t="shared" si="9"/>
        <v>5.146790298868123E-3</v>
      </c>
      <c r="W52" s="2"/>
      <c r="X52" s="2">
        <f t="shared" si="10"/>
        <v>48154.570000000007</v>
      </c>
      <c r="Y52" s="2"/>
      <c r="Z52" s="5">
        <f t="shared" si="11"/>
        <v>5.8219357943135437</v>
      </c>
    </row>
    <row r="53" spans="1:26" s="69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1690.14</v>
      </c>
      <c r="E53" s="3"/>
      <c r="F53" s="7">
        <f t="shared" si="4"/>
        <v>8.0199607405616203E-3</v>
      </c>
      <c r="G53" s="3"/>
      <c r="H53" s="6">
        <v>829.57</v>
      </c>
      <c r="I53" s="3"/>
      <c r="J53" s="7">
        <f t="shared" si="5"/>
        <v>8.5694059697326644E-3</v>
      </c>
      <c r="K53" s="3"/>
      <c r="L53" s="6">
        <f t="shared" si="6"/>
        <v>860.57</v>
      </c>
      <c r="M53" s="3"/>
      <c r="N53" s="7">
        <f t="shared" si="7"/>
        <v>1.037368757308003</v>
      </c>
      <c r="O53" s="9"/>
      <c r="P53" s="6">
        <v>56425.8</v>
      </c>
      <c r="Q53" s="3"/>
      <c r="R53" s="7">
        <f t="shared" si="8"/>
        <v>4.2311633066848464E-3</v>
      </c>
      <c r="S53" s="3"/>
      <c r="T53" s="6">
        <v>8271.23</v>
      </c>
      <c r="U53" s="3"/>
      <c r="V53" s="7">
        <f t="shared" si="9"/>
        <v>5.146790298868123E-3</v>
      </c>
      <c r="W53" s="3"/>
      <c r="X53" s="6">
        <f t="shared" si="10"/>
        <v>48154.570000000007</v>
      </c>
      <c r="Y53" s="3"/>
      <c r="Z53" s="7">
        <f t="shared" si="11"/>
        <v>5.8219357943135437</v>
      </c>
    </row>
    <row r="54" spans="1:26" s="68" customFormat="1" ht="15" customHeight="1" outlineLevel="1" collapsed="1" x14ac:dyDescent="0.3">
      <c r="A54" s="20"/>
      <c r="B54" s="11" t="str">
        <f>CONCATENATE("     ","Depreciation                                      ")</f>
        <v xml:space="preserve">     Depreciation                                      </v>
      </c>
      <c r="C54" s="11"/>
      <c r="D54" s="2">
        <f>SUM(OSRRefD22_5x_0)</f>
        <v>37482.82</v>
      </c>
      <c r="E54" s="2"/>
      <c r="F54" s="5">
        <f t="shared" si="4"/>
        <v>0.17786144629766643</v>
      </c>
      <c r="G54" s="2"/>
      <c r="H54" s="2">
        <f>SUM(OSRRefH22_5x_0)</f>
        <v>31802.329999999998</v>
      </c>
      <c r="I54" s="2"/>
      <c r="J54" s="5">
        <f t="shared" si="5"/>
        <v>0.32851607043818865</v>
      </c>
      <c r="K54" s="2"/>
      <c r="L54" s="2">
        <f t="shared" si="6"/>
        <v>5680.4900000000016</v>
      </c>
      <c r="M54" s="2"/>
      <c r="N54" s="5">
        <f t="shared" si="7"/>
        <v>0.17861867353744212</v>
      </c>
      <c r="O54" s="11"/>
      <c r="P54" s="2">
        <f>SUM(OSRRefP22_5x_0)</f>
        <v>413195.5</v>
      </c>
      <c r="Q54" s="2"/>
      <c r="R54" s="5">
        <f t="shared" si="8"/>
        <v>3.0984011535278161E-2</v>
      </c>
      <c r="S54" s="2"/>
      <c r="T54" s="2">
        <f>SUM(OSRRefT22_5x_0)</f>
        <v>446369.24</v>
      </c>
      <c r="U54" s="2"/>
      <c r="V54" s="5">
        <f t="shared" si="9"/>
        <v>0.27775420029973014</v>
      </c>
      <c r="W54" s="2"/>
      <c r="X54" s="2">
        <f t="shared" si="10"/>
        <v>-33173.739999999991</v>
      </c>
      <c r="Y54" s="2"/>
      <c r="Z54" s="5">
        <f t="shared" si="11"/>
        <v>-7.4319054780746074E-2</v>
      </c>
    </row>
    <row r="55" spans="1:26" s="69" customFormat="1" ht="15" hidden="1" customHeight="1" outlineLevel="2" x14ac:dyDescent="0.3">
      <c r="A55" s="21"/>
      <c r="B55" s="9" t="str">
        <f>CONCATENATE("          ","6321"," - ","BUILDING DEPRECIATION")</f>
        <v xml:space="preserve">          6321 - BUILDING DEPRECIATION</v>
      </c>
      <c r="C55" s="9"/>
      <c r="D55" s="6">
        <v>23539.43</v>
      </c>
      <c r="E55" s="3"/>
      <c r="F55" s="7">
        <f t="shared" si="4"/>
        <v>0.1116980276516729</v>
      </c>
      <c r="G55" s="3"/>
      <c r="H55" s="6">
        <v>23583.53</v>
      </c>
      <c r="I55" s="3"/>
      <c r="J55" s="7">
        <f t="shared" si="5"/>
        <v>0.24361638290845783</v>
      </c>
      <c r="K55" s="3"/>
      <c r="L55" s="6">
        <f t="shared" si="6"/>
        <v>-44.099999999998545</v>
      </c>
      <c r="M55" s="3"/>
      <c r="N55" s="7">
        <f t="shared" si="7"/>
        <v>-1.869949070389316E-3</v>
      </c>
      <c r="O55" s="9"/>
      <c r="P55" s="6">
        <v>282560.96999999997</v>
      </c>
      <c r="Q55" s="3"/>
      <c r="R55" s="7">
        <f t="shared" si="8"/>
        <v>2.1188208375694764E-2</v>
      </c>
      <c r="S55" s="3"/>
      <c r="T55" s="6">
        <v>283786.11</v>
      </c>
      <c r="U55" s="3"/>
      <c r="V55" s="7">
        <f t="shared" si="9"/>
        <v>0.17658650501818013</v>
      </c>
      <c r="W55" s="3"/>
      <c r="X55" s="6">
        <f t="shared" si="10"/>
        <v>-1225.140000000014</v>
      </c>
      <c r="Y55" s="3"/>
      <c r="Z55" s="7">
        <f t="shared" si="11"/>
        <v>-4.3171246119128731E-3</v>
      </c>
    </row>
    <row r="56" spans="1:26" s="69" customFormat="1" ht="15" hidden="1" customHeight="1" outlineLevel="2" x14ac:dyDescent="0.3">
      <c r="A56" s="21"/>
      <c r="B56" s="9" t="str">
        <f>CONCATENATE("          ","6322"," - ","EQUIPMENT DEPRECIATION EXPENSE")</f>
        <v xml:space="preserve">          6322 - EQUIPMENT DEPRECIATION EXPENSE</v>
      </c>
      <c r="C56" s="9"/>
      <c r="D56" s="6">
        <v>13943.39</v>
      </c>
      <c r="E56" s="3"/>
      <c r="F56" s="7">
        <f t="shared" si="4"/>
        <v>6.6163418645993524E-2</v>
      </c>
      <c r="G56" s="3"/>
      <c r="H56" s="6">
        <v>8218.7999999999993</v>
      </c>
      <c r="I56" s="3"/>
      <c r="J56" s="7">
        <f t="shared" si="5"/>
        <v>8.489968752973083E-2</v>
      </c>
      <c r="K56" s="3"/>
      <c r="L56" s="6">
        <f t="shared" si="6"/>
        <v>5724.59</v>
      </c>
      <c r="M56" s="3"/>
      <c r="N56" s="7">
        <f t="shared" si="7"/>
        <v>0.69652382342921115</v>
      </c>
      <c r="O56" s="9"/>
      <c r="P56" s="6">
        <v>130634.53</v>
      </c>
      <c r="Q56" s="3"/>
      <c r="R56" s="7">
        <f t="shared" si="8"/>
        <v>9.7958031595833956E-3</v>
      </c>
      <c r="S56" s="3"/>
      <c r="T56" s="6">
        <v>162583.13</v>
      </c>
      <c r="U56" s="3"/>
      <c r="V56" s="7">
        <f t="shared" si="9"/>
        <v>0.10116769528155001</v>
      </c>
      <c r="W56" s="3"/>
      <c r="X56" s="6">
        <f t="shared" si="10"/>
        <v>-31948.600000000006</v>
      </c>
      <c r="Y56" s="3"/>
      <c r="Z56" s="7">
        <f t="shared" si="11"/>
        <v>-0.1965062426833584</v>
      </c>
    </row>
    <row r="57" spans="1:26" s="68" customFormat="1" ht="15" customHeight="1" outlineLevel="1" collapsed="1" x14ac:dyDescent="0.3">
      <c r="A57" s="20"/>
      <c r="B57" s="11" t="str">
        <f>CONCATENATE("     ","Donations                                         ")</f>
        <v xml:space="preserve">     Donations                                         </v>
      </c>
      <c r="C57" s="11"/>
      <c r="D57" s="2">
        <f>SUM(OSRRefD22_6x_0)</f>
        <v>337.65</v>
      </c>
      <c r="E57" s="2"/>
      <c r="F57" s="5">
        <f t="shared" si="4"/>
        <v>1.6021984829958649E-3</v>
      </c>
      <c r="G57" s="2"/>
      <c r="H57" s="2">
        <f>SUM(OSRRefH22_6x_0)</f>
        <v>0</v>
      </c>
      <c r="I57" s="2"/>
      <c r="J57" s="5">
        <f t="shared" si="5"/>
        <v>0</v>
      </c>
      <c r="K57" s="2"/>
      <c r="L57" s="2">
        <f t="shared" si="6"/>
        <v>337.65</v>
      </c>
      <c r="M57" s="2"/>
      <c r="N57" s="5">
        <f t="shared" si="7"/>
        <v>0</v>
      </c>
      <c r="O57" s="11"/>
      <c r="P57" s="2">
        <f>SUM(OSRRefP22_6x_0)</f>
        <v>70891.38</v>
      </c>
      <c r="Q57" s="2"/>
      <c r="R57" s="5">
        <f t="shared" si="8"/>
        <v>5.3158839718045999E-3</v>
      </c>
      <c r="S57" s="2"/>
      <c r="T57" s="2">
        <f>SUM(OSRRefT22_6x_0)</f>
        <v>61909.05</v>
      </c>
      <c r="U57" s="2"/>
      <c r="V57" s="5">
        <f t="shared" si="9"/>
        <v>3.8523036833958385E-2</v>
      </c>
      <c r="W57" s="2"/>
      <c r="X57" s="2">
        <f t="shared" si="10"/>
        <v>8982.3300000000017</v>
      </c>
      <c r="Y57" s="2"/>
      <c r="Z57" s="5">
        <f t="shared" si="11"/>
        <v>0.1450891267108767</v>
      </c>
    </row>
    <row r="58" spans="1:26" s="69" customFormat="1" ht="15" hidden="1" customHeight="1" outlineLevel="2" x14ac:dyDescent="0.3">
      <c r="A58" s="21"/>
      <c r="B58" s="9" t="str">
        <f>CONCATENATE("          ","6399"," - ","DONATION-ON CAMPUS")</f>
        <v xml:space="preserve">          6399 - DONATION-ON CAMPUS</v>
      </c>
      <c r="C58" s="9"/>
      <c r="D58" s="6">
        <v>337.65</v>
      </c>
      <c r="E58" s="3"/>
      <c r="F58" s="7">
        <f t="shared" si="4"/>
        <v>1.6021984829958649E-3</v>
      </c>
      <c r="G58" s="3"/>
      <c r="H58" s="6"/>
      <c r="I58" s="3"/>
      <c r="J58" s="7">
        <f t="shared" si="5"/>
        <v>0</v>
      </c>
      <c r="K58" s="3"/>
      <c r="L58" s="6">
        <f t="shared" si="6"/>
        <v>337.65</v>
      </c>
      <c r="M58" s="3"/>
      <c r="N58" s="7">
        <f t="shared" si="7"/>
        <v>0</v>
      </c>
      <c r="O58" s="9"/>
      <c r="P58" s="6">
        <v>70891.38</v>
      </c>
      <c r="Q58" s="3"/>
      <c r="R58" s="7">
        <f t="shared" si="8"/>
        <v>5.3158839718045999E-3</v>
      </c>
      <c r="S58" s="3"/>
      <c r="T58" s="6">
        <v>61909.05</v>
      </c>
      <c r="U58" s="3"/>
      <c r="V58" s="7">
        <f t="shared" si="9"/>
        <v>3.8523036833958385E-2</v>
      </c>
      <c r="W58" s="3"/>
      <c r="X58" s="6">
        <f t="shared" si="10"/>
        <v>8982.3300000000017</v>
      </c>
      <c r="Y58" s="3"/>
      <c r="Z58" s="7">
        <f t="shared" si="11"/>
        <v>0.1450891267108767</v>
      </c>
    </row>
    <row r="59" spans="1:26" s="68" customFormat="1" ht="15" customHeight="1" outlineLevel="1" collapsed="1" x14ac:dyDescent="0.3">
      <c r="A59" s="20"/>
      <c r="B59" s="11" t="str">
        <f>CONCATENATE("     ","Employees' Appreciation                           ")</f>
        <v xml:space="preserve">     Employees' Appreciation                           </v>
      </c>
      <c r="C59" s="11"/>
      <c r="D59" s="2">
        <f>SUM(OSRRefD22_7x_0)</f>
        <v>0</v>
      </c>
      <c r="E59" s="2"/>
      <c r="F59" s="5">
        <f t="shared" si="4"/>
        <v>0</v>
      </c>
      <c r="G59" s="2"/>
      <c r="H59" s="2">
        <f>SUM(OSRRefH22_7x_0)</f>
        <v>25</v>
      </c>
      <c r="I59" s="2"/>
      <c r="J59" s="5">
        <f t="shared" si="5"/>
        <v>2.5824842899733184E-4</v>
      </c>
      <c r="K59" s="2"/>
      <c r="L59" s="2">
        <f t="shared" si="6"/>
        <v>-25</v>
      </c>
      <c r="M59" s="2"/>
      <c r="N59" s="5">
        <f t="shared" si="7"/>
        <v>-1</v>
      </c>
      <c r="O59" s="11"/>
      <c r="P59" s="2">
        <f>SUM(OSRRefP22_7x_0)</f>
        <v>702.03</v>
      </c>
      <c r="Q59" s="2"/>
      <c r="R59" s="5">
        <f t="shared" si="8"/>
        <v>5.2642648862611829E-5</v>
      </c>
      <c r="S59" s="2"/>
      <c r="T59" s="2">
        <f>SUM(OSRRefT22_7x_0)</f>
        <v>35</v>
      </c>
      <c r="U59" s="2"/>
      <c r="V59" s="5">
        <f t="shared" si="9"/>
        <v>2.1778823761445918E-5</v>
      </c>
      <c r="W59" s="2"/>
      <c r="X59" s="2">
        <f t="shared" si="10"/>
        <v>667.03</v>
      </c>
      <c r="Y59" s="2"/>
      <c r="Z59" s="5">
        <f t="shared" si="11"/>
        <v>19.058</v>
      </c>
    </row>
    <row r="60" spans="1:26" s="69" customFormat="1" ht="15" hidden="1" customHeight="1" outlineLevel="2" x14ac:dyDescent="0.3">
      <c r="A60" s="21"/>
      <c r="B60" s="9" t="str">
        <f>CONCATENATE("          ","6277"," - ","EMPLOYEE APPRECIATION")</f>
        <v xml:space="preserve">          6277 - EMPLOYEE APPRECIATION</v>
      </c>
      <c r="C60" s="9"/>
      <c r="D60" s="6"/>
      <c r="E60" s="3"/>
      <c r="F60" s="7">
        <f t="shared" si="4"/>
        <v>0</v>
      </c>
      <c r="G60" s="3"/>
      <c r="H60" s="6">
        <v>25</v>
      </c>
      <c r="I60" s="3"/>
      <c r="J60" s="7">
        <f t="shared" si="5"/>
        <v>2.5824842899733184E-4</v>
      </c>
      <c r="K60" s="3"/>
      <c r="L60" s="6">
        <f t="shared" si="6"/>
        <v>-25</v>
      </c>
      <c r="M60" s="3"/>
      <c r="N60" s="7">
        <f t="shared" si="7"/>
        <v>-1</v>
      </c>
      <c r="O60" s="9"/>
      <c r="P60" s="6">
        <v>702.03</v>
      </c>
      <c r="Q60" s="3"/>
      <c r="R60" s="7">
        <f t="shared" si="8"/>
        <v>5.2642648862611829E-5</v>
      </c>
      <c r="S60" s="3"/>
      <c r="T60" s="6">
        <v>35</v>
      </c>
      <c r="U60" s="3"/>
      <c r="V60" s="7">
        <f t="shared" si="9"/>
        <v>2.1778823761445918E-5</v>
      </c>
      <c r="W60" s="3"/>
      <c r="X60" s="6">
        <f t="shared" si="10"/>
        <v>667.03</v>
      </c>
      <c r="Y60" s="3"/>
      <c r="Z60" s="7">
        <f t="shared" si="11"/>
        <v>19.058</v>
      </c>
    </row>
    <row r="61" spans="1:26" s="68" customFormat="1" ht="15" customHeight="1" outlineLevel="1" collapsed="1" x14ac:dyDescent="0.3">
      <c r="A61" s="20"/>
      <c r="B61" s="11" t="str">
        <f>CONCATENATE("     ","Equipment Rental                                  ")</f>
        <v xml:space="preserve">     Equipment Rental                                  </v>
      </c>
      <c r="C61" s="11"/>
      <c r="D61" s="2">
        <f>SUM(OSRRefD22_8x_0)</f>
        <v>1224.04</v>
      </c>
      <c r="E61" s="2"/>
      <c r="F61" s="5">
        <f t="shared" ref="F61:F92" si="12">IF(D$12=0,0,D61/D$12)</f>
        <v>5.808248278176391E-3</v>
      </c>
      <c r="G61" s="2"/>
      <c r="H61" s="2">
        <f>SUM(OSRRefH22_8x_0)</f>
        <v>1881.19</v>
      </c>
      <c r="I61" s="2"/>
      <c r="J61" s="5">
        <f t="shared" ref="J61:J92" si="13">IF(H$12=0,0,H61/H$12)</f>
        <v>1.9432574485819629E-2</v>
      </c>
      <c r="K61" s="2"/>
      <c r="L61" s="2">
        <f t="shared" ref="L61:L92" si="14">+D61-H61</f>
        <v>-657.15000000000009</v>
      </c>
      <c r="M61" s="2"/>
      <c r="N61" s="5">
        <f t="shared" ref="N61:N92" si="15">IF(H61=0,0,L61/H61)</f>
        <v>-0.349326755936402</v>
      </c>
      <c r="O61" s="11"/>
      <c r="P61" s="2">
        <f>SUM(OSRRefP22_8x_0)</f>
        <v>23417.35</v>
      </c>
      <c r="Q61" s="2"/>
      <c r="R61" s="5">
        <f t="shared" ref="R61:R92" si="16">IF(P$12=0,0,P61/P$12)</f>
        <v>1.7559809884803827E-3</v>
      </c>
      <c r="S61" s="2"/>
      <c r="T61" s="2">
        <f>SUM(OSRRefT22_8x_0)</f>
        <v>14683.12</v>
      </c>
      <c r="U61" s="2"/>
      <c r="V61" s="5">
        <f t="shared" ref="V61:V92" si="17">IF(T$12=0,0,T61/T$12)</f>
        <v>9.1366023642331946E-3</v>
      </c>
      <c r="W61" s="2"/>
      <c r="X61" s="2">
        <f t="shared" ref="X61:X92" si="18">+P61-T61</f>
        <v>8734.2299999999977</v>
      </c>
      <c r="Y61" s="2"/>
      <c r="Z61" s="5">
        <f t="shared" ref="Z61:Z92" si="19">IF(T61=0,0,X61/T61)</f>
        <v>0.59484837010117719</v>
      </c>
    </row>
    <row r="62" spans="1:26" s="69" customFormat="1" ht="15" hidden="1" customHeight="1" outlineLevel="2" x14ac:dyDescent="0.3">
      <c r="A62" s="21"/>
      <c r="B62" s="9" t="str">
        <f>CONCATENATE("          ","6351"," - ","EQUIPMENT RENTAL")</f>
        <v xml:space="preserve">          6351 - EQUIPMENT RENTAL</v>
      </c>
      <c r="C62" s="9"/>
      <c r="D62" s="6">
        <v>1224.04</v>
      </c>
      <c r="E62" s="3"/>
      <c r="F62" s="7">
        <f t="shared" si="12"/>
        <v>5.808248278176391E-3</v>
      </c>
      <c r="G62" s="3"/>
      <c r="H62" s="6">
        <v>1881.19</v>
      </c>
      <c r="I62" s="3"/>
      <c r="J62" s="7">
        <f t="shared" si="13"/>
        <v>1.9432574485819629E-2</v>
      </c>
      <c r="K62" s="3"/>
      <c r="L62" s="6">
        <f t="shared" si="14"/>
        <v>-657.15000000000009</v>
      </c>
      <c r="M62" s="3"/>
      <c r="N62" s="7">
        <f t="shared" si="15"/>
        <v>-0.349326755936402</v>
      </c>
      <c r="O62" s="9"/>
      <c r="P62" s="6">
        <v>23417.35</v>
      </c>
      <c r="Q62" s="3"/>
      <c r="R62" s="7">
        <f t="shared" si="16"/>
        <v>1.7559809884803827E-3</v>
      </c>
      <c r="S62" s="3"/>
      <c r="T62" s="6">
        <v>14683.12</v>
      </c>
      <c r="U62" s="3"/>
      <c r="V62" s="7">
        <f t="shared" si="17"/>
        <v>9.1366023642331946E-3</v>
      </c>
      <c r="W62" s="3"/>
      <c r="X62" s="6">
        <f t="shared" si="18"/>
        <v>8734.2299999999977</v>
      </c>
      <c r="Y62" s="3"/>
      <c r="Z62" s="7">
        <f t="shared" si="19"/>
        <v>0.59484837010117719</v>
      </c>
    </row>
    <row r="63" spans="1:26" s="68" customFormat="1" ht="15" customHeight="1" outlineLevel="1" collapsed="1" x14ac:dyDescent="0.3">
      <c r="A63" s="20"/>
      <c r="B63" s="11" t="str">
        <f>CONCATENATE("     ","Freight out/Postage                               ")</f>
        <v xml:space="preserve">     Freight out/Postage                               </v>
      </c>
      <c r="C63" s="11"/>
      <c r="D63" s="2">
        <f>SUM(OSRRefD22_9x_0)</f>
        <v>0</v>
      </c>
      <c r="E63" s="2"/>
      <c r="F63" s="5">
        <f t="shared" si="12"/>
        <v>0</v>
      </c>
      <c r="G63" s="2"/>
      <c r="H63" s="2">
        <f>SUM(OSRRefH22_9x_0)</f>
        <v>0</v>
      </c>
      <c r="I63" s="2"/>
      <c r="J63" s="5">
        <f t="shared" si="13"/>
        <v>0</v>
      </c>
      <c r="K63" s="2"/>
      <c r="L63" s="2">
        <f t="shared" si="14"/>
        <v>0</v>
      </c>
      <c r="M63" s="2"/>
      <c r="N63" s="5">
        <f t="shared" si="15"/>
        <v>0</v>
      </c>
      <c r="O63" s="11"/>
      <c r="P63" s="2">
        <f>SUM(OSRRefP22_9x_0)</f>
        <v>0</v>
      </c>
      <c r="Q63" s="2"/>
      <c r="R63" s="5">
        <f t="shared" si="16"/>
        <v>0</v>
      </c>
      <c r="S63" s="2"/>
      <c r="T63" s="2">
        <f>SUM(OSRRefT22_9x_0)</f>
        <v>-2.4500000000000002</v>
      </c>
      <c r="U63" s="2"/>
      <c r="V63" s="5">
        <f t="shared" si="17"/>
        <v>-1.5245176633012142E-6</v>
      </c>
      <c r="W63" s="2"/>
      <c r="X63" s="2">
        <f t="shared" si="18"/>
        <v>2.4500000000000002</v>
      </c>
      <c r="Y63" s="2"/>
      <c r="Z63" s="5">
        <f t="shared" si="19"/>
        <v>-1</v>
      </c>
    </row>
    <row r="64" spans="1:26" s="69" customFormat="1" ht="15" hidden="1" customHeight="1" outlineLevel="2" x14ac:dyDescent="0.3">
      <c r="A64" s="21"/>
      <c r="B64" s="9" t="str">
        <f>CONCATENATE("          ","6307"," - ","POSTAGE")</f>
        <v xml:space="preserve">          6307 - POSTAGE</v>
      </c>
      <c r="C64" s="9"/>
      <c r="D64" s="6"/>
      <c r="E64" s="3"/>
      <c r="F64" s="7">
        <f t="shared" si="12"/>
        <v>0</v>
      </c>
      <c r="G64" s="3"/>
      <c r="H64" s="6"/>
      <c r="I64" s="3"/>
      <c r="J64" s="7">
        <f t="shared" si="13"/>
        <v>0</v>
      </c>
      <c r="K64" s="3"/>
      <c r="L64" s="6">
        <f t="shared" si="14"/>
        <v>0</v>
      </c>
      <c r="M64" s="3"/>
      <c r="N64" s="7">
        <f t="shared" si="15"/>
        <v>0</v>
      </c>
      <c r="O64" s="9"/>
      <c r="P64" s="6"/>
      <c r="Q64" s="3"/>
      <c r="R64" s="7">
        <f t="shared" si="16"/>
        <v>0</v>
      </c>
      <c r="S64" s="3"/>
      <c r="T64" s="6">
        <v>-2.4500000000000002</v>
      </c>
      <c r="U64" s="3"/>
      <c r="V64" s="7">
        <f t="shared" si="17"/>
        <v>-1.5245176633012142E-6</v>
      </c>
      <c r="W64" s="3"/>
      <c r="X64" s="6">
        <f t="shared" si="18"/>
        <v>2.4500000000000002</v>
      </c>
      <c r="Y64" s="3"/>
      <c r="Z64" s="7">
        <f t="shared" si="19"/>
        <v>-1</v>
      </c>
    </row>
    <row r="65" spans="1:26" s="68" customFormat="1" ht="15" customHeight="1" outlineLevel="1" collapsed="1" x14ac:dyDescent="0.3">
      <c r="A65" s="20"/>
      <c r="B65" s="11" t="str">
        <f>CONCATENATE("     ","General                                           ")</f>
        <v xml:space="preserve">     General                                           </v>
      </c>
      <c r="C65" s="11"/>
      <c r="D65" s="2">
        <f>SUM(OSRRefD22_10x_0)</f>
        <v>5771.12</v>
      </c>
      <c r="E65" s="2"/>
      <c r="F65" s="5">
        <f t="shared" si="12"/>
        <v>2.7384805891269348E-2</v>
      </c>
      <c r="G65" s="2"/>
      <c r="H65" s="2">
        <f>SUM(OSRRefH22_10x_0)</f>
        <v>2520</v>
      </c>
      <c r="I65" s="2"/>
      <c r="J65" s="5">
        <f t="shared" si="13"/>
        <v>2.6031441642931051E-2</v>
      </c>
      <c r="K65" s="2"/>
      <c r="L65" s="2">
        <f t="shared" si="14"/>
        <v>3251.12</v>
      </c>
      <c r="M65" s="2"/>
      <c r="N65" s="5">
        <f t="shared" si="15"/>
        <v>1.290126984126984</v>
      </c>
      <c r="O65" s="11"/>
      <c r="P65" s="2">
        <f>SUM(OSRRefP22_10x_0)</f>
        <v>72272.11</v>
      </c>
      <c r="Q65" s="2"/>
      <c r="R65" s="5">
        <f t="shared" si="16"/>
        <v>5.4194198385967224E-3</v>
      </c>
      <c r="S65" s="2"/>
      <c r="T65" s="2">
        <f>SUM(OSRRefT22_10x_0)</f>
        <v>18067.41</v>
      </c>
      <c r="U65" s="2"/>
      <c r="V65" s="5">
        <f t="shared" si="17"/>
        <v>1.1242483949022445E-2</v>
      </c>
      <c r="W65" s="2"/>
      <c r="X65" s="2">
        <f t="shared" si="18"/>
        <v>54204.7</v>
      </c>
      <c r="Y65" s="2"/>
      <c r="Z65" s="5">
        <f t="shared" si="19"/>
        <v>3.0001367102423644</v>
      </c>
    </row>
    <row r="66" spans="1:26" s="69" customFormat="1" ht="15" hidden="1" customHeight="1" outlineLevel="2" x14ac:dyDescent="0.3">
      <c r="A66" s="21"/>
      <c r="B66" s="9" t="str">
        <f>CONCATENATE("          ","6279"," - ","GENERAL EXPENSE")</f>
        <v xml:space="preserve">          6279 - GENERAL EXPENSE</v>
      </c>
      <c r="C66" s="9"/>
      <c r="D66" s="6">
        <v>5771.12</v>
      </c>
      <c r="E66" s="3"/>
      <c r="F66" s="7">
        <f t="shared" si="12"/>
        <v>2.7384805891269348E-2</v>
      </c>
      <c r="G66" s="3"/>
      <c r="H66" s="6">
        <v>2520</v>
      </c>
      <c r="I66" s="3"/>
      <c r="J66" s="7">
        <f t="shared" si="13"/>
        <v>2.6031441642931051E-2</v>
      </c>
      <c r="K66" s="3"/>
      <c r="L66" s="6">
        <f t="shared" si="14"/>
        <v>3251.12</v>
      </c>
      <c r="M66" s="3"/>
      <c r="N66" s="7">
        <f t="shared" si="15"/>
        <v>1.290126984126984</v>
      </c>
      <c r="O66" s="9"/>
      <c r="P66" s="6">
        <v>72272.11</v>
      </c>
      <c r="Q66" s="3"/>
      <c r="R66" s="7">
        <f t="shared" si="16"/>
        <v>5.4194198385967224E-3</v>
      </c>
      <c r="S66" s="3"/>
      <c r="T66" s="6">
        <v>18067.41</v>
      </c>
      <c r="U66" s="3"/>
      <c r="V66" s="7">
        <f t="shared" si="17"/>
        <v>1.1242483949022445E-2</v>
      </c>
      <c r="W66" s="3"/>
      <c r="X66" s="6">
        <f t="shared" si="18"/>
        <v>54204.7</v>
      </c>
      <c r="Y66" s="3"/>
      <c r="Z66" s="7">
        <f t="shared" si="19"/>
        <v>3.0001367102423644</v>
      </c>
    </row>
    <row r="67" spans="1:26" s="68" customFormat="1" ht="15" customHeight="1" outlineLevel="1" collapsed="1" x14ac:dyDescent="0.3">
      <c r="A67" s="20"/>
      <c r="B67" s="11" t="str">
        <f>CONCATENATE("     ","Insurance                                         ")</f>
        <v xml:space="preserve">     Insurance                                         </v>
      </c>
      <c r="C67" s="11"/>
      <c r="D67" s="2">
        <f>SUM(OSRRefD22_11x_0)</f>
        <v>-1765.76</v>
      </c>
      <c r="E67" s="2"/>
      <c r="F67" s="5">
        <f t="shared" si="12"/>
        <v>-8.3787886667696689E-3</v>
      </c>
      <c r="G67" s="2"/>
      <c r="H67" s="2">
        <f>SUM(OSRRefH22_11x_0)</f>
        <v>9047.7999999999993</v>
      </c>
      <c r="I67" s="2"/>
      <c r="J67" s="5">
        <f t="shared" si="13"/>
        <v>9.3463205435282359E-2</v>
      </c>
      <c r="K67" s="2"/>
      <c r="L67" s="2">
        <f t="shared" si="14"/>
        <v>-10813.56</v>
      </c>
      <c r="M67" s="2"/>
      <c r="N67" s="5">
        <f t="shared" si="15"/>
        <v>-1.1951590441875373</v>
      </c>
      <c r="O67" s="11"/>
      <c r="P67" s="2">
        <f>SUM(OSRRefP22_11x_0)</f>
        <v>68492.87</v>
      </c>
      <c r="Q67" s="2"/>
      <c r="R67" s="5">
        <f t="shared" si="16"/>
        <v>5.1360285244256227E-3</v>
      </c>
      <c r="S67" s="2"/>
      <c r="T67" s="2">
        <f>SUM(OSRRefT22_11x_0)</f>
        <v>61866.13</v>
      </c>
      <c r="U67" s="2"/>
      <c r="V67" s="5">
        <f t="shared" si="17"/>
        <v>3.8496329773505769E-2</v>
      </c>
      <c r="W67" s="2"/>
      <c r="X67" s="2">
        <f t="shared" si="18"/>
        <v>6626.739999999998</v>
      </c>
      <c r="Y67" s="2"/>
      <c r="Z67" s="5">
        <f t="shared" si="19"/>
        <v>0.10711418347971657</v>
      </c>
    </row>
    <row r="68" spans="1:26" s="69" customFormat="1" ht="15" hidden="1" customHeight="1" outlineLevel="2" x14ac:dyDescent="0.3">
      <c r="A68" s="21"/>
      <c r="B68" s="9" t="str">
        <f>CONCATENATE("          ","6314"," - ","LIABILITY INSURANCE")</f>
        <v xml:space="preserve">          6314 - LIABILITY INSURANCE</v>
      </c>
      <c r="C68" s="9"/>
      <c r="D68" s="6">
        <v>-1765.76</v>
      </c>
      <c r="E68" s="3"/>
      <c r="F68" s="7">
        <f t="shared" si="12"/>
        <v>-8.3787886667696689E-3</v>
      </c>
      <c r="G68" s="3"/>
      <c r="H68" s="6">
        <v>9047.7999999999993</v>
      </c>
      <c r="I68" s="3"/>
      <c r="J68" s="7">
        <f t="shared" si="13"/>
        <v>9.3463205435282359E-2</v>
      </c>
      <c r="K68" s="3"/>
      <c r="L68" s="6">
        <f t="shared" si="14"/>
        <v>-10813.56</v>
      </c>
      <c r="M68" s="3"/>
      <c r="N68" s="7">
        <f t="shared" si="15"/>
        <v>-1.1951590441875373</v>
      </c>
      <c r="O68" s="9"/>
      <c r="P68" s="6">
        <v>68492.87</v>
      </c>
      <c r="Q68" s="3"/>
      <c r="R68" s="7">
        <f t="shared" si="16"/>
        <v>5.1360285244256227E-3</v>
      </c>
      <c r="S68" s="3"/>
      <c r="T68" s="6">
        <v>61866.13</v>
      </c>
      <c r="U68" s="3"/>
      <c r="V68" s="7">
        <f t="shared" si="17"/>
        <v>3.8496329773505769E-2</v>
      </c>
      <c r="W68" s="3"/>
      <c r="X68" s="6">
        <f t="shared" si="18"/>
        <v>6626.739999999998</v>
      </c>
      <c r="Y68" s="3"/>
      <c r="Z68" s="7">
        <f t="shared" si="19"/>
        <v>0.10711418347971657</v>
      </c>
    </row>
    <row r="69" spans="1:26" s="68" customFormat="1" ht="15" customHeight="1" outlineLevel="1" collapsed="1" x14ac:dyDescent="0.3">
      <c r="A69" s="20"/>
      <c r="B69" s="11" t="str">
        <f>CONCATENATE("     ","Interest                                          ")</f>
        <v xml:space="preserve">     Interest                                          </v>
      </c>
      <c r="C69" s="11"/>
      <c r="D69" s="2">
        <f>SUM(OSRRefD22_12x_0)</f>
        <v>7253</v>
      </c>
      <c r="E69" s="2"/>
      <c r="F69" s="5">
        <f t="shared" si="12"/>
        <v>3.4416542565286562E-2</v>
      </c>
      <c r="G69" s="2"/>
      <c r="H69" s="2">
        <f>SUM(OSRRefH22_12x_0)</f>
        <v>-815.7</v>
      </c>
      <c r="I69" s="2"/>
      <c r="J69" s="5">
        <f t="shared" si="13"/>
        <v>-8.4261297413249451E-3</v>
      </c>
      <c r="K69" s="2"/>
      <c r="L69" s="2">
        <f t="shared" si="14"/>
        <v>8068.7</v>
      </c>
      <c r="M69" s="2"/>
      <c r="N69" s="5">
        <f t="shared" si="15"/>
        <v>-9.8917494176780671</v>
      </c>
      <c r="O69" s="11"/>
      <c r="P69" s="2">
        <f>SUM(OSRRefP22_12x_0)</f>
        <v>84898</v>
      </c>
      <c r="Q69" s="2"/>
      <c r="R69" s="5">
        <f t="shared" si="16"/>
        <v>6.3661889137757921E-3</v>
      </c>
      <c r="S69" s="2"/>
      <c r="T69" s="2">
        <f>SUM(OSRRefT22_12x_0)</f>
        <v>79764.45</v>
      </c>
      <c r="U69" s="2"/>
      <c r="V69" s="5">
        <f t="shared" si="17"/>
        <v>4.9633597113676133E-2</v>
      </c>
      <c r="W69" s="2"/>
      <c r="X69" s="2">
        <f t="shared" si="18"/>
        <v>5133.5500000000029</v>
      </c>
      <c r="Y69" s="2"/>
      <c r="Z69" s="5">
        <f t="shared" si="19"/>
        <v>6.4358871652722527E-2</v>
      </c>
    </row>
    <row r="70" spans="1:26" s="69" customFormat="1" ht="15" hidden="1" customHeight="1" outlineLevel="2" x14ac:dyDescent="0.3">
      <c r="A70" s="21"/>
      <c r="B70" s="9" t="str">
        <f>CONCATENATE("          ","6401"," - ","INTEREST EXPENSE")</f>
        <v xml:space="preserve">          6401 - INTEREST EXPENSE</v>
      </c>
      <c r="C70" s="9"/>
      <c r="D70" s="6">
        <v>7253</v>
      </c>
      <c r="E70" s="3"/>
      <c r="F70" s="7">
        <f t="shared" si="12"/>
        <v>3.4416542565286562E-2</v>
      </c>
      <c r="G70" s="3"/>
      <c r="H70" s="6">
        <v>-815.7</v>
      </c>
      <c r="I70" s="3"/>
      <c r="J70" s="7">
        <f t="shared" si="13"/>
        <v>-8.4261297413249451E-3</v>
      </c>
      <c r="K70" s="3"/>
      <c r="L70" s="6">
        <f t="shared" si="14"/>
        <v>8068.7</v>
      </c>
      <c r="M70" s="3"/>
      <c r="N70" s="7">
        <f t="shared" si="15"/>
        <v>-9.8917494176780671</v>
      </c>
      <c r="O70" s="9"/>
      <c r="P70" s="6">
        <v>84898</v>
      </c>
      <c r="Q70" s="3"/>
      <c r="R70" s="7">
        <f t="shared" si="16"/>
        <v>6.3661889137757921E-3</v>
      </c>
      <c r="S70" s="3"/>
      <c r="T70" s="6">
        <v>79764.45</v>
      </c>
      <c r="U70" s="3"/>
      <c r="V70" s="7">
        <f t="shared" si="17"/>
        <v>4.9633597113676133E-2</v>
      </c>
      <c r="W70" s="3"/>
      <c r="X70" s="6">
        <f t="shared" si="18"/>
        <v>5133.5500000000029</v>
      </c>
      <c r="Y70" s="3"/>
      <c r="Z70" s="7">
        <f t="shared" si="19"/>
        <v>6.4358871652722527E-2</v>
      </c>
    </row>
    <row r="71" spans="1:26" s="68" customFormat="1" ht="15" customHeight="1" outlineLevel="1" collapsed="1" x14ac:dyDescent="0.3">
      <c r="A71" s="20"/>
      <c r="B71" s="11" t="str">
        <f>CONCATENATE("     ","Professional Services                             ")</f>
        <v xml:space="preserve">     Professional Services                             </v>
      </c>
      <c r="C71" s="11"/>
      <c r="D71" s="2">
        <f>SUM(OSRRefD22_13x_0)</f>
        <v>0</v>
      </c>
      <c r="E71" s="2"/>
      <c r="F71" s="5">
        <f t="shared" si="12"/>
        <v>0</v>
      </c>
      <c r="G71" s="2"/>
      <c r="H71" s="2">
        <f>SUM(OSRRefH22_13x_0)</f>
        <v>0</v>
      </c>
      <c r="I71" s="2"/>
      <c r="J71" s="5">
        <f t="shared" si="13"/>
        <v>0</v>
      </c>
      <c r="K71" s="2"/>
      <c r="L71" s="2">
        <f t="shared" si="14"/>
        <v>0</v>
      </c>
      <c r="M71" s="2"/>
      <c r="N71" s="5">
        <f t="shared" si="15"/>
        <v>0</v>
      </c>
      <c r="O71" s="11"/>
      <c r="P71" s="2">
        <f>SUM(OSRRefP22_13x_0)</f>
        <v>511.58</v>
      </c>
      <c r="Q71" s="2"/>
      <c r="R71" s="5">
        <f t="shared" si="16"/>
        <v>3.8361503504316E-5</v>
      </c>
      <c r="S71" s="2"/>
      <c r="T71" s="2">
        <f>SUM(OSRRefT22_13x_0)</f>
        <v>0</v>
      </c>
      <c r="U71" s="2"/>
      <c r="V71" s="5">
        <f t="shared" si="17"/>
        <v>0</v>
      </c>
      <c r="W71" s="2"/>
      <c r="X71" s="2">
        <f t="shared" si="18"/>
        <v>511.58</v>
      </c>
      <c r="Y71" s="2"/>
      <c r="Z71" s="5">
        <f t="shared" si="19"/>
        <v>0</v>
      </c>
    </row>
    <row r="72" spans="1:26" s="69" customFormat="1" ht="15" hidden="1" customHeight="1" outlineLevel="2" x14ac:dyDescent="0.3">
      <c r="A72" s="21"/>
      <c r="B72" s="9" t="str">
        <f>CONCATENATE("          ","6336"," - ","PROFESSIONAL SERVICES")</f>
        <v xml:space="preserve">          6336 - PROFESSIONAL SERVICES</v>
      </c>
      <c r="C72" s="9"/>
      <c r="D72" s="6"/>
      <c r="E72" s="3"/>
      <c r="F72" s="7">
        <f t="shared" si="12"/>
        <v>0</v>
      </c>
      <c r="G72" s="3"/>
      <c r="H72" s="6"/>
      <c r="I72" s="3"/>
      <c r="J72" s="7">
        <f t="shared" si="13"/>
        <v>0</v>
      </c>
      <c r="K72" s="3"/>
      <c r="L72" s="6">
        <f t="shared" si="14"/>
        <v>0</v>
      </c>
      <c r="M72" s="3"/>
      <c r="N72" s="7">
        <f t="shared" si="15"/>
        <v>0</v>
      </c>
      <c r="O72" s="9"/>
      <c r="P72" s="6">
        <v>511.58</v>
      </c>
      <c r="Q72" s="3"/>
      <c r="R72" s="7">
        <f t="shared" si="16"/>
        <v>3.8361503504316E-5</v>
      </c>
      <c r="S72" s="3"/>
      <c r="T72" s="6"/>
      <c r="U72" s="3"/>
      <c r="V72" s="7">
        <f t="shared" si="17"/>
        <v>0</v>
      </c>
      <c r="W72" s="3"/>
      <c r="X72" s="6">
        <f t="shared" si="18"/>
        <v>511.58</v>
      </c>
      <c r="Y72" s="3"/>
      <c r="Z72" s="7">
        <f t="shared" si="19"/>
        <v>0</v>
      </c>
    </row>
    <row r="73" spans="1:26" s="68" customFormat="1" ht="15" customHeight="1" outlineLevel="1" collapsed="1" x14ac:dyDescent="0.3">
      <c r="A73" s="20"/>
      <c r="B73" s="11" t="str">
        <f>CONCATENATE("     ","R/H Commissions                                   ")</f>
        <v xml:space="preserve">     R/H Commissions                                   </v>
      </c>
      <c r="C73" s="11"/>
      <c r="D73" s="2">
        <f>SUM(OSRRefD22_14x_0)</f>
        <v>12924.29</v>
      </c>
      <c r="E73" s="2"/>
      <c r="F73" s="5">
        <f t="shared" si="12"/>
        <v>6.1327640550269888E-2</v>
      </c>
      <c r="G73" s="2"/>
      <c r="H73" s="2">
        <f>SUM(OSRRefH22_14x_0)</f>
        <v>2207.92</v>
      </c>
      <c r="I73" s="2"/>
      <c r="J73" s="5">
        <f t="shared" si="13"/>
        <v>2.280767485407156E-2</v>
      </c>
      <c r="K73" s="2"/>
      <c r="L73" s="2">
        <f t="shared" si="14"/>
        <v>10716.37</v>
      </c>
      <c r="M73" s="2"/>
      <c r="N73" s="5">
        <f t="shared" si="15"/>
        <v>4.8536042972571476</v>
      </c>
      <c r="O73" s="11"/>
      <c r="P73" s="2">
        <f>SUM(OSRRefP22_14x_0)</f>
        <v>925163.37</v>
      </c>
      <c r="Q73" s="2"/>
      <c r="R73" s="5">
        <f t="shared" si="16"/>
        <v>6.9374599984987295E-2</v>
      </c>
      <c r="S73" s="2"/>
      <c r="T73" s="2">
        <f>SUM(OSRRefT22_14x_0)</f>
        <v>71608.39</v>
      </c>
      <c r="U73" s="2"/>
      <c r="V73" s="5">
        <f t="shared" si="17"/>
        <v>4.4558471590025316E-2</v>
      </c>
      <c r="W73" s="2"/>
      <c r="X73" s="2">
        <f t="shared" si="18"/>
        <v>853554.98</v>
      </c>
      <c r="Y73" s="2"/>
      <c r="Z73" s="5">
        <f t="shared" si="19"/>
        <v>11.919762195463408</v>
      </c>
    </row>
    <row r="74" spans="1:26" s="69" customFormat="1" ht="15" hidden="1" customHeight="1" outlineLevel="2" x14ac:dyDescent="0.3">
      <c r="A74" s="21"/>
      <c r="B74" s="9" t="str">
        <f>CONCATENATE("          ","6387"," - ","COMMISSION DUE HOUSING")</f>
        <v xml:space="preserve">          6387 - COMMISSION DUE HOUSING</v>
      </c>
      <c r="C74" s="9"/>
      <c r="D74" s="6">
        <v>12924.29</v>
      </c>
      <c r="E74" s="3"/>
      <c r="F74" s="7">
        <f t="shared" si="12"/>
        <v>6.1327640550269888E-2</v>
      </c>
      <c r="G74" s="3"/>
      <c r="H74" s="6">
        <v>2207.92</v>
      </c>
      <c r="I74" s="3"/>
      <c r="J74" s="7">
        <f t="shared" si="13"/>
        <v>2.280767485407156E-2</v>
      </c>
      <c r="K74" s="3"/>
      <c r="L74" s="6">
        <f t="shared" si="14"/>
        <v>10716.37</v>
      </c>
      <c r="M74" s="3"/>
      <c r="N74" s="7">
        <f t="shared" si="15"/>
        <v>4.8536042972571476</v>
      </c>
      <c r="O74" s="9"/>
      <c r="P74" s="6">
        <v>925163.37</v>
      </c>
      <c r="Q74" s="3"/>
      <c r="R74" s="7">
        <f t="shared" si="16"/>
        <v>6.9374599984987295E-2</v>
      </c>
      <c r="S74" s="3"/>
      <c r="T74" s="6">
        <v>71608.39</v>
      </c>
      <c r="U74" s="3"/>
      <c r="V74" s="7">
        <f t="shared" si="17"/>
        <v>4.4558471590025316E-2</v>
      </c>
      <c r="W74" s="3"/>
      <c r="X74" s="6">
        <f t="shared" si="18"/>
        <v>853554.98</v>
      </c>
      <c r="Y74" s="3"/>
      <c r="Z74" s="7">
        <f t="shared" si="19"/>
        <v>11.919762195463408</v>
      </c>
    </row>
    <row r="75" spans="1:26" s="68" customFormat="1" ht="15" customHeight="1" outlineLevel="1" collapsed="1" x14ac:dyDescent="0.3">
      <c r="A75" s="20"/>
      <c r="B75" s="11" t="str">
        <f>CONCATENATE("     ","Rent                                              ")</f>
        <v xml:space="preserve">     Rent                                              </v>
      </c>
      <c r="C75" s="11"/>
      <c r="D75" s="2">
        <f>SUM(OSRRefD22_15x_0)</f>
        <v>1850</v>
      </c>
      <c r="E75" s="2"/>
      <c r="F75" s="5">
        <f t="shared" si="12"/>
        <v>8.7785197498662822E-3</v>
      </c>
      <c r="G75" s="2"/>
      <c r="H75" s="2">
        <f>SUM(OSRRefH22_15x_0)</f>
        <v>7400</v>
      </c>
      <c r="I75" s="2"/>
      <c r="J75" s="5">
        <f t="shared" si="13"/>
        <v>7.6441534983210227E-2</v>
      </c>
      <c r="K75" s="2"/>
      <c r="L75" s="2">
        <f t="shared" si="14"/>
        <v>-5550</v>
      </c>
      <c r="M75" s="2"/>
      <c r="N75" s="5">
        <f t="shared" si="15"/>
        <v>-0.75</v>
      </c>
      <c r="O75" s="11"/>
      <c r="P75" s="2">
        <f>SUM(OSRRefP22_15x_0)</f>
        <v>22200</v>
      </c>
      <c r="Q75" s="2"/>
      <c r="R75" s="5">
        <f t="shared" si="16"/>
        <v>1.6646963872626278E-3</v>
      </c>
      <c r="S75" s="2"/>
      <c r="T75" s="2">
        <f>SUM(OSRRefT22_15x_0)</f>
        <v>22200</v>
      </c>
      <c r="U75" s="2"/>
      <c r="V75" s="5">
        <f t="shared" si="17"/>
        <v>1.3813996785831411E-2</v>
      </c>
      <c r="W75" s="2"/>
      <c r="X75" s="2">
        <f t="shared" si="18"/>
        <v>0</v>
      </c>
      <c r="Y75" s="2"/>
      <c r="Z75" s="5">
        <f t="shared" si="19"/>
        <v>0</v>
      </c>
    </row>
    <row r="76" spans="1:26" s="69" customFormat="1" ht="15" hidden="1" customHeight="1" outlineLevel="2" x14ac:dyDescent="0.3">
      <c r="A76" s="21"/>
      <c r="B76" s="9" t="str">
        <f>CONCATENATE("          ","6273"," - ","RENT")</f>
        <v xml:space="preserve">          6273 - RENT</v>
      </c>
      <c r="C76" s="9"/>
      <c r="D76" s="6">
        <v>1850</v>
      </c>
      <c r="E76" s="3"/>
      <c r="F76" s="7">
        <f t="shared" si="12"/>
        <v>8.7785197498662822E-3</v>
      </c>
      <c r="G76" s="3"/>
      <c r="H76" s="6">
        <v>7400</v>
      </c>
      <c r="I76" s="3"/>
      <c r="J76" s="7">
        <f t="shared" si="13"/>
        <v>7.6441534983210227E-2</v>
      </c>
      <c r="K76" s="3"/>
      <c r="L76" s="6">
        <f t="shared" si="14"/>
        <v>-5550</v>
      </c>
      <c r="M76" s="3"/>
      <c r="N76" s="7">
        <f t="shared" si="15"/>
        <v>-0.75</v>
      </c>
      <c r="O76" s="9"/>
      <c r="P76" s="6">
        <v>22200</v>
      </c>
      <c r="Q76" s="3"/>
      <c r="R76" s="7">
        <f t="shared" si="16"/>
        <v>1.6646963872626278E-3</v>
      </c>
      <c r="S76" s="3"/>
      <c r="T76" s="6">
        <v>22200</v>
      </c>
      <c r="U76" s="3"/>
      <c r="V76" s="7">
        <f t="shared" si="17"/>
        <v>1.3813996785831411E-2</v>
      </c>
      <c r="W76" s="3"/>
      <c r="X76" s="6">
        <f t="shared" si="18"/>
        <v>0</v>
      </c>
      <c r="Y76" s="3"/>
      <c r="Z76" s="7">
        <f t="shared" si="19"/>
        <v>0</v>
      </c>
    </row>
    <row r="77" spans="1:26" s="68" customFormat="1" ht="15" customHeight="1" outlineLevel="1" collapsed="1" x14ac:dyDescent="0.3">
      <c r="A77" s="20"/>
      <c r="B77" s="11" t="str">
        <f>CONCATENATE("     ","Repair and Maintenance                            ")</f>
        <v xml:space="preserve">     Repair and Maintenance                            </v>
      </c>
      <c r="C77" s="11"/>
      <c r="D77" s="2">
        <f>SUM(OSRRefD22_16x_0)</f>
        <v>44306.329999999994</v>
      </c>
      <c r="E77" s="2"/>
      <c r="F77" s="5">
        <f t="shared" si="12"/>
        <v>0.21023999618869887</v>
      </c>
      <c r="G77" s="2"/>
      <c r="H77" s="2">
        <f>SUM(OSRRefH22_16x_0)</f>
        <v>33312.400000000001</v>
      </c>
      <c r="I77" s="2"/>
      <c r="J77" s="5">
        <f t="shared" si="13"/>
        <v>0.34411499864522871</v>
      </c>
      <c r="K77" s="2"/>
      <c r="L77" s="2">
        <f t="shared" si="14"/>
        <v>10993.929999999993</v>
      </c>
      <c r="M77" s="2"/>
      <c r="N77" s="5">
        <f t="shared" si="15"/>
        <v>0.33002515579784081</v>
      </c>
      <c r="O77" s="11"/>
      <c r="P77" s="2">
        <f>SUM(OSRRefP22_16x_0)</f>
        <v>187102.91999999998</v>
      </c>
      <c r="Q77" s="2"/>
      <c r="R77" s="5">
        <f t="shared" si="16"/>
        <v>1.4030160133796777E-2</v>
      </c>
      <c r="S77" s="2"/>
      <c r="T77" s="2">
        <f>SUM(OSRRefT22_16x_0)</f>
        <v>111707.38</v>
      </c>
      <c r="U77" s="2"/>
      <c r="V77" s="5">
        <f t="shared" si="17"/>
        <v>6.9510152624939092E-2</v>
      </c>
      <c r="W77" s="2"/>
      <c r="X77" s="2">
        <f t="shared" si="18"/>
        <v>75395.539999999979</v>
      </c>
      <c r="Y77" s="2"/>
      <c r="Z77" s="5">
        <f t="shared" si="19"/>
        <v>0.67493785996950229</v>
      </c>
    </row>
    <row r="78" spans="1:26" s="69" customFormat="1" ht="15" hidden="1" customHeight="1" outlineLevel="2" x14ac:dyDescent="0.3">
      <c r="A78" s="21"/>
      <c r="B78" s="9" t="str">
        <f>CONCATENATE("          ","6371"," - ","COMPUTER SOFTWARE MAINTENANCE")</f>
        <v xml:space="preserve">          6371 - COMPUTER SOFTWARE MAINTENANCE</v>
      </c>
      <c r="C78" s="9"/>
      <c r="D78" s="6">
        <v>33821</v>
      </c>
      <c r="E78" s="3"/>
      <c r="F78" s="7">
        <f t="shared" si="12"/>
        <v>0.16048557646498784</v>
      </c>
      <c r="G78" s="3"/>
      <c r="H78" s="6">
        <v>33821</v>
      </c>
      <c r="I78" s="3"/>
      <c r="J78" s="7">
        <f t="shared" si="13"/>
        <v>0.3493688046847504</v>
      </c>
      <c r="K78" s="3"/>
      <c r="L78" s="6">
        <f t="shared" si="14"/>
        <v>0</v>
      </c>
      <c r="M78" s="3"/>
      <c r="N78" s="7">
        <f t="shared" si="15"/>
        <v>0</v>
      </c>
      <c r="O78" s="9"/>
      <c r="P78" s="6">
        <v>88888.06</v>
      </c>
      <c r="Q78" s="3"/>
      <c r="R78" s="7">
        <f t="shared" si="16"/>
        <v>6.6653888447199862E-3</v>
      </c>
      <c r="S78" s="3"/>
      <c r="T78" s="6">
        <v>63780.47</v>
      </c>
      <c r="U78" s="3"/>
      <c r="V78" s="7">
        <f t="shared" si="17"/>
        <v>3.9687531872919672E-2</v>
      </c>
      <c r="W78" s="3"/>
      <c r="X78" s="6">
        <f t="shared" si="18"/>
        <v>25107.589999999997</v>
      </c>
      <c r="Y78" s="3"/>
      <c r="Z78" s="7">
        <f t="shared" si="19"/>
        <v>0.39365639669949115</v>
      </c>
    </row>
    <row r="79" spans="1:26" s="69" customFormat="1" ht="15" hidden="1" customHeight="1" outlineLevel="2" x14ac:dyDescent="0.3">
      <c r="A79" s="21"/>
      <c r="B79" s="9" t="str">
        <f>CONCATENATE("          ","6372"," - ","COMPUTER HARDWARE MAINTENANCE")</f>
        <v xml:space="preserve">          6372 - COMPUTER HARDWARE MAINTENANCE</v>
      </c>
      <c r="C79" s="9"/>
      <c r="D79" s="6"/>
      <c r="E79" s="3"/>
      <c r="F79" s="7">
        <f t="shared" si="12"/>
        <v>0</v>
      </c>
      <c r="G79" s="3"/>
      <c r="H79" s="6">
        <v>10.039999999999999</v>
      </c>
      <c r="I79" s="3"/>
      <c r="J79" s="7">
        <f t="shared" si="13"/>
        <v>1.0371256908532846E-4</v>
      </c>
      <c r="K79" s="3"/>
      <c r="L79" s="6">
        <f t="shared" si="14"/>
        <v>-10.039999999999999</v>
      </c>
      <c r="M79" s="3"/>
      <c r="N79" s="7">
        <f t="shared" si="15"/>
        <v>-1</v>
      </c>
      <c r="O79" s="9"/>
      <c r="P79" s="6"/>
      <c r="Q79" s="3"/>
      <c r="R79" s="7">
        <f t="shared" si="16"/>
        <v>0</v>
      </c>
      <c r="S79" s="3"/>
      <c r="T79" s="6">
        <v>110.04</v>
      </c>
      <c r="U79" s="3"/>
      <c r="V79" s="7">
        <f t="shared" si="17"/>
        <v>6.8472621905985969E-5</v>
      </c>
      <c r="W79" s="3"/>
      <c r="X79" s="6">
        <f t="shared" si="18"/>
        <v>-110.04</v>
      </c>
      <c r="Y79" s="3"/>
      <c r="Z79" s="7">
        <f t="shared" si="19"/>
        <v>-1</v>
      </c>
    </row>
    <row r="80" spans="1:26" s="69" customFormat="1" ht="15" hidden="1" customHeight="1" outlineLevel="2" x14ac:dyDescent="0.3">
      <c r="A80" s="21"/>
      <c r="B80" s="9" t="str">
        <f>CONCATENATE("          ","6373"," - ","MAINTENANCE CONTRACTS")</f>
        <v xml:space="preserve">          6373 - MAINTENANCE CONTRACTS</v>
      </c>
      <c r="C80" s="9"/>
      <c r="D80" s="6">
        <v>6807.06</v>
      </c>
      <c r="E80" s="3"/>
      <c r="F80" s="7">
        <f t="shared" si="12"/>
        <v>3.2300492242445827E-2</v>
      </c>
      <c r="G80" s="3"/>
      <c r="H80" s="6">
        <v>-4410.34</v>
      </c>
      <c r="I80" s="3"/>
      <c r="J80" s="7">
        <f t="shared" si="13"/>
        <v>-4.5558535053763706E-2</v>
      </c>
      <c r="K80" s="3"/>
      <c r="L80" s="6">
        <f t="shared" si="14"/>
        <v>11217.400000000001</v>
      </c>
      <c r="M80" s="3"/>
      <c r="N80" s="7">
        <f t="shared" si="15"/>
        <v>-2.5434320256488165</v>
      </c>
      <c r="O80" s="9"/>
      <c r="P80" s="6">
        <v>32404.77</v>
      </c>
      <c r="Q80" s="3"/>
      <c r="R80" s="7">
        <f t="shared" si="16"/>
        <v>2.4299145742827199E-3</v>
      </c>
      <c r="S80" s="3"/>
      <c r="T80" s="6">
        <v>17063.759999999998</v>
      </c>
      <c r="U80" s="3"/>
      <c r="V80" s="7">
        <f t="shared" si="17"/>
        <v>1.0617960621360296E-2</v>
      </c>
      <c r="W80" s="3"/>
      <c r="X80" s="6">
        <f t="shared" si="18"/>
        <v>15341.010000000002</v>
      </c>
      <c r="Y80" s="3"/>
      <c r="Z80" s="7">
        <f t="shared" si="19"/>
        <v>0.89904042250945881</v>
      </c>
    </row>
    <row r="81" spans="1:26" s="69" customFormat="1" ht="15" hidden="1" customHeight="1" outlineLevel="2" x14ac:dyDescent="0.3">
      <c r="A81" s="21"/>
      <c r="B81" s="9" t="str">
        <f>CONCATENATE("          ","6375"," - ","OUTSIDE REPAIRS &amp; MAINTENANCE")</f>
        <v xml:space="preserve">          6375 - OUTSIDE REPAIRS &amp; MAINTENANCE</v>
      </c>
      <c r="C81" s="9"/>
      <c r="D81" s="6">
        <v>3678.27</v>
      </c>
      <c r="E81" s="3"/>
      <c r="F81" s="7">
        <f t="shared" si="12"/>
        <v>1.7453927481265216E-2</v>
      </c>
      <c r="G81" s="3"/>
      <c r="H81" s="6">
        <v>3891.7</v>
      </c>
      <c r="I81" s="3"/>
      <c r="J81" s="7">
        <f t="shared" si="13"/>
        <v>4.0201016445156654E-2</v>
      </c>
      <c r="K81" s="3"/>
      <c r="L81" s="6">
        <f t="shared" si="14"/>
        <v>-213.42999999999984</v>
      </c>
      <c r="M81" s="3"/>
      <c r="N81" s="7">
        <f t="shared" si="15"/>
        <v>-5.4842356810648266E-2</v>
      </c>
      <c r="O81" s="9"/>
      <c r="P81" s="6">
        <v>65810.09</v>
      </c>
      <c r="Q81" s="3"/>
      <c r="R81" s="7">
        <f t="shared" si="16"/>
        <v>4.9348567147940716E-3</v>
      </c>
      <c r="S81" s="3"/>
      <c r="T81" s="6">
        <v>30753.11</v>
      </c>
      <c r="U81" s="3"/>
      <c r="V81" s="7">
        <f t="shared" si="17"/>
        <v>1.9136187508753143E-2</v>
      </c>
      <c r="W81" s="3"/>
      <c r="X81" s="6">
        <f t="shared" si="18"/>
        <v>35056.979999999996</v>
      </c>
      <c r="Y81" s="3"/>
      <c r="Z81" s="7">
        <f t="shared" si="19"/>
        <v>1.1399490978310809</v>
      </c>
    </row>
    <row r="82" spans="1:26" s="68" customFormat="1" ht="15" customHeight="1" outlineLevel="1" collapsed="1" x14ac:dyDescent="0.3">
      <c r="A82" s="20"/>
      <c r="B82" s="11" t="str">
        <f>CONCATENATE("     ","Royalty &amp; Commissions                             ")</f>
        <v xml:space="preserve">     Royalty &amp; Commissions                             </v>
      </c>
      <c r="C82" s="11"/>
      <c r="D82" s="2">
        <f>SUM(OSRRefD22_17x_0)</f>
        <v>2013.15</v>
      </c>
      <c r="E82" s="2"/>
      <c r="F82" s="5">
        <f t="shared" si="12"/>
        <v>9.5526902888882735E-3</v>
      </c>
      <c r="G82" s="2"/>
      <c r="H82" s="2">
        <f>SUM(OSRRefH22_17x_0)</f>
        <v>0</v>
      </c>
      <c r="I82" s="2"/>
      <c r="J82" s="5">
        <f t="shared" si="13"/>
        <v>0</v>
      </c>
      <c r="K82" s="2"/>
      <c r="L82" s="2">
        <f t="shared" si="14"/>
        <v>2013.15</v>
      </c>
      <c r="M82" s="2"/>
      <c r="N82" s="5">
        <f t="shared" si="15"/>
        <v>0</v>
      </c>
      <c r="O82" s="11"/>
      <c r="P82" s="2">
        <f>SUM(OSRRefP22_17x_0)</f>
        <v>8199.57</v>
      </c>
      <c r="Q82" s="2"/>
      <c r="R82" s="5">
        <f t="shared" si="16"/>
        <v>6.1485561063545158E-4</v>
      </c>
      <c r="S82" s="2"/>
      <c r="T82" s="2">
        <f>SUM(OSRRefT22_17x_0)</f>
        <v>0</v>
      </c>
      <c r="U82" s="2"/>
      <c r="V82" s="5">
        <f t="shared" si="17"/>
        <v>0</v>
      </c>
      <c r="W82" s="2"/>
      <c r="X82" s="2">
        <f t="shared" si="18"/>
        <v>8199.57</v>
      </c>
      <c r="Y82" s="2"/>
      <c r="Z82" s="5">
        <f t="shared" si="19"/>
        <v>0</v>
      </c>
    </row>
    <row r="83" spans="1:26" s="69" customFormat="1" ht="15" hidden="1" customHeight="1" outlineLevel="2" x14ac:dyDescent="0.3">
      <c r="A83" s="21"/>
      <c r="B83" s="9" t="str">
        <f>CONCATENATE("          ","6254"," - ","ROYALTY &amp; COMMISSIONS")</f>
        <v xml:space="preserve">          6254 - ROYALTY &amp; COMMISSIONS</v>
      </c>
      <c r="C83" s="9"/>
      <c r="D83" s="6">
        <v>2013.15</v>
      </c>
      <c r="E83" s="3"/>
      <c r="F83" s="7">
        <f t="shared" si="12"/>
        <v>9.5526902888882735E-3</v>
      </c>
      <c r="G83" s="3"/>
      <c r="H83" s="6"/>
      <c r="I83" s="3"/>
      <c r="J83" s="7">
        <f t="shared" si="13"/>
        <v>0</v>
      </c>
      <c r="K83" s="3"/>
      <c r="L83" s="6">
        <f t="shared" si="14"/>
        <v>2013.15</v>
      </c>
      <c r="M83" s="3"/>
      <c r="N83" s="7">
        <f t="shared" si="15"/>
        <v>0</v>
      </c>
      <c r="O83" s="9"/>
      <c r="P83" s="6">
        <v>8199.57</v>
      </c>
      <c r="Q83" s="3"/>
      <c r="R83" s="7">
        <f t="shared" si="16"/>
        <v>6.1485561063545158E-4</v>
      </c>
      <c r="S83" s="3"/>
      <c r="T83" s="6"/>
      <c r="U83" s="3"/>
      <c r="V83" s="7">
        <f t="shared" si="17"/>
        <v>0</v>
      </c>
      <c r="W83" s="3"/>
      <c r="X83" s="6">
        <f t="shared" si="18"/>
        <v>8199.57</v>
      </c>
      <c r="Y83" s="3"/>
      <c r="Z83" s="7">
        <f t="shared" si="19"/>
        <v>0</v>
      </c>
    </row>
    <row r="84" spans="1:26" s="68" customFormat="1" ht="15" customHeight="1" outlineLevel="1" collapsed="1" x14ac:dyDescent="0.3">
      <c r="A84" s="20"/>
      <c r="B84" s="11" t="str">
        <f>CONCATENATE("     ","Services                                          ")</f>
        <v xml:space="preserve">     Services                                          </v>
      </c>
      <c r="C84" s="11"/>
      <c r="D84" s="2">
        <f>SUM(OSRRefD22_18x_0)</f>
        <v>53402.549999999996</v>
      </c>
      <c r="E84" s="2"/>
      <c r="F84" s="5">
        <f t="shared" si="12"/>
        <v>0.25340288641525494</v>
      </c>
      <c r="G84" s="2"/>
      <c r="H84" s="2">
        <f>SUM(OSRRefH22_18x_0)</f>
        <v>12614.23</v>
      </c>
      <c r="I84" s="2"/>
      <c r="J84" s="5">
        <f t="shared" si="13"/>
        <v>0.13030420322044053</v>
      </c>
      <c r="K84" s="2"/>
      <c r="L84" s="2">
        <f t="shared" si="14"/>
        <v>40788.319999999992</v>
      </c>
      <c r="M84" s="2"/>
      <c r="N84" s="5">
        <f t="shared" si="15"/>
        <v>3.2335164334247906</v>
      </c>
      <c r="O84" s="11"/>
      <c r="P84" s="2">
        <f>SUM(OSRRefP22_18x_0)</f>
        <v>318359.42</v>
      </c>
      <c r="Q84" s="2"/>
      <c r="R84" s="5">
        <f t="shared" si="16"/>
        <v>2.3872602537163314E-2</v>
      </c>
      <c r="S84" s="2"/>
      <c r="T84" s="2">
        <f>SUM(OSRRefT22_18x_0)</f>
        <v>205666.88</v>
      </c>
      <c r="U84" s="2"/>
      <c r="V84" s="5">
        <f t="shared" si="17"/>
        <v>0.12797664951675561</v>
      </c>
      <c r="W84" s="2"/>
      <c r="X84" s="2">
        <f t="shared" si="18"/>
        <v>112692.53999999998</v>
      </c>
      <c r="Y84" s="2"/>
      <c r="Z84" s="5">
        <f t="shared" si="19"/>
        <v>0.5479372274232972</v>
      </c>
    </row>
    <row r="85" spans="1:26" s="69" customFormat="1" ht="15" hidden="1" customHeight="1" outlineLevel="2" x14ac:dyDescent="0.3">
      <c r="A85" s="21"/>
      <c r="B85" s="9" t="str">
        <f>CONCATENATE("          ","6282"," - ","JANITORIAL/EXTERMINATOR EXPENS")</f>
        <v xml:space="preserve">          6282 - JANITORIAL/EXTERMINATOR EXPENS</v>
      </c>
      <c r="C85" s="9"/>
      <c r="D85" s="6">
        <v>3979.75</v>
      </c>
      <c r="E85" s="3"/>
      <c r="F85" s="7">
        <f t="shared" si="12"/>
        <v>1.8884494040286668E-2</v>
      </c>
      <c r="G85" s="3"/>
      <c r="H85" s="6">
        <v>2901.5</v>
      </c>
      <c r="I85" s="3"/>
      <c r="J85" s="7">
        <f t="shared" si="13"/>
        <v>2.9972312669430335E-2</v>
      </c>
      <c r="K85" s="3"/>
      <c r="L85" s="6">
        <f t="shared" si="14"/>
        <v>1078.25</v>
      </c>
      <c r="M85" s="3"/>
      <c r="N85" s="7">
        <f t="shared" si="15"/>
        <v>0.37161812855419613</v>
      </c>
      <c r="O85" s="9"/>
      <c r="P85" s="6">
        <v>34362.980000000003</v>
      </c>
      <c r="Q85" s="3"/>
      <c r="R85" s="7">
        <f t="shared" si="16"/>
        <v>2.5767535433143217E-3</v>
      </c>
      <c r="S85" s="3"/>
      <c r="T85" s="6">
        <v>29616.880000000001</v>
      </c>
      <c r="U85" s="3"/>
      <c r="V85" s="7">
        <f t="shared" si="17"/>
        <v>1.842916599668264E-2</v>
      </c>
      <c r="W85" s="3"/>
      <c r="X85" s="6">
        <f t="shared" si="18"/>
        <v>4746.1000000000022</v>
      </c>
      <c r="Y85" s="3"/>
      <c r="Z85" s="7">
        <f t="shared" si="19"/>
        <v>0.16024983050206509</v>
      </c>
    </row>
    <row r="86" spans="1:26" s="69" customFormat="1" ht="15" hidden="1" customHeight="1" outlineLevel="2" x14ac:dyDescent="0.3">
      <c r="A86" s="21"/>
      <c r="B86" s="9" t="str">
        <f>CONCATENATE("          ","6284"," - ","TRASH REMOVAL EXPENSE")</f>
        <v xml:space="preserve">          6284 - TRASH REMOVAL EXPENSE</v>
      </c>
      <c r="C86" s="9"/>
      <c r="D86" s="6"/>
      <c r="E86" s="3"/>
      <c r="F86" s="7">
        <f t="shared" si="12"/>
        <v>0</v>
      </c>
      <c r="G86" s="3"/>
      <c r="H86" s="6">
        <v>-3859</v>
      </c>
      <c r="I86" s="3"/>
      <c r="J86" s="7">
        <f t="shared" si="13"/>
        <v>-3.9863227500028145E-2</v>
      </c>
      <c r="K86" s="3"/>
      <c r="L86" s="6">
        <f t="shared" si="14"/>
        <v>3859</v>
      </c>
      <c r="M86" s="3"/>
      <c r="N86" s="7">
        <f t="shared" si="15"/>
        <v>-1</v>
      </c>
      <c r="O86" s="9"/>
      <c r="P86" s="6"/>
      <c r="Q86" s="3"/>
      <c r="R86" s="7">
        <f t="shared" si="16"/>
        <v>0</v>
      </c>
      <c r="S86" s="3"/>
      <c r="T86" s="6">
        <v>27565.75</v>
      </c>
      <c r="U86" s="3"/>
      <c r="V86" s="7">
        <f t="shared" si="17"/>
        <v>1.7152846031487937E-2</v>
      </c>
      <c r="W86" s="3"/>
      <c r="X86" s="6">
        <f t="shared" si="18"/>
        <v>-27565.75</v>
      </c>
      <c r="Y86" s="3"/>
      <c r="Z86" s="7">
        <f t="shared" si="19"/>
        <v>-1</v>
      </c>
    </row>
    <row r="87" spans="1:26" s="69" customFormat="1" ht="15" hidden="1" customHeight="1" outlineLevel="2" x14ac:dyDescent="0.3">
      <c r="A87" s="21"/>
      <c r="B87" s="9" t="str">
        <f>CONCATENATE("          ","6285"," - ","JANITORIAL SERVICES")</f>
        <v xml:space="preserve">          6285 - JANITORIAL SERVICES</v>
      </c>
      <c r="C87" s="9"/>
      <c r="D87" s="6">
        <v>45317.27</v>
      </c>
      <c r="E87" s="3"/>
      <c r="F87" s="7">
        <f t="shared" si="12"/>
        <v>0.21503705389460689</v>
      </c>
      <c r="G87" s="3"/>
      <c r="H87" s="6">
        <v>12282.71</v>
      </c>
      <c r="I87" s="3"/>
      <c r="J87" s="7">
        <f t="shared" si="13"/>
        <v>0.1268796224531927</v>
      </c>
      <c r="K87" s="3"/>
      <c r="L87" s="6">
        <f t="shared" si="14"/>
        <v>33034.559999999998</v>
      </c>
      <c r="M87" s="3"/>
      <c r="N87" s="7">
        <f t="shared" si="15"/>
        <v>2.6895172156633187</v>
      </c>
      <c r="O87" s="9"/>
      <c r="P87" s="6">
        <v>240830.02</v>
      </c>
      <c r="Q87" s="3"/>
      <c r="R87" s="7">
        <f t="shared" si="16"/>
        <v>1.8058957848575963E-2</v>
      </c>
      <c r="S87" s="3"/>
      <c r="T87" s="6">
        <v>130487.86</v>
      </c>
      <c r="U87" s="3"/>
      <c r="V87" s="7">
        <f t="shared" si="17"/>
        <v>8.1196345884235091E-2</v>
      </c>
      <c r="W87" s="3"/>
      <c r="X87" s="6">
        <f t="shared" si="18"/>
        <v>110342.15999999999</v>
      </c>
      <c r="Y87" s="3"/>
      <c r="Z87" s="7">
        <f t="shared" si="19"/>
        <v>0.84561245774127947</v>
      </c>
    </row>
    <row r="88" spans="1:26" s="69" customFormat="1" ht="15" hidden="1" customHeight="1" outlineLevel="2" x14ac:dyDescent="0.3">
      <c r="A88" s="21"/>
      <c r="B88" s="9" t="str">
        <f>CONCATENATE("          ","6286"," - ","LAUNDRY EXPENSE")</f>
        <v xml:space="preserve">          6286 - LAUNDRY EXPENSE</v>
      </c>
      <c r="C88" s="9"/>
      <c r="D88" s="6">
        <v>4105.53</v>
      </c>
      <c r="E88" s="3"/>
      <c r="F88" s="7">
        <f t="shared" si="12"/>
        <v>1.9481338480361359E-2</v>
      </c>
      <c r="G88" s="3"/>
      <c r="H88" s="6">
        <v>1289.02</v>
      </c>
      <c r="I88" s="3"/>
      <c r="J88" s="7">
        <f t="shared" si="13"/>
        <v>1.3315495597845629E-2</v>
      </c>
      <c r="K88" s="3"/>
      <c r="L88" s="6">
        <f t="shared" si="14"/>
        <v>2816.5099999999998</v>
      </c>
      <c r="M88" s="3"/>
      <c r="N88" s="7">
        <f t="shared" si="15"/>
        <v>2.1850010085180989</v>
      </c>
      <c r="O88" s="9"/>
      <c r="P88" s="6">
        <v>43166.42</v>
      </c>
      <c r="Q88" s="3"/>
      <c r="R88" s="7">
        <f t="shared" si="16"/>
        <v>3.2368911452730288E-3</v>
      </c>
      <c r="S88" s="3"/>
      <c r="T88" s="6">
        <v>17996.39</v>
      </c>
      <c r="U88" s="3"/>
      <c r="V88" s="7">
        <f t="shared" si="17"/>
        <v>1.1198291604349934E-2</v>
      </c>
      <c r="W88" s="3"/>
      <c r="X88" s="6">
        <f t="shared" si="18"/>
        <v>25170.03</v>
      </c>
      <c r="Y88" s="3"/>
      <c r="Z88" s="7">
        <f t="shared" si="19"/>
        <v>1.3986155001086329</v>
      </c>
    </row>
    <row r="89" spans="1:26" s="68" customFormat="1" ht="15" customHeight="1" outlineLevel="1" collapsed="1" x14ac:dyDescent="0.3">
      <c r="A89" s="20"/>
      <c r="B89" s="11" t="str">
        <f>CONCATENATE("     ","Subscriptions &amp; Dues                              ")</f>
        <v xml:space="preserve">     Subscriptions &amp; Dues                              </v>
      </c>
      <c r="C89" s="11"/>
      <c r="D89" s="2">
        <f>SUM(OSRRefD22_19x_0)</f>
        <v>560.5</v>
      </c>
      <c r="E89" s="2"/>
      <c r="F89" s="5">
        <f t="shared" si="12"/>
        <v>2.6596542269189468E-3</v>
      </c>
      <c r="G89" s="2"/>
      <c r="H89" s="2">
        <f>SUM(OSRRefH22_19x_0)</f>
        <v>130.66999999999999</v>
      </c>
      <c r="I89" s="2"/>
      <c r="J89" s="5">
        <f t="shared" si="13"/>
        <v>1.3498128886832541E-3</v>
      </c>
      <c r="K89" s="2"/>
      <c r="L89" s="2">
        <f t="shared" si="14"/>
        <v>429.83000000000004</v>
      </c>
      <c r="M89" s="2"/>
      <c r="N89" s="5">
        <f t="shared" si="15"/>
        <v>3.2894313920563256</v>
      </c>
      <c r="O89" s="11"/>
      <c r="P89" s="2">
        <f>SUM(OSRRefP22_19x_0)</f>
        <v>7528.4</v>
      </c>
      <c r="Q89" s="2"/>
      <c r="R89" s="5">
        <f t="shared" si="16"/>
        <v>5.6452703972378231E-4</v>
      </c>
      <c r="S89" s="2"/>
      <c r="T89" s="2">
        <f>SUM(OSRRefT22_19x_0)</f>
        <v>1973.92</v>
      </c>
      <c r="U89" s="2"/>
      <c r="V89" s="5">
        <f t="shared" si="17"/>
        <v>1.2282758799769522E-3</v>
      </c>
      <c r="W89" s="2"/>
      <c r="X89" s="2">
        <f t="shared" si="18"/>
        <v>5554.48</v>
      </c>
      <c r="Y89" s="2"/>
      <c r="Z89" s="5">
        <f t="shared" si="19"/>
        <v>2.8139336953878575</v>
      </c>
    </row>
    <row r="90" spans="1:26" s="69" customFormat="1" ht="15" hidden="1" customHeight="1" outlineLevel="2" x14ac:dyDescent="0.3">
      <c r="A90" s="21"/>
      <c r="B90" s="9" t="str">
        <f>CONCATENATE("          ","6258"," - ","MEMBERSHIP DUES")</f>
        <v xml:space="preserve">          6258 - MEMBERSHIP DUES</v>
      </c>
      <c r="C90" s="9"/>
      <c r="D90" s="6"/>
      <c r="E90" s="3"/>
      <c r="F90" s="7">
        <f t="shared" si="12"/>
        <v>0</v>
      </c>
      <c r="G90" s="3"/>
      <c r="H90" s="6"/>
      <c r="I90" s="3"/>
      <c r="J90" s="7">
        <f t="shared" si="13"/>
        <v>0</v>
      </c>
      <c r="K90" s="3"/>
      <c r="L90" s="6">
        <f t="shared" si="14"/>
        <v>0</v>
      </c>
      <c r="M90" s="3"/>
      <c r="N90" s="7">
        <f t="shared" si="15"/>
        <v>0</v>
      </c>
      <c r="O90" s="9"/>
      <c r="P90" s="6"/>
      <c r="Q90" s="3"/>
      <c r="R90" s="7">
        <f t="shared" si="16"/>
        <v>0</v>
      </c>
      <c r="S90" s="3"/>
      <c r="T90" s="6">
        <v>795</v>
      </c>
      <c r="U90" s="3"/>
      <c r="V90" s="7">
        <f t="shared" si="17"/>
        <v>4.9469042543855721E-4</v>
      </c>
      <c r="W90" s="3"/>
      <c r="X90" s="6">
        <f t="shared" si="18"/>
        <v>-795</v>
      </c>
      <c r="Y90" s="3"/>
      <c r="Z90" s="7">
        <f t="shared" si="19"/>
        <v>-1</v>
      </c>
    </row>
    <row r="91" spans="1:26" s="69" customFormat="1" ht="15" hidden="1" customHeight="1" outlineLevel="2" x14ac:dyDescent="0.3">
      <c r="A91" s="21"/>
      <c r="B91" s="9" t="str">
        <f>CONCATENATE("          ","6275"," - ","SUBSCRIPTIONS")</f>
        <v xml:space="preserve">          6275 - SUBSCRIPTIONS</v>
      </c>
      <c r="C91" s="9"/>
      <c r="D91" s="6">
        <v>560.5</v>
      </c>
      <c r="E91" s="3"/>
      <c r="F91" s="7">
        <f t="shared" si="12"/>
        <v>2.6596542269189468E-3</v>
      </c>
      <c r="G91" s="3"/>
      <c r="H91" s="6">
        <v>130.66999999999999</v>
      </c>
      <c r="I91" s="3"/>
      <c r="J91" s="7">
        <f t="shared" si="13"/>
        <v>1.3498128886832541E-3</v>
      </c>
      <c r="K91" s="3"/>
      <c r="L91" s="6">
        <f t="shared" si="14"/>
        <v>429.83000000000004</v>
      </c>
      <c r="M91" s="3"/>
      <c r="N91" s="7">
        <f t="shared" si="15"/>
        <v>3.2894313920563256</v>
      </c>
      <c r="O91" s="9"/>
      <c r="P91" s="6">
        <v>7528.4</v>
      </c>
      <c r="Q91" s="3"/>
      <c r="R91" s="7">
        <f t="shared" si="16"/>
        <v>5.6452703972378231E-4</v>
      </c>
      <c r="S91" s="3"/>
      <c r="T91" s="6">
        <v>1178.92</v>
      </c>
      <c r="U91" s="3"/>
      <c r="V91" s="7">
        <f t="shared" si="17"/>
        <v>7.3358545453839491E-4</v>
      </c>
      <c r="W91" s="3"/>
      <c r="X91" s="6">
        <f t="shared" si="18"/>
        <v>6349.48</v>
      </c>
      <c r="Y91" s="3"/>
      <c r="Z91" s="7">
        <f t="shared" si="19"/>
        <v>5.3858446713941568</v>
      </c>
    </row>
    <row r="92" spans="1:26" s="68" customFormat="1" ht="15" customHeight="1" outlineLevel="1" collapsed="1" x14ac:dyDescent="0.3">
      <c r="A92" s="20"/>
      <c r="B92" s="11" t="str">
        <f>CONCATENATE("     ","Supplies                                          ")</f>
        <v xml:space="preserve">     Supplies                                          </v>
      </c>
      <c r="C92" s="11"/>
      <c r="D92" s="2">
        <f>SUM(OSRRefD22_20x_0)</f>
        <v>8131.2199999999993</v>
      </c>
      <c r="E92" s="2"/>
      <c r="F92" s="5">
        <f t="shared" si="12"/>
        <v>3.8583824519193351E-2</v>
      </c>
      <c r="G92" s="2"/>
      <c r="H92" s="2">
        <f>SUM(OSRRefH22_20x_0)</f>
        <v>14690.59</v>
      </c>
      <c r="I92" s="2"/>
      <c r="J92" s="5">
        <f t="shared" si="13"/>
        <v>0.15175287154175654</v>
      </c>
      <c r="K92" s="2"/>
      <c r="L92" s="2">
        <f t="shared" si="14"/>
        <v>-6559.3700000000008</v>
      </c>
      <c r="M92" s="2"/>
      <c r="N92" s="5">
        <f t="shared" si="15"/>
        <v>-0.44650146794648826</v>
      </c>
      <c r="O92" s="11"/>
      <c r="P92" s="2">
        <f>SUM(OSRRefP22_20x_0)</f>
        <v>369399.23000000004</v>
      </c>
      <c r="Q92" s="2"/>
      <c r="R92" s="5">
        <f t="shared" si="16"/>
        <v>2.7699890253990837E-2</v>
      </c>
      <c r="S92" s="2"/>
      <c r="T92" s="2">
        <f>SUM(OSRRefT22_20x_0)</f>
        <v>137187.71</v>
      </c>
      <c r="U92" s="2"/>
      <c r="V92" s="5">
        <f t="shared" si="17"/>
        <v>8.5365341666467184E-2</v>
      </c>
      <c r="W92" s="2"/>
      <c r="X92" s="2">
        <f t="shared" si="18"/>
        <v>232211.52000000005</v>
      </c>
      <c r="Y92" s="2"/>
      <c r="Z92" s="5">
        <f t="shared" si="19"/>
        <v>1.6926554135206431</v>
      </c>
    </row>
    <row r="93" spans="1:26" s="69" customFormat="1" ht="15" hidden="1" customHeight="1" outlineLevel="2" x14ac:dyDescent="0.3">
      <c r="A93" s="21"/>
      <c r="B93" s="9" t="str">
        <f>CONCATENATE("          ","6234"," - ","EXPENDABLE SUPPLIES &amp; EQUIPMEN")</f>
        <v xml:space="preserve">          6234 - EXPENDABLE SUPPLIES &amp; EQUIPMEN</v>
      </c>
      <c r="C93" s="9"/>
      <c r="D93" s="6">
        <v>525.74</v>
      </c>
      <c r="E93" s="3"/>
      <c r="F93" s="7">
        <f t="shared" ref="F93:F111" si="20">IF(D$12=0,0,D93/D$12)</f>
        <v>2.4947129585376751E-3</v>
      </c>
      <c r="G93" s="3"/>
      <c r="H93" s="6">
        <v>-1048.8</v>
      </c>
      <c r="I93" s="3"/>
      <c r="J93" s="7">
        <f t="shared" ref="J93:J111" si="21">IF(H$12=0,0,H93/H$12)</f>
        <v>-1.0834038093296066E-2</v>
      </c>
      <c r="K93" s="3"/>
      <c r="L93" s="6">
        <f t="shared" ref="L93:L111" si="22">+D93-H93</f>
        <v>1574.54</v>
      </c>
      <c r="M93" s="3"/>
      <c r="N93" s="7">
        <f t="shared" ref="N93:N111" si="23">IF(H93=0,0,L93/H93)</f>
        <v>-1.5012776506483601</v>
      </c>
      <c r="O93" s="9"/>
      <c r="P93" s="6">
        <v>1204.56</v>
      </c>
      <c r="Q93" s="3"/>
      <c r="R93" s="7">
        <f t="shared" ref="R93:R111" si="24">IF(P$12=0,0,P93/P$12)</f>
        <v>9.0325526136985176E-5</v>
      </c>
      <c r="S93" s="3"/>
      <c r="T93" s="6">
        <v>-711.64</v>
      </c>
      <c r="U93" s="3"/>
      <c r="V93" s="7">
        <f t="shared" ref="V93:V111" si="25">IF(T$12=0,0,T93/T$12)</f>
        <v>-4.4281948975986776E-4</v>
      </c>
      <c r="W93" s="3"/>
      <c r="X93" s="6">
        <f t="shared" ref="X93:X111" si="26">+P93-T93</f>
        <v>1916.1999999999998</v>
      </c>
      <c r="Y93" s="3"/>
      <c r="Z93" s="7">
        <f t="shared" ref="Z93:Z111" si="27">IF(T93=0,0,X93/T93)</f>
        <v>-2.6926535888932603</v>
      </c>
    </row>
    <row r="94" spans="1:26" s="69" customFormat="1" ht="15" hidden="1" customHeight="1" outlineLevel="2" x14ac:dyDescent="0.3">
      <c r="A94" s="21"/>
      <c r="B94" s="9" t="str">
        <f>CONCATENATE("          ","6235"," - ","COVID-19 EXPENSES")</f>
        <v xml:space="preserve">          6235 - COVID-19 EXPENSES</v>
      </c>
      <c r="C94" s="9"/>
      <c r="D94" s="6"/>
      <c r="E94" s="3"/>
      <c r="F94" s="7">
        <f t="shared" si="20"/>
        <v>0</v>
      </c>
      <c r="G94" s="3"/>
      <c r="H94" s="6"/>
      <c r="I94" s="3"/>
      <c r="J94" s="7">
        <f t="shared" si="21"/>
        <v>0</v>
      </c>
      <c r="K94" s="3"/>
      <c r="L94" s="6">
        <f t="shared" si="22"/>
        <v>0</v>
      </c>
      <c r="M94" s="3"/>
      <c r="N94" s="7">
        <f t="shared" si="23"/>
        <v>0</v>
      </c>
      <c r="O94" s="9"/>
      <c r="P94" s="6">
        <v>777.84</v>
      </c>
      <c r="Q94" s="3"/>
      <c r="R94" s="7">
        <f t="shared" si="24"/>
        <v>5.8327362066142454E-5</v>
      </c>
      <c r="S94" s="3"/>
      <c r="T94" s="6">
        <v>66359.259999999995</v>
      </c>
      <c r="U94" s="3"/>
      <c r="V94" s="7">
        <f t="shared" si="25"/>
        <v>4.1292189385141925E-2</v>
      </c>
      <c r="W94" s="3"/>
      <c r="X94" s="6">
        <f t="shared" si="26"/>
        <v>-65581.42</v>
      </c>
      <c r="Y94" s="3"/>
      <c r="Z94" s="7">
        <f t="shared" si="27"/>
        <v>-0.98827835030107336</v>
      </c>
    </row>
    <row r="95" spans="1:26" s="69" customFormat="1" ht="15" hidden="1" customHeight="1" outlineLevel="2" x14ac:dyDescent="0.3">
      <c r="A95" s="21"/>
      <c r="B95" s="9" t="str">
        <f>CONCATENATE("          ","6237"," - ","JANITORIAL SUPPLIES")</f>
        <v xml:space="preserve">          6237 - JANITORIAL SUPPLIES</v>
      </c>
      <c r="C95" s="9"/>
      <c r="D95" s="6">
        <v>3558.88</v>
      </c>
      <c r="E95" s="3"/>
      <c r="F95" s="7">
        <f t="shared" si="20"/>
        <v>1.6887404522921142E-2</v>
      </c>
      <c r="G95" s="3"/>
      <c r="H95" s="6">
        <v>2269.0100000000002</v>
      </c>
      <c r="I95" s="3"/>
      <c r="J95" s="7">
        <f t="shared" si="21"/>
        <v>2.3438730715169439E-2</v>
      </c>
      <c r="K95" s="3"/>
      <c r="L95" s="6">
        <f t="shared" si="22"/>
        <v>1289.8699999999999</v>
      </c>
      <c r="M95" s="3"/>
      <c r="N95" s="7">
        <f t="shared" si="23"/>
        <v>0.56847259377437731</v>
      </c>
      <c r="O95" s="9"/>
      <c r="P95" s="6">
        <v>92228.32</v>
      </c>
      <c r="Q95" s="3"/>
      <c r="R95" s="7">
        <f t="shared" si="24"/>
        <v>6.9158626624910621E-3</v>
      </c>
      <c r="S95" s="3"/>
      <c r="T95" s="6">
        <v>25764.65</v>
      </c>
      <c r="U95" s="3"/>
      <c r="V95" s="7">
        <f t="shared" si="25"/>
        <v>1.6032107760723929E-2</v>
      </c>
      <c r="W95" s="3"/>
      <c r="X95" s="6">
        <f t="shared" si="26"/>
        <v>66463.670000000013</v>
      </c>
      <c r="Y95" s="3"/>
      <c r="Z95" s="7">
        <f t="shared" si="27"/>
        <v>2.5796457549394232</v>
      </c>
    </row>
    <row r="96" spans="1:26" s="69" customFormat="1" ht="15" hidden="1" customHeight="1" outlineLevel="2" x14ac:dyDescent="0.3">
      <c r="A96" s="21"/>
      <c r="B96" s="9" t="str">
        <f>CONCATENATE("          ","6239"," - ","KITCHEN SUPPLIES")</f>
        <v xml:space="preserve">          6239 - KITCHEN SUPPLIES</v>
      </c>
      <c r="C96" s="9"/>
      <c r="D96" s="6">
        <v>681.31</v>
      </c>
      <c r="E96" s="3"/>
      <c r="F96" s="7">
        <f t="shared" si="20"/>
        <v>3.2329152923142681E-3</v>
      </c>
      <c r="G96" s="3"/>
      <c r="H96" s="6">
        <v>7752.64</v>
      </c>
      <c r="I96" s="3"/>
      <c r="J96" s="7">
        <f t="shared" si="21"/>
        <v>8.0084284023274999E-2</v>
      </c>
      <c r="K96" s="3"/>
      <c r="L96" s="6">
        <f t="shared" si="22"/>
        <v>-7071.33</v>
      </c>
      <c r="M96" s="3"/>
      <c r="N96" s="7">
        <f t="shared" si="23"/>
        <v>-0.91211896850621199</v>
      </c>
      <c r="O96" s="9"/>
      <c r="P96" s="6">
        <v>46507.96</v>
      </c>
      <c r="Q96" s="3"/>
      <c r="R96" s="7">
        <f t="shared" si="24"/>
        <v>3.4874609455385047E-3</v>
      </c>
      <c r="S96" s="3"/>
      <c r="T96" s="6">
        <v>15638.74</v>
      </c>
      <c r="U96" s="3"/>
      <c r="V96" s="7">
        <f t="shared" si="25"/>
        <v>9.7312389231735633E-3</v>
      </c>
      <c r="W96" s="3"/>
      <c r="X96" s="6">
        <f t="shared" si="26"/>
        <v>30869.22</v>
      </c>
      <c r="Y96" s="3"/>
      <c r="Z96" s="7">
        <f t="shared" si="27"/>
        <v>1.9738943162940239</v>
      </c>
    </row>
    <row r="97" spans="1:26" s="69" customFormat="1" ht="15" hidden="1" customHeight="1" outlineLevel="2" x14ac:dyDescent="0.3">
      <c r="A97" s="21"/>
      <c r="B97" s="9" t="str">
        <f>CONCATENATE("          ","6241"," - ","OFFICE EXPENSE")</f>
        <v xml:space="preserve">          6241 - OFFICE EXPENSE</v>
      </c>
      <c r="C97" s="9"/>
      <c r="D97" s="6">
        <v>153.01</v>
      </c>
      <c r="E97" s="3"/>
      <c r="F97" s="7">
        <f t="shared" si="20"/>
        <v>7.2605476050110259E-4</v>
      </c>
      <c r="G97" s="3"/>
      <c r="H97" s="6">
        <v>1232.0899999999999</v>
      </c>
      <c r="I97" s="3"/>
      <c r="J97" s="7">
        <f t="shared" si="21"/>
        <v>1.2727412275332903E-2</v>
      </c>
      <c r="K97" s="3"/>
      <c r="L97" s="6">
        <f t="shared" si="22"/>
        <v>-1079.08</v>
      </c>
      <c r="M97" s="3"/>
      <c r="N97" s="7">
        <f t="shared" si="23"/>
        <v>-0.87581264355688304</v>
      </c>
      <c r="O97" s="9"/>
      <c r="P97" s="6">
        <v>26793.97</v>
      </c>
      <c r="Q97" s="3"/>
      <c r="R97" s="7">
        <f t="shared" si="24"/>
        <v>2.0091813089830285E-3</v>
      </c>
      <c r="S97" s="3"/>
      <c r="T97" s="6">
        <v>-17823.740000000002</v>
      </c>
      <c r="U97" s="3"/>
      <c r="V97" s="7">
        <f t="shared" si="25"/>
        <v>-1.109085977799526E-2</v>
      </c>
      <c r="W97" s="3"/>
      <c r="X97" s="6">
        <f t="shared" si="26"/>
        <v>44617.710000000006</v>
      </c>
      <c r="Y97" s="3"/>
      <c r="Z97" s="7">
        <f t="shared" si="27"/>
        <v>-2.5032742847460749</v>
      </c>
    </row>
    <row r="98" spans="1:26" s="69" customFormat="1" ht="15" hidden="1" customHeight="1" outlineLevel="2" x14ac:dyDescent="0.3">
      <c r="A98" s="21"/>
      <c r="B98" s="9" t="str">
        <f>CONCATENATE("          ","6243"," - ","PAPER SUPPLIES")</f>
        <v xml:space="preserve">          6243 - PAPER SUPPLIES</v>
      </c>
      <c r="C98" s="9"/>
      <c r="D98" s="6">
        <v>2703.64</v>
      </c>
      <c r="E98" s="3"/>
      <c r="F98" s="7">
        <f t="shared" si="20"/>
        <v>1.2829166019745122E-2</v>
      </c>
      <c r="G98" s="3"/>
      <c r="H98" s="6">
        <v>4485.6499999999996</v>
      </c>
      <c r="I98" s="3"/>
      <c r="J98" s="7">
        <f t="shared" si="21"/>
        <v>4.6336482621275259E-2</v>
      </c>
      <c r="K98" s="3"/>
      <c r="L98" s="6">
        <f t="shared" si="22"/>
        <v>-1782.0099999999998</v>
      </c>
      <c r="M98" s="3"/>
      <c r="N98" s="7">
        <f t="shared" si="23"/>
        <v>-0.3972690691427106</v>
      </c>
      <c r="O98" s="9"/>
      <c r="P98" s="6">
        <v>187239.96</v>
      </c>
      <c r="Q98" s="3"/>
      <c r="R98" s="7">
        <f t="shared" si="24"/>
        <v>1.4040436259603556E-2</v>
      </c>
      <c r="S98" s="3"/>
      <c r="T98" s="6">
        <v>43459.85</v>
      </c>
      <c r="U98" s="3"/>
      <c r="V98" s="7">
        <f t="shared" si="25"/>
        <v>2.7042983252825007E-2</v>
      </c>
      <c r="W98" s="3"/>
      <c r="X98" s="6">
        <f t="shared" si="26"/>
        <v>143780.10999999999</v>
      </c>
      <c r="Y98" s="3"/>
      <c r="Z98" s="7">
        <f t="shared" si="27"/>
        <v>3.3083434480330696</v>
      </c>
    </row>
    <row r="99" spans="1:26" s="69" customFormat="1" ht="15" hidden="1" customHeight="1" outlineLevel="2" x14ac:dyDescent="0.3">
      <c r="A99" s="21"/>
      <c r="B99" s="9" t="str">
        <f>CONCATENATE("          ","6245"," - ","PRINTING")</f>
        <v xml:space="preserve">          6245 - PRINTING</v>
      </c>
      <c r="C99" s="9"/>
      <c r="D99" s="6">
        <v>598.64</v>
      </c>
      <c r="E99" s="3"/>
      <c r="F99" s="7">
        <f t="shared" si="20"/>
        <v>2.8406340881405139E-3</v>
      </c>
      <c r="G99" s="3"/>
      <c r="H99" s="6"/>
      <c r="I99" s="3"/>
      <c r="J99" s="7">
        <f t="shared" si="21"/>
        <v>0</v>
      </c>
      <c r="K99" s="3"/>
      <c r="L99" s="6">
        <f t="shared" si="22"/>
        <v>598.64</v>
      </c>
      <c r="M99" s="3"/>
      <c r="N99" s="7">
        <f t="shared" si="23"/>
        <v>0</v>
      </c>
      <c r="O99" s="9"/>
      <c r="P99" s="6">
        <v>1669.64</v>
      </c>
      <c r="Q99" s="3"/>
      <c r="R99" s="7">
        <f t="shared" si="24"/>
        <v>1.2520016558689975E-4</v>
      </c>
      <c r="S99" s="3"/>
      <c r="T99" s="6"/>
      <c r="U99" s="3"/>
      <c r="V99" s="7">
        <f t="shared" si="25"/>
        <v>0</v>
      </c>
      <c r="W99" s="3"/>
      <c r="X99" s="6">
        <f t="shared" si="26"/>
        <v>1669.64</v>
      </c>
      <c r="Y99" s="3"/>
      <c r="Z99" s="7">
        <f t="shared" si="27"/>
        <v>0</v>
      </c>
    </row>
    <row r="100" spans="1:26" s="69" customFormat="1" ht="15" hidden="1" customHeight="1" outlineLevel="2" x14ac:dyDescent="0.3">
      <c r="A100" s="21"/>
      <c r="B100" s="9" t="str">
        <f>CONCATENATE("          ","6247"," - ","STORE SUPPLIES")</f>
        <v xml:space="preserve">          6247 - STORE SUPPLIES</v>
      </c>
      <c r="C100" s="9"/>
      <c r="D100" s="6">
        <v>-90</v>
      </c>
      <c r="E100" s="3"/>
      <c r="F100" s="7">
        <f t="shared" si="20"/>
        <v>-4.2706312296646778E-4</v>
      </c>
      <c r="G100" s="3"/>
      <c r="H100" s="6"/>
      <c r="I100" s="3"/>
      <c r="J100" s="7">
        <f t="shared" si="21"/>
        <v>0</v>
      </c>
      <c r="K100" s="3"/>
      <c r="L100" s="6">
        <f t="shared" si="22"/>
        <v>-90</v>
      </c>
      <c r="M100" s="3"/>
      <c r="N100" s="7">
        <f t="shared" si="23"/>
        <v>0</v>
      </c>
      <c r="O100" s="9"/>
      <c r="P100" s="6">
        <v>3445.14</v>
      </c>
      <c r="Q100" s="3"/>
      <c r="R100" s="7">
        <f t="shared" si="24"/>
        <v>2.5833838340603467E-4</v>
      </c>
      <c r="S100" s="3"/>
      <c r="T100" s="6"/>
      <c r="U100" s="3"/>
      <c r="V100" s="7">
        <f t="shared" si="25"/>
        <v>0</v>
      </c>
      <c r="W100" s="3"/>
      <c r="X100" s="6">
        <f t="shared" si="26"/>
        <v>3445.14</v>
      </c>
      <c r="Y100" s="3"/>
      <c r="Z100" s="7">
        <f t="shared" si="27"/>
        <v>0</v>
      </c>
    </row>
    <row r="101" spans="1:26" s="69" customFormat="1" ht="15" hidden="1" customHeight="1" outlineLevel="2" x14ac:dyDescent="0.3">
      <c r="A101" s="21"/>
      <c r="B101" s="9" t="str">
        <f>CONCATENATE("          ","6248"," - ","UNIFORMS")</f>
        <v xml:space="preserve">          6248 - UNIFORMS</v>
      </c>
      <c r="C101" s="9"/>
      <c r="D101" s="6"/>
      <c r="E101" s="3"/>
      <c r="F101" s="7">
        <f t="shared" si="20"/>
        <v>0</v>
      </c>
      <c r="G101" s="3"/>
      <c r="H101" s="6"/>
      <c r="I101" s="3"/>
      <c r="J101" s="7">
        <f t="shared" si="21"/>
        <v>0</v>
      </c>
      <c r="K101" s="3"/>
      <c r="L101" s="6">
        <f t="shared" si="22"/>
        <v>0</v>
      </c>
      <c r="M101" s="3"/>
      <c r="N101" s="7">
        <f t="shared" si="23"/>
        <v>0</v>
      </c>
      <c r="O101" s="9"/>
      <c r="P101" s="6">
        <v>9531.84</v>
      </c>
      <c r="Q101" s="3"/>
      <c r="R101" s="7">
        <f t="shared" si="24"/>
        <v>7.1475764017862192E-4</v>
      </c>
      <c r="S101" s="3"/>
      <c r="T101" s="6">
        <v>4500.59</v>
      </c>
      <c r="U101" s="3"/>
      <c r="V101" s="7">
        <f t="shared" si="25"/>
        <v>2.8005016123578822E-3</v>
      </c>
      <c r="W101" s="3"/>
      <c r="X101" s="6">
        <f t="shared" si="26"/>
        <v>5031.25</v>
      </c>
      <c r="Y101" s="3"/>
      <c r="Z101" s="7">
        <f t="shared" si="27"/>
        <v>1.1179089852663762</v>
      </c>
    </row>
    <row r="102" spans="1:26" s="68" customFormat="1" ht="15" customHeight="1" outlineLevel="1" collapsed="1" x14ac:dyDescent="0.3">
      <c r="A102" s="20"/>
      <c r="B102" s="11" t="str">
        <f>CONCATENATE("     ","Telephone/Data Lines                              ")</f>
        <v xml:space="preserve">     Telephone/Data Lines                              </v>
      </c>
      <c r="C102" s="11"/>
      <c r="D102" s="2">
        <f>SUM(OSRRefD22_21x_0)</f>
        <v>575.35</v>
      </c>
      <c r="E102" s="2"/>
      <c r="F102" s="5">
        <f t="shared" si="20"/>
        <v>2.7301196422084137E-3</v>
      </c>
      <c r="G102" s="2"/>
      <c r="H102" s="2">
        <f>SUM(OSRRefH22_21x_0)</f>
        <v>1997.5</v>
      </c>
      <c r="I102" s="2"/>
      <c r="J102" s="5">
        <f t="shared" si="21"/>
        <v>2.0634049476886816E-2</v>
      </c>
      <c r="K102" s="2"/>
      <c r="L102" s="2">
        <f t="shared" si="22"/>
        <v>-1422.15</v>
      </c>
      <c r="M102" s="2"/>
      <c r="N102" s="5">
        <f t="shared" si="23"/>
        <v>-0.71196495619524414</v>
      </c>
      <c r="O102" s="11"/>
      <c r="P102" s="2">
        <f>SUM(OSRRefP22_21x_0)</f>
        <v>16569.59</v>
      </c>
      <c r="Q102" s="2"/>
      <c r="R102" s="5">
        <f t="shared" si="24"/>
        <v>1.2424926401541877E-3</v>
      </c>
      <c r="S102" s="2"/>
      <c r="T102" s="2">
        <f>SUM(OSRRefT22_21x_0)</f>
        <v>13640.93</v>
      </c>
      <c r="U102" s="2"/>
      <c r="V102" s="5">
        <f t="shared" si="25"/>
        <v>8.4880974403491564E-3</v>
      </c>
      <c r="W102" s="2"/>
      <c r="X102" s="2">
        <f t="shared" si="26"/>
        <v>2928.66</v>
      </c>
      <c r="Y102" s="2"/>
      <c r="Z102" s="5">
        <f t="shared" si="27"/>
        <v>0.21469650529692622</v>
      </c>
    </row>
    <row r="103" spans="1:26" s="69" customFormat="1" ht="15" hidden="1" customHeight="1" outlineLevel="2" x14ac:dyDescent="0.3">
      <c r="A103" s="21"/>
      <c r="B103" s="9" t="str">
        <f>CONCATENATE("          ","6309"," - ","TELEPHONE")</f>
        <v xml:space="preserve">          6309 - TELEPHONE</v>
      </c>
      <c r="C103" s="9"/>
      <c r="D103" s="6">
        <v>575.35</v>
      </c>
      <c r="E103" s="3"/>
      <c r="F103" s="7">
        <f t="shared" si="20"/>
        <v>2.7301196422084137E-3</v>
      </c>
      <c r="G103" s="3"/>
      <c r="H103" s="6">
        <v>1997.5</v>
      </c>
      <c r="I103" s="3"/>
      <c r="J103" s="7">
        <f t="shared" si="21"/>
        <v>2.0634049476886816E-2</v>
      </c>
      <c r="K103" s="3"/>
      <c r="L103" s="6">
        <f t="shared" si="22"/>
        <v>-1422.15</v>
      </c>
      <c r="M103" s="3"/>
      <c r="N103" s="7">
        <f t="shared" si="23"/>
        <v>-0.71196495619524414</v>
      </c>
      <c r="O103" s="9"/>
      <c r="P103" s="6">
        <v>16569.59</v>
      </c>
      <c r="Q103" s="3"/>
      <c r="R103" s="7">
        <f t="shared" si="24"/>
        <v>1.2424926401541877E-3</v>
      </c>
      <c r="S103" s="3"/>
      <c r="T103" s="6">
        <v>13640.93</v>
      </c>
      <c r="U103" s="3"/>
      <c r="V103" s="7">
        <f t="shared" si="25"/>
        <v>8.4880974403491564E-3</v>
      </c>
      <c r="W103" s="3"/>
      <c r="X103" s="6">
        <f t="shared" si="26"/>
        <v>2928.66</v>
      </c>
      <c r="Y103" s="3"/>
      <c r="Z103" s="7">
        <f t="shared" si="27"/>
        <v>0.21469650529692622</v>
      </c>
    </row>
    <row r="104" spans="1:26" s="68" customFormat="1" ht="15" customHeight="1" outlineLevel="1" collapsed="1" x14ac:dyDescent="0.3">
      <c r="A104" s="20"/>
      <c r="B104" s="11" t="str">
        <f>CONCATENATE("     ","Training                                          ")</f>
        <v xml:space="preserve">     Training                                          </v>
      </c>
      <c r="C104" s="11"/>
      <c r="D104" s="2">
        <f>SUM(OSRRefD22_22x_0)</f>
        <v>916.56</v>
      </c>
      <c r="E104" s="2"/>
      <c r="F104" s="5">
        <f t="shared" si="20"/>
        <v>4.3492108442905074E-3</v>
      </c>
      <c r="G104" s="2"/>
      <c r="H104" s="2">
        <f>SUM(OSRRefH22_22x_0)</f>
        <v>506.99</v>
      </c>
      <c r="I104" s="2"/>
      <c r="J104" s="5">
        <f t="shared" si="21"/>
        <v>5.2371748406942909E-3</v>
      </c>
      <c r="K104" s="2"/>
      <c r="L104" s="2">
        <f t="shared" si="22"/>
        <v>409.56999999999994</v>
      </c>
      <c r="M104" s="2"/>
      <c r="N104" s="5">
        <f t="shared" si="23"/>
        <v>0.80784630860569229</v>
      </c>
      <c r="O104" s="11"/>
      <c r="P104" s="2">
        <f>SUM(OSRRefP22_22x_0)</f>
        <v>18247.86</v>
      </c>
      <c r="Q104" s="2"/>
      <c r="R104" s="5">
        <f t="shared" si="24"/>
        <v>1.3683399377150548E-3</v>
      </c>
      <c r="S104" s="2"/>
      <c r="T104" s="2">
        <f>SUM(OSRRefT22_22x_0)</f>
        <v>1693.22</v>
      </c>
      <c r="U104" s="2"/>
      <c r="V104" s="5">
        <f t="shared" si="25"/>
        <v>1.0536097134101559E-3</v>
      </c>
      <c r="W104" s="2"/>
      <c r="X104" s="2">
        <f t="shared" si="26"/>
        <v>16554.64</v>
      </c>
      <c r="Y104" s="2"/>
      <c r="Z104" s="5">
        <f t="shared" si="27"/>
        <v>9.7770165719752899</v>
      </c>
    </row>
    <row r="105" spans="1:26" s="69" customFormat="1" ht="15" hidden="1" customHeight="1" outlineLevel="2" x14ac:dyDescent="0.3">
      <c r="A105" s="21"/>
      <c r="B105" s="9" t="str">
        <f>CONCATENATE("          ","6376"," - ","TRAINING")</f>
        <v xml:space="preserve">          6376 - TRAINING</v>
      </c>
      <c r="C105" s="9"/>
      <c r="D105" s="6">
        <v>916.56</v>
      </c>
      <c r="E105" s="3"/>
      <c r="F105" s="7">
        <f t="shared" si="20"/>
        <v>4.3492108442905074E-3</v>
      </c>
      <c r="G105" s="3"/>
      <c r="H105" s="6">
        <v>506.99</v>
      </c>
      <c r="I105" s="3"/>
      <c r="J105" s="7">
        <f t="shared" si="21"/>
        <v>5.2371748406942909E-3</v>
      </c>
      <c r="K105" s="3"/>
      <c r="L105" s="6">
        <f t="shared" si="22"/>
        <v>409.56999999999994</v>
      </c>
      <c r="M105" s="3"/>
      <c r="N105" s="7">
        <f t="shared" si="23"/>
        <v>0.80784630860569229</v>
      </c>
      <c r="O105" s="9"/>
      <c r="P105" s="6">
        <v>18247.86</v>
      </c>
      <c r="Q105" s="3"/>
      <c r="R105" s="7">
        <f t="shared" si="24"/>
        <v>1.3683399377150548E-3</v>
      </c>
      <c r="S105" s="3"/>
      <c r="T105" s="6">
        <v>1693.22</v>
      </c>
      <c r="U105" s="3"/>
      <c r="V105" s="7">
        <f t="shared" si="25"/>
        <v>1.0536097134101559E-3</v>
      </c>
      <c r="W105" s="3"/>
      <c r="X105" s="6">
        <f t="shared" si="26"/>
        <v>16554.64</v>
      </c>
      <c r="Y105" s="3"/>
      <c r="Z105" s="7">
        <f t="shared" si="27"/>
        <v>9.7770165719752899</v>
      </c>
    </row>
    <row r="106" spans="1:26" s="68" customFormat="1" ht="15" customHeight="1" outlineLevel="1" collapsed="1" x14ac:dyDescent="0.3">
      <c r="A106" s="20"/>
      <c r="B106" s="11" t="str">
        <f>CONCATENATE("     ","Travel                                            ")</f>
        <v xml:space="preserve">     Travel                                            </v>
      </c>
      <c r="C106" s="11"/>
      <c r="D106" s="2">
        <f>SUM(OSRRefD22_23x_0)</f>
        <v>0</v>
      </c>
      <c r="E106" s="2"/>
      <c r="F106" s="5">
        <f t="shared" si="20"/>
        <v>0</v>
      </c>
      <c r="G106" s="2"/>
      <c r="H106" s="2">
        <f>SUM(OSRRefH22_23x_0)</f>
        <v>0</v>
      </c>
      <c r="I106" s="2"/>
      <c r="J106" s="5">
        <f t="shared" si="21"/>
        <v>0</v>
      </c>
      <c r="K106" s="2"/>
      <c r="L106" s="2">
        <f t="shared" si="22"/>
        <v>0</v>
      </c>
      <c r="M106" s="2"/>
      <c r="N106" s="5">
        <f t="shared" si="23"/>
        <v>0</v>
      </c>
      <c r="O106" s="11"/>
      <c r="P106" s="2">
        <f>SUM(OSRRefP22_23x_0)</f>
        <v>1111.6500000000001</v>
      </c>
      <c r="Q106" s="2"/>
      <c r="R106" s="5">
        <f t="shared" si="24"/>
        <v>8.3358546797319836E-5</v>
      </c>
      <c r="S106" s="2"/>
      <c r="T106" s="2">
        <f>SUM(OSRRefT22_23x_0)</f>
        <v>492.51</v>
      </c>
      <c r="U106" s="2"/>
      <c r="V106" s="5">
        <f t="shared" si="25"/>
        <v>3.0646538544999225E-4</v>
      </c>
      <c r="W106" s="2"/>
      <c r="X106" s="2">
        <f t="shared" si="26"/>
        <v>619.1400000000001</v>
      </c>
      <c r="Y106" s="2"/>
      <c r="Z106" s="5">
        <f t="shared" si="27"/>
        <v>1.2571115307303407</v>
      </c>
    </row>
    <row r="107" spans="1:26" s="69" customFormat="1" ht="15" hidden="1" customHeight="1" outlineLevel="2" x14ac:dyDescent="0.3">
      <c r="A107" s="21"/>
      <c r="B107" s="9" t="str">
        <f>CONCATENATE("          ","6292"," - ","TRAVEL/CONFERENCE")</f>
        <v xml:space="preserve">          6292 - TRAVEL/CONFERENCE</v>
      </c>
      <c r="C107" s="9"/>
      <c r="D107" s="6"/>
      <c r="E107" s="3"/>
      <c r="F107" s="7">
        <f t="shared" si="20"/>
        <v>0</v>
      </c>
      <c r="G107" s="3"/>
      <c r="H107" s="6"/>
      <c r="I107" s="3"/>
      <c r="J107" s="7">
        <f t="shared" si="21"/>
        <v>0</v>
      </c>
      <c r="K107" s="3"/>
      <c r="L107" s="6">
        <f t="shared" si="22"/>
        <v>0</v>
      </c>
      <c r="M107" s="3"/>
      <c r="N107" s="7">
        <f t="shared" si="23"/>
        <v>0</v>
      </c>
      <c r="O107" s="9"/>
      <c r="P107" s="6">
        <v>628.59</v>
      </c>
      <c r="Q107" s="3"/>
      <c r="R107" s="7">
        <f t="shared" si="24"/>
        <v>4.7135653246370058E-5</v>
      </c>
      <c r="S107" s="3"/>
      <c r="T107" s="6"/>
      <c r="U107" s="3"/>
      <c r="V107" s="7">
        <f t="shared" si="25"/>
        <v>0</v>
      </c>
      <c r="W107" s="3"/>
      <c r="X107" s="6">
        <f t="shared" si="26"/>
        <v>628.59</v>
      </c>
      <c r="Y107" s="3"/>
      <c r="Z107" s="7">
        <f t="shared" si="27"/>
        <v>0</v>
      </c>
    </row>
    <row r="108" spans="1:26" s="69" customFormat="1" ht="15" hidden="1" customHeight="1" outlineLevel="2" x14ac:dyDescent="0.3">
      <c r="A108" s="21"/>
      <c r="B108" s="9" t="str">
        <f>CONCATENATE("          ","6294"," - ","TRAVEL OPERATIONAL")</f>
        <v xml:space="preserve">          6294 - TRAVEL OPERATIONAL</v>
      </c>
      <c r="C108" s="9"/>
      <c r="D108" s="6"/>
      <c r="E108" s="3"/>
      <c r="F108" s="7">
        <f t="shared" si="20"/>
        <v>0</v>
      </c>
      <c r="G108" s="3"/>
      <c r="H108" s="6"/>
      <c r="I108" s="3"/>
      <c r="J108" s="7">
        <f t="shared" si="21"/>
        <v>0</v>
      </c>
      <c r="K108" s="3"/>
      <c r="L108" s="6">
        <f t="shared" si="22"/>
        <v>0</v>
      </c>
      <c r="M108" s="3"/>
      <c r="N108" s="7">
        <f t="shared" si="23"/>
        <v>0</v>
      </c>
      <c r="O108" s="9"/>
      <c r="P108" s="6"/>
      <c r="Q108" s="3"/>
      <c r="R108" s="7">
        <f t="shared" si="24"/>
        <v>0</v>
      </c>
      <c r="S108" s="3"/>
      <c r="T108" s="6">
        <v>160.30000000000001</v>
      </c>
      <c r="U108" s="3"/>
      <c r="V108" s="7">
        <f t="shared" si="25"/>
        <v>9.9747012827422303E-5</v>
      </c>
      <c r="W108" s="3"/>
      <c r="X108" s="6">
        <f t="shared" si="26"/>
        <v>-160.30000000000001</v>
      </c>
      <c r="Y108" s="3"/>
      <c r="Z108" s="7">
        <f t="shared" si="27"/>
        <v>-1</v>
      </c>
    </row>
    <row r="109" spans="1:26" s="69" customFormat="1" ht="15" hidden="1" customHeight="1" outlineLevel="2" x14ac:dyDescent="0.3">
      <c r="A109" s="21"/>
      <c r="B109" s="9" t="str">
        <f>CONCATENATE("          ","6298"," - ","VEHICLE MILEAGE")</f>
        <v xml:space="preserve">          6298 - VEHICLE MILEAGE</v>
      </c>
      <c r="C109" s="9"/>
      <c r="D109" s="6"/>
      <c r="E109" s="3"/>
      <c r="F109" s="7">
        <f t="shared" si="20"/>
        <v>0</v>
      </c>
      <c r="G109" s="3"/>
      <c r="H109" s="6"/>
      <c r="I109" s="3"/>
      <c r="J109" s="7">
        <f t="shared" si="21"/>
        <v>0</v>
      </c>
      <c r="K109" s="3"/>
      <c r="L109" s="6">
        <f t="shared" si="22"/>
        <v>0</v>
      </c>
      <c r="M109" s="3"/>
      <c r="N109" s="7">
        <f t="shared" si="23"/>
        <v>0</v>
      </c>
      <c r="O109" s="9"/>
      <c r="P109" s="6">
        <v>483.06</v>
      </c>
      <c r="Q109" s="3"/>
      <c r="R109" s="7">
        <f t="shared" si="24"/>
        <v>3.6222893550949778E-5</v>
      </c>
      <c r="S109" s="3"/>
      <c r="T109" s="6">
        <v>332.21</v>
      </c>
      <c r="U109" s="3"/>
      <c r="V109" s="7">
        <f t="shared" si="25"/>
        <v>2.0671837262256992E-4</v>
      </c>
      <c r="W109" s="3"/>
      <c r="X109" s="6">
        <f t="shared" si="26"/>
        <v>150.85000000000002</v>
      </c>
      <c r="Y109" s="3"/>
      <c r="Z109" s="7">
        <f t="shared" si="27"/>
        <v>0.45408025044399636</v>
      </c>
    </row>
    <row r="110" spans="1:26" s="68" customFormat="1" ht="15" customHeight="1" outlineLevel="1" collapsed="1" x14ac:dyDescent="0.3">
      <c r="A110" s="20"/>
      <c r="B110" s="11" t="str">
        <f>CONCATENATE("     ","Utilities                                         ")</f>
        <v xml:space="preserve">     Utilities                                         </v>
      </c>
      <c r="C110" s="11"/>
      <c r="D110" s="2">
        <f>SUM(OSRRefD22_24x_0)</f>
        <v>13976.85</v>
      </c>
      <c r="E110" s="2"/>
      <c r="F110" s="5">
        <f t="shared" si="20"/>
        <v>6.6322191224820831E-2</v>
      </c>
      <c r="G110" s="2"/>
      <c r="H110" s="2">
        <f>SUM(OSRRefH22_24x_0)</f>
        <v>40208</v>
      </c>
      <c r="I110" s="2"/>
      <c r="J110" s="5">
        <f t="shared" si="21"/>
        <v>0.41534611332498877</v>
      </c>
      <c r="K110" s="2"/>
      <c r="L110" s="2">
        <f t="shared" si="22"/>
        <v>-26231.15</v>
      </c>
      <c r="M110" s="2"/>
      <c r="N110" s="5">
        <f t="shared" si="23"/>
        <v>-0.65238634102666138</v>
      </c>
      <c r="O110" s="11"/>
      <c r="P110" s="2">
        <f>SUM(OSRRefP22_24x_0)</f>
        <v>122238.53</v>
      </c>
      <c r="Q110" s="2"/>
      <c r="R110" s="5">
        <f t="shared" si="24"/>
        <v>9.1662179853736186E-3</v>
      </c>
      <c r="S110" s="2"/>
      <c r="T110" s="2">
        <f>SUM(OSRRefT22_24x_0)</f>
        <v>46044</v>
      </c>
      <c r="U110" s="2"/>
      <c r="V110" s="5">
        <f t="shared" si="25"/>
        <v>2.8650976036343308E-2</v>
      </c>
      <c r="W110" s="2"/>
      <c r="X110" s="2">
        <f t="shared" si="26"/>
        <v>76194.53</v>
      </c>
      <c r="Y110" s="2"/>
      <c r="Z110" s="5">
        <f t="shared" si="27"/>
        <v>1.6548199548258187</v>
      </c>
    </row>
    <row r="111" spans="1:26" s="69" customFormat="1" ht="15" hidden="1" customHeight="1" outlineLevel="2" x14ac:dyDescent="0.3">
      <c r="A111" s="21"/>
      <c r="B111" s="9" t="str">
        <f>CONCATENATE("          ","6274"," - ","UTILITIES")</f>
        <v xml:space="preserve">          6274 - UTILITIES</v>
      </c>
      <c r="C111" s="9"/>
      <c r="D111" s="6">
        <v>13976.85</v>
      </c>
      <c r="E111" s="3"/>
      <c r="F111" s="7">
        <f t="shared" si="20"/>
        <v>6.6322191224820831E-2</v>
      </c>
      <c r="G111" s="3"/>
      <c r="H111" s="6">
        <v>40208</v>
      </c>
      <c r="I111" s="3"/>
      <c r="J111" s="7">
        <f t="shared" si="21"/>
        <v>0.41534611332498877</v>
      </c>
      <c r="K111" s="3"/>
      <c r="L111" s="6">
        <f t="shared" si="22"/>
        <v>-26231.15</v>
      </c>
      <c r="M111" s="3"/>
      <c r="N111" s="7">
        <f t="shared" si="23"/>
        <v>-0.65238634102666138</v>
      </c>
      <c r="O111" s="9"/>
      <c r="P111" s="6">
        <v>122238.53</v>
      </c>
      <c r="Q111" s="3"/>
      <c r="R111" s="7">
        <f t="shared" si="24"/>
        <v>9.1662179853736186E-3</v>
      </c>
      <c r="S111" s="3"/>
      <c r="T111" s="6">
        <v>46044</v>
      </c>
      <c r="U111" s="3"/>
      <c r="V111" s="7">
        <f t="shared" si="25"/>
        <v>2.8650976036343308E-2</v>
      </c>
      <c r="W111" s="3"/>
      <c r="X111" s="6">
        <f t="shared" si="26"/>
        <v>76194.53</v>
      </c>
      <c r="Y111" s="3"/>
      <c r="Z111" s="7">
        <f t="shared" si="27"/>
        <v>1.6548199548258187</v>
      </c>
    </row>
    <row r="112" spans="1:26" s="64" customFormat="1" ht="15" customHeight="1" x14ac:dyDescent="0.3">
      <c r="A112" s="37"/>
      <c r="B112" s="37"/>
      <c r="C112" s="37"/>
      <c r="D112" s="2"/>
      <c r="E112" s="2"/>
      <c r="F112" s="5"/>
      <c r="G112" s="2"/>
      <c r="H112" s="2"/>
      <c r="I112" s="2"/>
      <c r="J112" s="5"/>
      <c r="K112" s="2"/>
      <c r="L112" s="2"/>
      <c r="M112" s="2"/>
      <c r="N112" s="5"/>
      <c r="O112" s="37"/>
      <c r="P112" s="2"/>
      <c r="Q112" s="2"/>
      <c r="R112" s="5"/>
      <c r="S112" s="2"/>
      <c r="T112" s="2"/>
      <c r="U112" s="2"/>
      <c r="V112" s="5"/>
      <c r="W112" s="2"/>
      <c r="X112" s="2"/>
      <c r="Y112" s="2"/>
      <c r="Z112" s="5"/>
    </row>
    <row r="113" spans="1:26" s="62" customFormat="1" ht="15" customHeight="1" collapsed="1" x14ac:dyDescent="0.3">
      <c r="A113" s="13"/>
      <c r="B113" s="27" t="s">
        <v>290</v>
      </c>
      <c r="C113" s="13"/>
      <c r="D113" s="8">
        <f>SUM(OSRRefD25x_0)</f>
        <v>20761.61</v>
      </c>
      <c r="E113" s="8"/>
      <c r="F113" s="14">
        <f>IF(D$12=0,0,D113/D$12)</f>
        <v>9.8516866715687199E-2</v>
      </c>
      <c r="G113" s="8"/>
      <c r="H113" s="8">
        <f>SUM(OSRRefH25x_0)</f>
        <v>1026.5</v>
      </c>
      <c r="I113" s="8"/>
      <c r="J113" s="14">
        <f>IF(H$12=0,0,H113/H$12)</f>
        <v>1.0603680494630447E-2</v>
      </c>
      <c r="K113" s="8"/>
      <c r="L113" s="8">
        <f>+D113-H113</f>
        <v>19735.11</v>
      </c>
      <c r="M113" s="8"/>
      <c r="N113" s="14">
        <f>IF(H113=0,0,L113/H113)</f>
        <v>19.225630784218218</v>
      </c>
      <c r="O113" s="13"/>
      <c r="P113" s="8">
        <f>SUM(OSRRefP25x_0)</f>
        <v>228646.99</v>
      </c>
      <c r="Q113" s="8"/>
      <c r="R113" s="14">
        <f>IF(P$12=0,0,P113/P$12)</f>
        <v>1.7145397216733072E-2</v>
      </c>
      <c r="S113" s="8"/>
      <c r="T113" s="8">
        <f>SUM(OSRRefT25x_0)</f>
        <v>23513.16</v>
      </c>
      <c r="U113" s="8"/>
      <c r="V113" s="14">
        <f>IF(T$12=0,0,T113/T$12)</f>
        <v>1.4631113363276561E-2</v>
      </c>
      <c r="W113" s="8"/>
      <c r="X113" s="8">
        <f>+P113-T113</f>
        <v>205133.83</v>
      </c>
      <c r="Y113" s="8"/>
      <c r="Z113" s="14">
        <f>IF(T113=0,0,X113/T113)</f>
        <v>8.7242135893261477</v>
      </c>
    </row>
    <row r="114" spans="1:26" s="69" customFormat="1" ht="15" hidden="1" customHeight="1" outlineLevel="1" x14ac:dyDescent="0.3">
      <c r="A114" s="47"/>
      <c r="B114" s="9" t="str">
        <f>CONCATENATE("          ","9150"," - ","MISC. INCOME")</f>
        <v xml:space="preserve">          9150 - MISC. INCOME</v>
      </c>
      <c r="C114" s="9"/>
      <c r="D114" s="3">
        <f>--20761.61</f>
        <v>20761.61</v>
      </c>
      <c r="E114" s="3"/>
      <c r="F114" s="26">
        <f>IF(D$12=0,0,D114/D$12)</f>
        <v>9.8516866715687199E-2</v>
      </c>
      <c r="G114" s="3"/>
      <c r="H114" s="3">
        <f>--449.64</f>
        <v>449.64</v>
      </c>
      <c r="I114" s="3"/>
      <c r="J114" s="26">
        <f>IF(H$12=0,0,H114/H$12)</f>
        <v>4.644752944574412E-3</v>
      </c>
      <c r="K114" s="3"/>
      <c r="L114" s="3">
        <f>+D114-H114</f>
        <v>20311.97</v>
      </c>
      <c r="M114" s="3"/>
      <c r="N114" s="26">
        <f>IF(H114=0,0,L114/H114)</f>
        <v>45.17385019126413</v>
      </c>
      <c r="O114" s="9"/>
      <c r="P114" s="3">
        <f>--228646.99</f>
        <v>228646.99</v>
      </c>
      <c r="Q114" s="3"/>
      <c r="R114" s="26">
        <f>IF(P$12=0,0,P114/P$12)</f>
        <v>1.7145397216733072E-2</v>
      </c>
      <c r="S114" s="3"/>
      <c r="T114" s="3">
        <f>--5799.56</f>
        <v>5799.56</v>
      </c>
      <c r="U114" s="3"/>
      <c r="V114" s="26">
        <f>IF(T$12=0,0,T114/T$12)</f>
        <v>3.6087884323980366E-3</v>
      </c>
      <c r="W114" s="3"/>
      <c r="X114" s="3">
        <f>+P114-T114</f>
        <v>222847.43</v>
      </c>
      <c r="Y114" s="3"/>
      <c r="Z114" s="26">
        <f>IF(T114=0,0,X114/T114)</f>
        <v>38.42488568098269</v>
      </c>
    </row>
    <row r="115" spans="1:26" s="69" customFormat="1" ht="15" hidden="1" customHeight="1" outlineLevel="1" x14ac:dyDescent="0.3">
      <c r="A115" s="47"/>
      <c r="B115" s="9" t="str">
        <f>CONCATENATE("          ","9160"," - ","MISC. INCOME")</f>
        <v xml:space="preserve">          9160 - MISC. INCOME</v>
      </c>
      <c r="C115" s="9"/>
      <c r="D115" s="3">
        <f>0</f>
        <v>0</v>
      </c>
      <c r="E115" s="3"/>
      <c r="F115" s="26">
        <f>IF(D$12=0,0,D115/D$12)</f>
        <v>0</v>
      </c>
      <c r="G115" s="3"/>
      <c r="H115" s="3">
        <f>0</f>
        <v>0</v>
      </c>
      <c r="I115" s="3"/>
      <c r="J115" s="26">
        <f>IF(H$12=0,0,H115/H$12)</f>
        <v>0</v>
      </c>
      <c r="K115" s="3"/>
      <c r="L115" s="3">
        <f>+D115-H115</f>
        <v>0</v>
      </c>
      <c r="M115" s="3"/>
      <c r="N115" s="26">
        <f>IF(H115=0,0,L115/H115)</f>
        <v>0</v>
      </c>
      <c r="O115" s="9"/>
      <c r="P115" s="3">
        <f>0</f>
        <v>0</v>
      </c>
      <c r="Q115" s="3"/>
      <c r="R115" s="26">
        <f>IF(P$12=0,0,P115/P$12)</f>
        <v>0</v>
      </c>
      <c r="S115" s="3"/>
      <c r="T115" s="3">
        <f>--13615.06</f>
        <v>13615.06</v>
      </c>
      <c r="U115" s="3"/>
      <c r="V115" s="26">
        <f>IF(T$12=0,0,T115/T$12)</f>
        <v>8.4719997783289092E-3</v>
      </c>
      <c r="W115" s="3"/>
      <c r="X115" s="3">
        <f>+P115-T115</f>
        <v>-13615.06</v>
      </c>
      <c r="Y115" s="3"/>
      <c r="Z115" s="26">
        <f>IF(T115=0,0,X115/T115)</f>
        <v>-1</v>
      </c>
    </row>
    <row r="116" spans="1:26" s="69" customFormat="1" ht="15" hidden="1" customHeight="1" outlineLevel="1" x14ac:dyDescent="0.3">
      <c r="A116" s="47"/>
      <c r="B116" s="9" t="str">
        <f>CONCATENATE("          ","9165"," - ","OTHER INCOME")</f>
        <v xml:space="preserve">          9165 - OTHER INCOME</v>
      </c>
      <c r="C116" s="9"/>
      <c r="D116" s="3">
        <f>0</f>
        <v>0</v>
      </c>
      <c r="E116" s="3"/>
      <c r="F116" s="26">
        <f>IF(D$12=0,0,D116/D$12)</f>
        <v>0</v>
      </c>
      <c r="G116" s="3"/>
      <c r="H116" s="3">
        <f>--576.86</f>
        <v>576.86</v>
      </c>
      <c r="I116" s="3"/>
      <c r="J116" s="26">
        <f>IF(H$12=0,0,H116/H$12)</f>
        <v>5.9589275500560347E-3</v>
      </c>
      <c r="K116" s="3"/>
      <c r="L116" s="3">
        <f>+D116-H116</f>
        <v>-576.86</v>
      </c>
      <c r="M116" s="3"/>
      <c r="N116" s="26">
        <f>IF(H116=0,0,L116/H116)</f>
        <v>-1</v>
      </c>
      <c r="O116" s="9"/>
      <c r="P116" s="3">
        <f>0</f>
        <v>0</v>
      </c>
      <c r="Q116" s="3"/>
      <c r="R116" s="26">
        <f>IF(P$12=0,0,P116/P$12)</f>
        <v>0</v>
      </c>
      <c r="S116" s="3"/>
      <c r="T116" s="3">
        <f>--4098.54</f>
        <v>4098.54</v>
      </c>
      <c r="U116" s="3"/>
      <c r="V116" s="26">
        <f>IF(T$12=0,0,T116/T$12)</f>
        <v>2.5503251525496157E-3</v>
      </c>
      <c r="W116" s="3"/>
      <c r="X116" s="3">
        <f>+P116-T116</f>
        <v>-4098.54</v>
      </c>
      <c r="Y116" s="3"/>
      <c r="Z116" s="26">
        <f>IF(T116=0,0,X116/T116)</f>
        <v>-1</v>
      </c>
    </row>
    <row r="117" spans="1:26" ht="15" customHeight="1" x14ac:dyDescent="0.3">
      <c r="A117" s="12"/>
      <c r="B117" s="13"/>
      <c r="C117" s="13"/>
      <c r="D117" s="4"/>
      <c r="E117" s="4"/>
      <c r="F117" s="10"/>
      <c r="G117" s="4"/>
      <c r="H117" s="4"/>
      <c r="I117" s="4"/>
      <c r="J117" s="10"/>
      <c r="K117" s="4"/>
      <c r="L117" s="4"/>
      <c r="M117" s="4"/>
      <c r="N117" s="10"/>
      <c r="O117" s="13"/>
      <c r="P117" s="4"/>
      <c r="Q117" s="4"/>
      <c r="R117" s="10"/>
      <c r="S117" s="4"/>
      <c r="T117" s="4"/>
      <c r="U117" s="4"/>
      <c r="V117" s="10"/>
      <c r="W117" s="4"/>
      <c r="X117" s="4"/>
      <c r="Y117" s="4"/>
      <c r="Z117" s="10"/>
    </row>
    <row r="118" spans="1:26" s="62" customFormat="1" ht="15" customHeight="1" x14ac:dyDescent="0.3">
      <c r="A118" s="13"/>
      <c r="B118" s="28" t="s">
        <v>291</v>
      </c>
      <c r="C118" s="28"/>
      <c r="D118" s="22">
        <f>+D27-D29+D113</f>
        <v>-244918.85000000009</v>
      </c>
      <c r="E118" s="15"/>
      <c r="F118" s="24">
        <f>IF(D$12=0,0,D118/D$12)</f>
        <v>-1.162175655048399</v>
      </c>
      <c r="G118" s="15"/>
      <c r="H118" s="22">
        <f>+H27-H29+H113</f>
        <v>-286214.14999999997</v>
      </c>
      <c r="I118" s="15"/>
      <c r="J118" s="24">
        <f>IF(H$12=0,0,H118/H$12)</f>
        <v>-2.956574183772267</v>
      </c>
      <c r="K118" s="17"/>
      <c r="L118" s="22">
        <f>+D118-H118</f>
        <v>41295.299999999872</v>
      </c>
      <c r="M118" s="17"/>
      <c r="N118" s="24">
        <f>IF(H118=0,0,L118/H118)</f>
        <v>-0.14428112656205111</v>
      </c>
      <c r="O118" s="27"/>
      <c r="P118" s="22">
        <f>+P27-P29+P113</f>
        <v>2479517.9500000011</v>
      </c>
      <c r="Q118" s="15"/>
      <c r="R118" s="24">
        <f>IF(P$12=0,0,P118/P$12)</f>
        <v>0.18592993574404681</v>
      </c>
      <c r="S118" s="15"/>
      <c r="T118" s="22">
        <f>+T27-T29+T113</f>
        <v>-2913834.1499999994</v>
      </c>
      <c r="U118" s="15"/>
      <c r="V118" s="24">
        <f>IF(T$12=0,0,T118/T$12)</f>
        <v>-1.8131394406552157</v>
      </c>
      <c r="W118" s="17"/>
      <c r="X118" s="22">
        <f>+P118-T118</f>
        <v>5393352.1000000006</v>
      </c>
      <c r="Y118" s="17"/>
      <c r="Z118" s="24">
        <f>IF(T118=0,0,X118/T118)</f>
        <v>-1.8509468358039531</v>
      </c>
    </row>
    <row r="119" spans="1:26" ht="15" customHeight="1" x14ac:dyDescent="0.3">
      <c r="A119" s="12"/>
      <c r="B119" s="13"/>
      <c r="C119" s="12"/>
      <c r="D119" s="4"/>
      <c r="E119" s="4"/>
      <c r="F119" s="10"/>
      <c r="G119" s="4"/>
      <c r="H119" s="4"/>
      <c r="I119" s="4"/>
      <c r="J119" s="10"/>
      <c r="K119" s="4"/>
      <c r="L119" s="4"/>
      <c r="M119" s="4"/>
      <c r="N119" s="10"/>
      <c r="P119" s="4"/>
      <c r="Q119" s="4"/>
      <c r="R119" s="10"/>
      <c r="S119" s="4"/>
      <c r="T119" s="4"/>
      <c r="U119" s="4"/>
      <c r="V119" s="10"/>
      <c r="W119" s="4"/>
      <c r="X119" s="4"/>
      <c r="Y119" s="4"/>
      <c r="Z119" s="10"/>
    </row>
    <row r="120" spans="1:26" s="62" customFormat="1" ht="15" customHeight="1" x14ac:dyDescent="0.3">
      <c r="A120" s="48"/>
      <c r="B120" s="13" t="s">
        <v>292</v>
      </c>
      <c r="C120" s="13"/>
      <c r="D120" s="8">
        <v>-3013048.78</v>
      </c>
      <c r="E120" s="8"/>
      <c r="F120" s="14">
        <f>IF(D$12=0,0,D120/D$12)</f>
        <v>-14.297355795967841</v>
      </c>
      <c r="G120" s="8"/>
      <c r="H120" s="8">
        <v>122099.01</v>
      </c>
      <c r="I120" s="8"/>
      <c r="J120" s="14">
        <f>IF(H$12=0,0,H120/H$12)</f>
        <v>1.2612751005851803</v>
      </c>
      <c r="K120" s="8"/>
      <c r="L120" s="8">
        <f>+D120-H120</f>
        <v>-3135147.7899999996</v>
      </c>
      <c r="M120" s="8"/>
      <c r="N120" s="14">
        <f>IF(H120=0,0,L120/H120)</f>
        <v>-25.677094269642314</v>
      </c>
      <c r="O120" s="13"/>
      <c r="P120" s="8">
        <v>-1537463.37</v>
      </c>
      <c r="Q120" s="8"/>
      <c r="R120" s="14">
        <f>IF(P$12=0,0,P120/P$12)</f>
        <v>-0.11528872601746058</v>
      </c>
      <c r="S120" s="8"/>
      <c r="T120" s="8">
        <v>444827.18</v>
      </c>
      <c r="U120" s="8"/>
      <c r="V120" s="14">
        <f>IF(T$12=0,0,T120/T$12)</f>
        <v>0.27679465021488514</v>
      </c>
      <c r="W120" s="8"/>
      <c r="X120" s="8">
        <f>+P120-T120</f>
        <v>-1982290.55</v>
      </c>
      <c r="Y120" s="8"/>
      <c r="Z120" s="14">
        <f>IF(T120=0,0,X120/T120)</f>
        <v>-4.4563161585584767</v>
      </c>
    </row>
    <row r="121" spans="1:26" ht="15" customHeight="1" x14ac:dyDescent="0.3">
      <c r="A121" s="12"/>
      <c r="B121" s="13"/>
      <c r="C121" s="13"/>
      <c r="D121" s="4"/>
      <c r="E121" s="4"/>
      <c r="F121" s="10"/>
      <c r="G121" s="4"/>
      <c r="H121" s="4"/>
      <c r="I121" s="4"/>
      <c r="J121" s="10"/>
      <c r="K121" s="4"/>
      <c r="L121" s="4"/>
      <c r="M121" s="4"/>
      <c r="N121" s="10"/>
      <c r="O121" s="13"/>
      <c r="P121" s="4"/>
      <c r="Q121" s="4"/>
      <c r="R121" s="10"/>
      <c r="S121" s="4"/>
      <c r="T121" s="4"/>
      <c r="U121" s="4"/>
      <c r="V121" s="10"/>
      <c r="W121" s="4"/>
      <c r="X121" s="4"/>
      <c r="Y121" s="4"/>
      <c r="Z121" s="10"/>
    </row>
    <row r="122" spans="1:26" s="62" customFormat="1" ht="15" customHeight="1" x14ac:dyDescent="0.3">
      <c r="A122" s="13"/>
      <c r="B122" s="28" t="s">
        <v>293</v>
      </c>
      <c r="C122" s="28"/>
      <c r="D122" s="29">
        <f>+D118-D120</f>
        <v>2768129.9299999997</v>
      </c>
      <c r="E122" s="15"/>
      <c r="F122" s="31">
        <f>IF(D$12=0,0,D122/D$12)</f>
        <v>13.135180140919442</v>
      </c>
      <c r="G122" s="15"/>
      <c r="H122" s="29">
        <f>+H118-H120</f>
        <v>-408313.16</v>
      </c>
      <c r="I122" s="15"/>
      <c r="J122" s="31">
        <f>IF(H$12=0,0,H122/H$12)</f>
        <v>-4.217849284357448</v>
      </c>
      <c r="K122" s="17"/>
      <c r="L122" s="29">
        <f>D122-H122</f>
        <v>3176443.09</v>
      </c>
      <c r="M122" s="17"/>
      <c r="N122" s="31">
        <f>IF(H122=0,0,L122/H122)</f>
        <v>-7.779428637568282</v>
      </c>
      <c r="O122" s="27"/>
      <c r="P122" s="29">
        <f>+P118-P120</f>
        <v>4016981.3200000012</v>
      </c>
      <c r="Q122" s="15"/>
      <c r="R122" s="31">
        <f>IF(P$12=0,0,P122/P$12)</f>
        <v>0.30121866176150741</v>
      </c>
      <c r="S122" s="15"/>
      <c r="T122" s="29">
        <f>+T118-T120</f>
        <v>-3358661.3299999996</v>
      </c>
      <c r="U122" s="15"/>
      <c r="V122" s="31">
        <f>IF(T$12=0,0,T122/T$12)</f>
        <v>-2.0899340908701012</v>
      </c>
      <c r="W122" s="17"/>
      <c r="X122" s="29">
        <f>P122-T122</f>
        <v>7375642.6500000004</v>
      </c>
      <c r="Y122" s="17"/>
      <c r="Z122" s="31">
        <f>IF(T122=0,0,X122/T122)</f>
        <v>-2.1960066601892252</v>
      </c>
    </row>
    <row r="123" spans="1:26" ht="15" customHeight="1" x14ac:dyDescent="0.3">
      <c r="A123" s="12"/>
      <c r="B123" s="12"/>
      <c r="C123" s="12"/>
      <c r="D123" s="4"/>
      <c r="E123" s="4"/>
      <c r="F123" s="10"/>
      <c r="G123" s="4"/>
      <c r="H123" s="4"/>
      <c r="I123" s="4"/>
      <c r="J123" s="10"/>
      <c r="K123" s="4"/>
      <c r="L123" s="4"/>
      <c r="M123" s="4"/>
      <c r="N123" s="10"/>
      <c r="P123" s="4"/>
      <c r="Q123" s="4"/>
      <c r="R123" s="10"/>
      <c r="S123" s="4"/>
      <c r="T123" s="4"/>
      <c r="U123" s="4"/>
      <c r="V123" s="10"/>
      <c r="W123" s="4"/>
      <c r="X123" s="4"/>
      <c r="Y123" s="4"/>
      <c r="Z123" s="10"/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s="62" customFormat="1" ht="15" customHeight="1" x14ac:dyDescent="0.3">
      <c r="A125" s="13"/>
      <c r="B125" s="28" t="s">
        <v>296</v>
      </c>
      <c r="C125" s="28"/>
      <c r="D125" s="30">
        <f>SUM(D122:D124)</f>
        <v>2768129.9299999997</v>
      </c>
      <c r="E125" s="15"/>
      <c r="F125" s="35">
        <f>IF(D$12=0,0,D125/D$12)</f>
        <v>13.135180140919442</v>
      </c>
      <c r="G125" s="15"/>
      <c r="H125" s="30">
        <f>SUM(H122:H124)</f>
        <v>-408313.16</v>
      </c>
      <c r="I125" s="15"/>
      <c r="J125" s="35">
        <f>IF(H$12=0,0,H125/H$12)</f>
        <v>-4.217849284357448</v>
      </c>
      <c r="K125" s="17"/>
      <c r="L125" s="30">
        <f>+D125-H125</f>
        <v>3176443.09</v>
      </c>
      <c r="M125" s="17"/>
      <c r="N125" s="35">
        <f>IF(H125=0,0,L125/H125)</f>
        <v>-7.779428637568282</v>
      </c>
      <c r="O125" s="27"/>
      <c r="P125" s="30">
        <f>SUM(P122:P124)</f>
        <v>4016981.3200000012</v>
      </c>
      <c r="Q125" s="15"/>
      <c r="R125" s="35">
        <f>IF(P$12=0,0,P125/P$12)</f>
        <v>0.30121866176150741</v>
      </c>
      <c r="S125" s="15"/>
      <c r="T125" s="30">
        <f>SUM(T122:T124)</f>
        <v>-3358661.3299999996</v>
      </c>
      <c r="U125" s="15"/>
      <c r="V125" s="35">
        <f>IF(T$12=0,0,T125/T$12)</f>
        <v>-2.0899340908701012</v>
      </c>
      <c r="W125" s="17"/>
      <c r="X125" s="30">
        <f>+P125-T125</f>
        <v>7375642.6500000004</v>
      </c>
      <c r="Y125" s="17"/>
      <c r="Z125" s="35">
        <f>IF(T125=0,0,X125/T125)</f>
        <v>-2.1960066601892252</v>
      </c>
    </row>
    <row r="126" spans="1:26" ht="15" customHeight="1" x14ac:dyDescent="0.3">
      <c r="A126" s="12"/>
      <c r="C126" s="12"/>
      <c r="D126" s="19"/>
      <c r="E126" s="19"/>
      <c r="G126" s="19"/>
      <c r="H126" s="19"/>
      <c r="I126" s="19"/>
      <c r="J126" s="41"/>
      <c r="K126" s="19"/>
      <c r="L126" s="19"/>
      <c r="M126" s="19"/>
      <c r="P126" s="19"/>
      <c r="Q126" s="19"/>
      <c r="R126" s="41"/>
      <c r="S126" s="19"/>
      <c r="T126" s="19"/>
      <c r="U126" s="19"/>
      <c r="V126" s="41"/>
      <c r="W126" s="19"/>
      <c r="X126" s="19"/>
    </row>
    <row r="127" spans="1:26" ht="15" customHeight="1" x14ac:dyDescent="0.3">
      <c r="A127" s="12"/>
      <c r="B127" s="54">
        <v>44767.815877395835</v>
      </c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3" t="s">
        <v>297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1"/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170F2-AC19-BCDE-50D5-F84D91DB699B}">
  <sheetPr>
    <tabColor theme="5" tint="0.39997558519241921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66185.75</v>
      </c>
      <c r="E12" s="8"/>
      <c r="F12" s="14"/>
      <c r="G12" s="8"/>
      <c r="H12" s="8">
        <f>SUM(OSRRefH13x_0)</f>
        <v>66728.66</v>
      </c>
      <c r="I12" s="8"/>
      <c r="J12" s="14"/>
      <c r="K12" s="8"/>
      <c r="L12" s="8">
        <f t="shared" ref="L12:L26" si="0">+D12-H12</f>
        <v>-542.91000000000349</v>
      </c>
      <c r="M12" s="8"/>
      <c r="N12" s="14">
        <f t="shared" ref="N12:N26" si="1">IF(H12=0,0,L12/H12)</f>
        <v>-8.1360842552510946E-3</v>
      </c>
      <c r="O12" s="13"/>
      <c r="P12" s="8">
        <f>SUM(OSRRefP13x_0)</f>
        <v>2073630.28</v>
      </c>
      <c r="Q12" s="8"/>
      <c r="R12" s="14"/>
      <c r="S12" s="8"/>
      <c r="T12" s="8">
        <f>SUM(OSRRefT13x_0)</f>
        <v>587980.64</v>
      </c>
      <c r="U12" s="8"/>
      <c r="V12" s="14"/>
      <c r="W12" s="8"/>
      <c r="X12" s="8">
        <f t="shared" ref="X12:X26" si="2">+P12-T12</f>
        <v>1485649.6400000001</v>
      </c>
      <c r="Y12" s="8"/>
      <c r="Z12" s="14">
        <f t="shared" ref="Z12:Z26" si="3">IF(T12=0,0,X12/T12)</f>
        <v>2.5266982259824067</v>
      </c>
    </row>
    <row r="13" spans="1:26" s="69" customFormat="1" ht="15" hidden="1" customHeight="1" outlineLevel="1" x14ac:dyDescent="0.3">
      <c r="A13" s="47"/>
      <c r="B13" s="9" t="str">
        <f>CONCATENATE("          ","4000"," - ","TAXABLE SALES")</f>
        <v xml:space="preserve">          4000 - TAXABLE SALES</v>
      </c>
      <c r="C13" s="9"/>
      <c r="D13" s="3">
        <f>--2209.28</f>
        <v>2209.2800000000002</v>
      </c>
      <c r="E13" s="3"/>
      <c r="F13" s="26"/>
      <c r="G13" s="3"/>
      <c r="H13" s="3">
        <f>0</f>
        <v>0</v>
      </c>
      <c r="I13" s="3"/>
      <c r="J13" s="26"/>
      <c r="K13" s="3"/>
      <c r="L13" s="3">
        <f t="shared" si="0"/>
        <v>2209.2800000000002</v>
      </c>
      <c r="M13" s="3"/>
      <c r="N13" s="26">
        <f t="shared" si="1"/>
        <v>0</v>
      </c>
      <c r="O13" s="9"/>
      <c r="P13" s="3">
        <f>--77941.32</f>
        <v>77941.320000000007</v>
      </c>
      <c r="Q13" s="3"/>
      <c r="R13" s="26"/>
      <c r="S13" s="3"/>
      <c r="T13" s="3">
        <f>0</f>
        <v>0</v>
      </c>
      <c r="U13" s="3"/>
      <c r="V13" s="26"/>
      <c r="W13" s="3"/>
      <c r="X13" s="3">
        <f t="shared" si="2"/>
        <v>77941.320000000007</v>
      </c>
      <c r="Y13" s="3"/>
      <c r="Z13" s="26">
        <f t="shared" si="3"/>
        <v>0</v>
      </c>
    </row>
    <row r="14" spans="1:26" s="69" customFormat="1" ht="15" hidden="1" customHeight="1" outlineLevel="1" x14ac:dyDescent="0.3">
      <c r="A14" s="47"/>
      <c r="B14" s="9" t="str">
        <f>CONCATENATE("          ","4032"," - ","TAXABLE SALES-JUICE")</f>
        <v xml:space="preserve">          4032 - TAXABLE SALES-JUICE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0</f>
        <v>0</v>
      </c>
      <c r="Q14" s="3"/>
      <c r="R14" s="26"/>
      <c r="S14" s="3"/>
      <c r="T14" s="3">
        <f>--444.59</f>
        <v>444.59</v>
      </c>
      <c r="U14" s="3"/>
      <c r="V14" s="26"/>
      <c r="W14" s="3"/>
      <c r="X14" s="3">
        <f t="shared" si="2"/>
        <v>-444.59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","4034"," - ","TAXABLE SALES-SODA")</f>
        <v xml:space="preserve">          4034 - TAXABLE SALES-SODA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>
        <f>0</f>
        <v>0</v>
      </c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69" customFormat="1" ht="15" hidden="1" customHeight="1" outlineLevel="1" x14ac:dyDescent="0.3">
      <c r="A16" s="47"/>
      <c r="B16" s="9" t="str">
        <f>CONCATENATE("          ","4051"," - ","TAXABLE SALES-FOOD")</f>
        <v xml:space="preserve">          4051 - TAXABLE SALES-FOOD</v>
      </c>
      <c r="C16" s="9"/>
      <c r="D16" s="3">
        <f>--14372.1</f>
        <v>14372.1</v>
      </c>
      <c r="E16" s="3"/>
      <c r="F16" s="26"/>
      <c r="G16" s="3"/>
      <c r="H16" s="3">
        <f>--9799.52</f>
        <v>9799.52</v>
      </c>
      <c r="I16" s="3"/>
      <c r="J16" s="26"/>
      <c r="K16" s="3"/>
      <c r="L16" s="3">
        <f t="shared" si="0"/>
        <v>4572.58</v>
      </c>
      <c r="M16" s="3"/>
      <c r="N16" s="26">
        <f t="shared" si="1"/>
        <v>0.46661265041553052</v>
      </c>
      <c r="O16" s="9"/>
      <c r="P16" s="3">
        <f>--360408.55</f>
        <v>360408.55</v>
      </c>
      <c r="Q16" s="3"/>
      <c r="R16" s="26"/>
      <c r="S16" s="3"/>
      <c r="T16" s="3">
        <f>--49082.44</f>
        <v>49082.44</v>
      </c>
      <c r="U16" s="3"/>
      <c r="V16" s="26"/>
      <c r="W16" s="3"/>
      <c r="X16" s="3">
        <f t="shared" si="2"/>
        <v>311326.11</v>
      </c>
      <c r="Y16" s="3"/>
      <c r="Z16" s="26">
        <f t="shared" si="3"/>
        <v>6.3429224382487908</v>
      </c>
    </row>
    <row r="17" spans="1:26" s="69" customFormat="1" ht="15" hidden="1" customHeight="1" outlineLevel="1" x14ac:dyDescent="0.3">
      <c r="A17" s="47"/>
      <c r="B17" s="9" t="str">
        <f>CONCATENATE("          ","4052"," - ","TAXABLE SALES-FOOD")</f>
        <v xml:space="preserve">          4052 - TAXABLE SALES-FOOD</v>
      </c>
      <c r="C17" s="9"/>
      <c r="D17" s="3">
        <f>0</f>
        <v>0</v>
      </c>
      <c r="E17" s="3"/>
      <c r="F17" s="26"/>
      <c r="G17" s="3"/>
      <c r="H17" s="3">
        <f>--61213.59</f>
        <v>61213.59</v>
      </c>
      <c r="I17" s="3"/>
      <c r="J17" s="26"/>
      <c r="K17" s="3"/>
      <c r="L17" s="3">
        <f t="shared" si="0"/>
        <v>-61213.59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f>--489866.6</f>
        <v>489866.6</v>
      </c>
      <c r="U17" s="3"/>
      <c r="V17" s="26"/>
      <c r="W17" s="3"/>
      <c r="X17" s="3">
        <f t="shared" si="2"/>
        <v>-489866.6</v>
      </c>
      <c r="Y17" s="3"/>
      <c r="Z17" s="26">
        <f t="shared" si="3"/>
        <v>-1</v>
      </c>
    </row>
    <row r="18" spans="1:26" s="69" customFormat="1" ht="15" hidden="1" customHeight="1" outlineLevel="1" x14ac:dyDescent="0.3">
      <c r="A18" s="47"/>
      <c r="B18" s="9" t="str">
        <f>CONCATENATE("          ","4053"," - ","TAXABLE SALES-FOOD")</f>
        <v xml:space="preserve">          4053 - TAXABLE SALES-FOOD</v>
      </c>
      <c r="C18" s="9"/>
      <c r="D18" s="3">
        <f>--10447.15</f>
        <v>10447.15</v>
      </c>
      <c r="E18" s="3"/>
      <c r="F18" s="26"/>
      <c r="G18" s="3"/>
      <c r="H18" s="3">
        <f>0</f>
        <v>0</v>
      </c>
      <c r="I18" s="3"/>
      <c r="J18" s="26"/>
      <c r="K18" s="3"/>
      <c r="L18" s="3">
        <f t="shared" si="0"/>
        <v>10447.15</v>
      </c>
      <c r="M18" s="3"/>
      <c r="N18" s="26">
        <f t="shared" si="1"/>
        <v>0</v>
      </c>
      <c r="O18" s="9"/>
      <c r="P18" s="3">
        <f>--37019.46</f>
        <v>37019.46</v>
      </c>
      <c r="Q18" s="3"/>
      <c r="R18" s="26"/>
      <c r="S18" s="3"/>
      <c r="T18" s="3">
        <f>0</f>
        <v>0</v>
      </c>
      <c r="U18" s="3"/>
      <c r="V18" s="26"/>
      <c r="W18" s="3"/>
      <c r="X18" s="3">
        <f t="shared" si="2"/>
        <v>37019.46</v>
      </c>
      <c r="Y18" s="3"/>
      <c r="Z18" s="26">
        <f t="shared" si="3"/>
        <v>0</v>
      </c>
    </row>
    <row r="19" spans="1:26" s="69" customFormat="1" ht="15" hidden="1" customHeight="1" outlineLevel="1" x14ac:dyDescent="0.3">
      <c r="A19" s="47"/>
      <c r="B19" s="9" t="str">
        <f>CONCATENATE("          ","4058"," - ","TAXABLE SALES-FOOD")</f>
        <v xml:space="preserve">          4058 - TAXABLE SALES-FOOD</v>
      </c>
      <c r="C19" s="9"/>
      <c r="D19" s="3">
        <f>0</f>
        <v>0</v>
      </c>
      <c r="E19" s="3"/>
      <c r="F19" s="26"/>
      <c r="G19" s="3"/>
      <c r="H19" s="3">
        <f>0</f>
        <v>0</v>
      </c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>
        <f>--974.91</f>
        <v>974.91</v>
      </c>
      <c r="U19" s="3"/>
      <c r="V19" s="26"/>
      <c r="W19" s="3"/>
      <c r="X19" s="3">
        <f t="shared" si="2"/>
        <v>-974.91</v>
      </c>
      <c r="Y19" s="3"/>
      <c r="Z19" s="26">
        <f t="shared" si="3"/>
        <v>-1</v>
      </c>
    </row>
    <row r="20" spans="1:26" s="69" customFormat="1" ht="15" hidden="1" customHeight="1" outlineLevel="1" x14ac:dyDescent="0.3">
      <c r="A20" s="47"/>
      <c r="B20" s="9" t="str">
        <f>CONCATENATE("          ","4100"," - ","NON-TAXABLE SALES")</f>
        <v xml:space="preserve">          4100 - NON-TAXABLE SALES</v>
      </c>
      <c r="C20" s="9"/>
      <c r="D20" s="3">
        <f>--13309.38</f>
        <v>13309.38</v>
      </c>
      <c r="E20" s="3"/>
      <c r="F20" s="26"/>
      <c r="G20" s="3"/>
      <c r="H20" s="3">
        <f>0</f>
        <v>0</v>
      </c>
      <c r="I20" s="3"/>
      <c r="J20" s="26"/>
      <c r="K20" s="3"/>
      <c r="L20" s="3">
        <f t="shared" si="0"/>
        <v>13309.38</v>
      </c>
      <c r="M20" s="3"/>
      <c r="N20" s="26">
        <f t="shared" si="1"/>
        <v>0</v>
      </c>
      <c r="O20" s="9"/>
      <c r="P20" s="3">
        <f>--433482.7</f>
        <v>433482.7</v>
      </c>
      <c r="Q20" s="3"/>
      <c r="R20" s="26"/>
      <c r="S20" s="3"/>
      <c r="T20" s="3">
        <f>0</f>
        <v>0</v>
      </c>
      <c r="U20" s="3"/>
      <c r="V20" s="26"/>
      <c r="W20" s="3"/>
      <c r="X20" s="3">
        <f t="shared" si="2"/>
        <v>433482.7</v>
      </c>
      <c r="Y20" s="3"/>
      <c r="Z20" s="26">
        <f t="shared" si="3"/>
        <v>0</v>
      </c>
    </row>
    <row r="21" spans="1:26" s="69" customFormat="1" ht="15" hidden="1" customHeight="1" outlineLevel="1" x14ac:dyDescent="0.3">
      <c r="A21" s="47"/>
      <c r="B21" s="9" t="str">
        <f>CONCATENATE("          ","4132"," - ","NON-TAXABLE SALES-JUICE")</f>
        <v xml:space="preserve">          4132 - NON-TAXABLE SALES-JUICE</v>
      </c>
      <c r="C21" s="9"/>
      <c r="D21" s="3">
        <f>0</f>
        <v>0</v>
      </c>
      <c r="E21" s="3"/>
      <c r="F21" s="26"/>
      <c r="G21" s="3"/>
      <c r="H21" s="3">
        <f>0</f>
        <v>0</v>
      </c>
      <c r="I21" s="3"/>
      <c r="J21" s="26"/>
      <c r="K21" s="3"/>
      <c r="L21" s="3">
        <f t="shared" si="0"/>
        <v>0</v>
      </c>
      <c r="M21" s="3"/>
      <c r="N21" s="26">
        <f t="shared" si="1"/>
        <v>0</v>
      </c>
      <c r="O21" s="9"/>
      <c r="P21" s="3">
        <f>0</f>
        <v>0</v>
      </c>
      <c r="Q21" s="3"/>
      <c r="R21" s="26"/>
      <c r="S21" s="3"/>
      <c r="T21" s="3">
        <f>--2031.88</f>
        <v>2031.88</v>
      </c>
      <c r="U21" s="3"/>
      <c r="V21" s="26"/>
      <c r="W21" s="3"/>
      <c r="X21" s="3">
        <f t="shared" si="2"/>
        <v>-2031.88</v>
      </c>
      <c r="Y21" s="3"/>
      <c r="Z21" s="26">
        <f t="shared" si="3"/>
        <v>-1</v>
      </c>
    </row>
    <row r="22" spans="1:26" s="69" customFormat="1" ht="15" hidden="1" customHeight="1" outlineLevel="1" x14ac:dyDescent="0.3">
      <c r="A22" s="47"/>
      <c r="B22" s="9" t="str">
        <f>CONCATENATE("          ","4134"," - ","NON-TAXABLE SALES-SODA")</f>
        <v xml:space="preserve">          4134 - NON-TAXABLE SALES-SODA</v>
      </c>
      <c r="C22" s="9"/>
      <c r="D22" s="3">
        <f>0</f>
        <v>0</v>
      </c>
      <c r="E22" s="3"/>
      <c r="F22" s="26"/>
      <c r="G22" s="3"/>
      <c r="H22" s="3">
        <f>0</f>
        <v>0</v>
      </c>
      <c r="I22" s="3"/>
      <c r="J22" s="26"/>
      <c r="K22" s="3"/>
      <c r="L22" s="3">
        <f t="shared" si="0"/>
        <v>0</v>
      </c>
      <c r="M22" s="3"/>
      <c r="N22" s="26">
        <f t="shared" si="1"/>
        <v>0</v>
      </c>
      <c r="O22" s="9"/>
      <c r="P22" s="3">
        <f>0</f>
        <v>0</v>
      </c>
      <c r="Q22" s="3"/>
      <c r="R22" s="26"/>
      <c r="S22" s="3"/>
      <c r="T22" s="3">
        <f>0</f>
        <v>0</v>
      </c>
      <c r="U22" s="3"/>
      <c r="V22" s="26"/>
      <c r="W22" s="3"/>
      <c r="X22" s="3">
        <f t="shared" si="2"/>
        <v>0</v>
      </c>
      <c r="Y22" s="3"/>
      <c r="Z22" s="26">
        <f t="shared" si="3"/>
        <v>0</v>
      </c>
    </row>
    <row r="23" spans="1:26" s="69" customFormat="1" ht="15" hidden="1" customHeight="1" outlineLevel="1" x14ac:dyDescent="0.3">
      <c r="A23" s="47"/>
      <c r="B23" s="9" t="str">
        <f>CONCATENATE("          ","4137"," - ","NON-TAXABLE SALES-WATER")</f>
        <v xml:space="preserve">          4137 - NON-TAXABLE SALES-WATER</v>
      </c>
      <c r="C23" s="9"/>
      <c r="D23" s="3">
        <f>0</f>
        <v>0</v>
      </c>
      <c r="E23" s="3"/>
      <c r="F23" s="26"/>
      <c r="G23" s="3"/>
      <c r="H23" s="3">
        <f>0</f>
        <v>0</v>
      </c>
      <c r="I23" s="3"/>
      <c r="J23" s="26"/>
      <c r="K23" s="3"/>
      <c r="L23" s="3">
        <f t="shared" si="0"/>
        <v>0</v>
      </c>
      <c r="M23" s="3"/>
      <c r="N23" s="26">
        <f t="shared" si="1"/>
        <v>0</v>
      </c>
      <c r="O23" s="9"/>
      <c r="P23" s="3">
        <f>0</f>
        <v>0</v>
      </c>
      <c r="Q23" s="3"/>
      <c r="R23" s="26"/>
      <c r="S23" s="3"/>
      <c r="T23" s="3">
        <f>0</f>
        <v>0</v>
      </c>
      <c r="U23" s="3"/>
      <c r="V23" s="26"/>
      <c r="W23" s="3"/>
      <c r="X23" s="3">
        <f t="shared" si="2"/>
        <v>0</v>
      </c>
      <c r="Y23" s="3"/>
      <c r="Z23" s="26">
        <f t="shared" si="3"/>
        <v>0</v>
      </c>
    </row>
    <row r="24" spans="1:26" s="69" customFormat="1" ht="15" hidden="1" customHeight="1" outlineLevel="1" x14ac:dyDescent="0.3">
      <c r="A24" s="47"/>
      <c r="B24" s="9" t="str">
        <f>CONCATENATE("          ","4151"," - ","NON-TAXABLE SALES-FOOD")</f>
        <v xml:space="preserve">          4151 - NON-TAXABLE SALES-FOOD</v>
      </c>
      <c r="C24" s="9"/>
      <c r="D24" s="3">
        <f>--25847.84</f>
        <v>25847.84</v>
      </c>
      <c r="E24" s="3"/>
      <c r="F24" s="26"/>
      <c r="G24" s="3"/>
      <c r="H24" s="3">
        <f>--7262.45</f>
        <v>7262.45</v>
      </c>
      <c r="I24" s="3"/>
      <c r="J24" s="26"/>
      <c r="K24" s="3"/>
      <c r="L24" s="3">
        <f t="shared" si="0"/>
        <v>18585.39</v>
      </c>
      <c r="M24" s="3"/>
      <c r="N24" s="26">
        <f t="shared" si="1"/>
        <v>2.5591074637346902</v>
      </c>
      <c r="O24" s="9"/>
      <c r="P24" s="3">
        <f>--1164778.25</f>
        <v>1164778.25</v>
      </c>
      <c r="Q24" s="3"/>
      <c r="R24" s="26"/>
      <c r="S24" s="3"/>
      <c r="T24" s="3">
        <f>--45145.72</f>
        <v>45145.72</v>
      </c>
      <c r="U24" s="3"/>
      <c r="V24" s="26"/>
      <c r="W24" s="3"/>
      <c r="X24" s="3">
        <f t="shared" si="2"/>
        <v>1119632.53</v>
      </c>
      <c r="Y24" s="3"/>
      <c r="Z24" s="26">
        <f t="shared" si="3"/>
        <v>24.800413638324962</v>
      </c>
    </row>
    <row r="25" spans="1:26" s="69" customFormat="1" ht="15" hidden="1" customHeight="1" outlineLevel="1" x14ac:dyDescent="0.3">
      <c r="A25" s="47"/>
      <c r="B25" s="9" t="str">
        <f>CONCATENATE("          ","4152"," - ","NON-TAXABLE SALES-FOOD")</f>
        <v xml:space="preserve">          4152 - NON-TAXABLE SALES-FOOD</v>
      </c>
      <c r="C25" s="9"/>
      <c r="D25" s="3">
        <f>0</f>
        <v>0</v>
      </c>
      <c r="E25" s="3"/>
      <c r="F25" s="26"/>
      <c r="G25" s="3"/>
      <c r="H25" s="3">
        <f>-11580.95</f>
        <v>-11580.95</v>
      </c>
      <c r="I25" s="3"/>
      <c r="J25" s="26"/>
      <c r="K25" s="3"/>
      <c r="L25" s="3">
        <f t="shared" si="0"/>
        <v>11580.95</v>
      </c>
      <c r="M25" s="3"/>
      <c r="N25" s="26">
        <f t="shared" si="1"/>
        <v>-1</v>
      </c>
      <c r="O25" s="9"/>
      <c r="P25" s="3">
        <f>0</f>
        <v>0</v>
      </c>
      <c r="Q25" s="3"/>
      <c r="R25" s="26"/>
      <c r="S25" s="3"/>
      <c r="T25" s="3">
        <f>0</f>
        <v>0</v>
      </c>
      <c r="U25" s="3"/>
      <c r="V25" s="26"/>
      <c r="W25" s="3"/>
      <c r="X25" s="3">
        <f t="shared" si="2"/>
        <v>0</v>
      </c>
      <c r="Y25" s="3"/>
      <c r="Z25" s="26">
        <f t="shared" si="3"/>
        <v>0</v>
      </c>
    </row>
    <row r="26" spans="1:26" s="69" customFormat="1" ht="15" hidden="1" customHeight="1" outlineLevel="1" x14ac:dyDescent="0.3">
      <c r="A26" s="47"/>
      <c r="B26" s="9" t="str">
        <f>CONCATENATE("          ","4153"," - ","NON-TAXABLE SALES-FOOD")</f>
        <v xml:space="preserve">          4153 - NON-TAXABLE SALES-FOOD</v>
      </c>
      <c r="C26" s="9"/>
      <c r="D26" s="3">
        <f>0</f>
        <v>0</v>
      </c>
      <c r="E26" s="3"/>
      <c r="F26" s="26"/>
      <c r="G26" s="3"/>
      <c r="H26" s="3">
        <f>--34.05</f>
        <v>34.049999999999997</v>
      </c>
      <c r="I26" s="3"/>
      <c r="J26" s="26"/>
      <c r="K26" s="3"/>
      <c r="L26" s="3">
        <f t="shared" si="0"/>
        <v>-34.049999999999997</v>
      </c>
      <c r="M26" s="3"/>
      <c r="N26" s="26">
        <f t="shared" si="1"/>
        <v>-1</v>
      </c>
      <c r="O26" s="9"/>
      <c r="P26" s="3">
        <f>0</f>
        <v>0</v>
      </c>
      <c r="Q26" s="3"/>
      <c r="R26" s="26"/>
      <c r="S26" s="3"/>
      <c r="T26" s="3">
        <f>--434.5</f>
        <v>434.5</v>
      </c>
      <c r="U26" s="3"/>
      <c r="V26" s="26"/>
      <c r="W26" s="3"/>
      <c r="X26" s="3">
        <f t="shared" si="2"/>
        <v>-434.5</v>
      </c>
      <c r="Y26" s="3"/>
      <c r="Z26" s="26">
        <f t="shared" si="3"/>
        <v>-1</v>
      </c>
    </row>
    <row r="27" spans="1:26" ht="15" customHeight="1" x14ac:dyDescent="0.3">
      <c r="A27" s="12"/>
      <c r="B27" s="13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2" customFormat="1" ht="15" customHeight="1" collapsed="1" x14ac:dyDescent="0.3">
      <c r="A28" s="13"/>
      <c r="B28" s="27" t="s">
        <v>287</v>
      </c>
      <c r="C28" s="13"/>
      <c r="D28" s="8">
        <f>SUM(OSRRefD16x_0)</f>
        <v>57182.49</v>
      </c>
      <c r="E28" s="8"/>
      <c r="F28" s="14">
        <f>IF(D$12=0,0,D28/D$12)</f>
        <v>0.86396981223299574</v>
      </c>
      <c r="G28" s="8"/>
      <c r="H28" s="8">
        <f>SUM(OSRRefH16x_0)</f>
        <v>9371.2000000000007</v>
      </c>
      <c r="I28" s="8"/>
      <c r="J28" s="14">
        <f>IF(H$12=0,0,H28/H$12)</f>
        <v>0.1404374072549936</v>
      </c>
      <c r="K28" s="8"/>
      <c r="L28" s="8">
        <f>+D28-H28</f>
        <v>47811.289999999994</v>
      </c>
      <c r="M28" s="8"/>
      <c r="N28" s="14">
        <f>IF(H28=0,0,L28/H28)</f>
        <v>5.101938919241932</v>
      </c>
      <c r="O28" s="13"/>
      <c r="P28" s="8">
        <f>SUM(OSRRefP16x_0)</f>
        <v>872982.52</v>
      </c>
      <c r="Q28" s="8"/>
      <c r="R28" s="14">
        <f>IF(P$12=0,0,P28/P$12)</f>
        <v>0.42099236706747933</v>
      </c>
      <c r="S28" s="8"/>
      <c r="T28" s="8">
        <f>SUM(OSRRefT16x_0)</f>
        <v>55525.479999999996</v>
      </c>
      <c r="U28" s="8"/>
      <c r="V28" s="14">
        <f>IF(T$12=0,0,T28/T$12)</f>
        <v>9.4434197697393571E-2</v>
      </c>
      <c r="W28" s="8"/>
      <c r="X28" s="8">
        <f>+P28-T28</f>
        <v>817457.04</v>
      </c>
      <c r="Y28" s="8"/>
      <c r="Z28" s="14">
        <f>IF(T28=0,0,X28/T28)</f>
        <v>14.722196728420899</v>
      </c>
    </row>
    <row r="29" spans="1:26" s="69" customFormat="1" ht="15" hidden="1" customHeight="1" outlineLevel="1" x14ac:dyDescent="0.3">
      <c r="A29" s="47"/>
      <c r="B29" s="9" t="str">
        <f>CONCATENATE("          ","5000"," - ","PURCHASES @ COST")</f>
        <v xml:space="preserve">          5000 - PURCHASES @ COST</v>
      </c>
      <c r="C29" s="9"/>
      <c r="D29" s="3"/>
      <c r="E29" s="3"/>
      <c r="F29" s="26">
        <f>IF(D$12=0,0,D29/D$12)</f>
        <v>0</v>
      </c>
      <c r="G29" s="3"/>
      <c r="H29" s="3"/>
      <c r="I29" s="3"/>
      <c r="J29" s="26">
        <f>IF(H$12=0,0,H29/H$12)</f>
        <v>0</v>
      </c>
      <c r="K29" s="3"/>
      <c r="L29" s="3">
        <f>+D29-H29</f>
        <v>0</v>
      </c>
      <c r="M29" s="3"/>
      <c r="N29" s="26">
        <f>IF(H29=0,0,L29/H29)</f>
        <v>0</v>
      </c>
      <c r="O29" s="9"/>
      <c r="P29" s="3">
        <v>-8062</v>
      </c>
      <c r="Q29" s="3"/>
      <c r="R29" s="26">
        <f>IF(P$12=0,0,P29/P$12)</f>
        <v>-3.8878676096492956E-3</v>
      </c>
      <c r="S29" s="3"/>
      <c r="T29" s="3"/>
      <c r="U29" s="3"/>
      <c r="V29" s="26">
        <f>IF(T$12=0,0,T29/T$12)</f>
        <v>0</v>
      </c>
      <c r="W29" s="3"/>
      <c r="X29" s="3">
        <f>+P29-T29</f>
        <v>-8062</v>
      </c>
      <c r="Y29" s="3"/>
      <c r="Z29" s="26">
        <f>IF(T29=0,0,X29/T29)</f>
        <v>0</v>
      </c>
    </row>
    <row r="30" spans="1:26" s="69" customFormat="1" ht="15" hidden="1" customHeight="1" outlineLevel="1" x14ac:dyDescent="0.3">
      <c r="A30" s="47"/>
      <c r="B30" s="9" t="str">
        <f>CONCATENATE("          ","5053"," - ","PURCHASES @ COST-FOOD")</f>
        <v xml:space="preserve">          5053 - PURCHASES @ COST-FOOD</v>
      </c>
      <c r="C30" s="9"/>
      <c r="D30" s="3">
        <v>19198.650000000001</v>
      </c>
      <c r="E30" s="3"/>
      <c r="F30" s="26">
        <f>IF(D$12=0,0,D30/D$12)</f>
        <v>0.29007225875660547</v>
      </c>
      <c r="G30" s="3"/>
      <c r="H30" s="3">
        <v>7018.2</v>
      </c>
      <c r="I30" s="3"/>
      <c r="J30" s="26">
        <f>IF(H$12=0,0,H30/H$12)</f>
        <v>0.10517519758376685</v>
      </c>
      <c r="K30" s="3"/>
      <c r="L30" s="3">
        <f>+D30-H30</f>
        <v>12180.45</v>
      </c>
      <c r="M30" s="3"/>
      <c r="N30" s="26">
        <f>IF(H30=0,0,L30/H30)</f>
        <v>1.7355518509019408</v>
      </c>
      <c r="O30" s="9"/>
      <c r="P30" s="3">
        <v>569991.53</v>
      </c>
      <c r="Q30" s="3"/>
      <c r="R30" s="26">
        <f>IF(P$12=0,0,P30/P$12)</f>
        <v>0.27487616066254589</v>
      </c>
      <c r="S30" s="3"/>
      <c r="T30" s="3">
        <v>16646.48</v>
      </c>
      <c r="U30" s="3"/>
      <c r="V30" s="26">
        <f>IF(T$12=0,0,T30/T$12)</f>
        <v>2.8311272289509394E-2</v>
      </c>
      <c r="W30" s="3"/>
      <c r="X30" s="3">
        <f>+P30-T30</f>
        <v>553345.05000000005</v>
      </c>
      <c r="Y30" s="3"/>
      <c r="Z30" s="26">
        <f>IF(T30=0,0,X30/T30)</f>
        <v>33.240964456149293</v>
      </c>
    </row>
    <row r="31" spans="1:26" s="69" customFormat="1" ht="15" hidden="1" customHeight="1" outlineLevel="1" x14ac:dyDescent="0.3">
      <c r="A31" s="47"/>
      <c r="B31" s="9" t="str">
        <f>CONCATENATE("          ","5059"," - ","PURCHASES @ COST-FOOD")</f>
        <v xml:space="preserve">          5059 - PURCHASES @ COST-FOOD</v>
      </c>
      <c r="C31" s="9"/>
      <c r="D31" s="3">
        <v>37983.839999999997</v>
      </c>
      <c r="E31" s="3"/>
      <c r="F31" s="26">
        <f>IF(D$12=0,0,D31/D$12)</f>
        <v>0.57389755347639027</v>
      </c>
      <c r="G31" s="3"/>
      <c r="H31" s="3">
        <v>2353</v>
      </c>
      <c r="I31" s="3"/>
      <c r="J31" s="26">
        <f>IF(H$12=0,0,H31/H$12)</f>
        <v>3.5262209671226723E-2</v>
      </c>
      <c r="K31" s="3"/>
      <c r="L31" s="3">
        <f>+D31-H31</f>
        <v>35630.839999999997</v>
      </c>
      <c r="M31" s="3"/>
      <c r="N31" s="26">
        <f>IF(H31=0,0,L31/H31)</f>
        <v>15.142728431789203</v>
      </c>
      <c r="O31" s="9"/>
      <c r="P31" s="3">
        <v>311052.99</v>
      </c>
      <c r="Q31" s="3"/>
      <c r="R31" s="26">
        <f>IF(P$12=0,0,P31/P$12)</f>
        <v>0.15000407401458277</v>
      </c>
      <c r="S31" s="3"/>
      <c r="T31" s="3">
        <v>38879</v>
      </c>
      <c r="U31" s="3"/>
      <c r="V31" s="26">
        <f>IF(T$12=0,0,T31/T$12)</f>
        <v>6.612292540788417E-2</v>
      </c>
      <c r="W31" s="3"/>
      <c r="X31" s="3">
        <f>+P31-T31</f>
        <v>272173.99</v>
      </c>
      <c r="Y31" s="3"/>
      <c r="Z31" s="26">
        <f>IF(T31=0,0,X31/T31)</f>
        <v>7.0005398801409502</v>
      </c>
    </row>
    <row r="32" spans="1:26" ht="15" customHeight="1" x14ac:dyDescent="0.3">
      <c r="A32" s="12"/>
      <c r="B32" s="13"/>
      <c r="C32" s="13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O32" s="13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2" customFormat="1" ht="15" customHeight="1" x14ac:dyDescent="0.3">
      <c r="A33" s="13"/>
      <c r="B33" s="28" t="s">
        <v>288</v>
      </c>
      <c r="C33" s="28"/>
      <c r="D33" s="22">
        <f>D12-D28</f>
        <v>9003.260000000002</v>
      </c>
      <c r="E33" s="15"/>
      <c r="F33" s="24">
        <f>IF(D$12=0,0,D33/D$12)</f>
        <v>0.13603018776700426</v>
      </c>
      <c r="G33" s="15"/>
      <c r="H33" s="22">
        <f>H12-H28</f>
        <v>57357.460000000006</v>
      </c>
      <c r="I33" s="15"/>
      <c r="J33" s="24">
        <f>IF(H$12=0,0,H33/H$12)</f>
        <v>0.85956259274500646</v>
      </c>
      <c r="K33" s="17"/>
      <c r="L33" s="22">
        <f>+D33-H33</f>
        <v>-48354.200000000004</v>
      </c>
      <c r="M33" s="17"/>
      <c r="N33" s="24">
        <f>IF(H33=0,0,L33/H33)</f>
        <v>-0.84303244948433909</v>
      </c>
      <c r="O33" s="27"/>
      <c r="P33" s="22">
        <f>P12-P28</f>
        <v>1200647.76</v>
      </c>
      <c r="Q33" s="15"/>
      <c r="R33" s="24">
        <f>IF(P$12=0,0,P33/P$12)</f>
        <v>0.57900763293252067</v>
      </c>
      <c r="S33" s="15"/>
      <c r="T33" s="22">
        <f>T12-T28</f>
        <v>532455.16</v>
      </c>
      <c r="U33" s="15"/>
      <c r="V33" s="24">
        <f>IF(T$12=0,0,T33/T$12)</f>
        <v>0.90556580230260642</v>
      </c>
      <c r="W33" s="17"/>
      <c r="X33" s="22">
        <f>+P33-T33</f>
        <v>668192.6</v>
      </c>
      <c r="Y33" s="17"/>
      <c r="Z33" s="24">
        <f>IF(T33=0,0,X33/T33)</f>
        <v>1.2549274571778024</v>
      </c>
    </row>
    <row r="34" spans="1:26" ht="15" customHeight="1" x14ac:dyDescent="0.3">
      <c r="A34" s="12"/>
      <c r="B34" s="13"/>
      <c r="C34" s="12"/>
      <c r="D34" s="2"/>
      <c r="E34" s="2"/>
      <c r="F34" s="5"/>
      <c r="G34" s="2"/>
      <c r="H34" s="2"/>
      <c r="I34" s="2"/>
      <c r="J34" s="5"/>
      <c r="K34" s="2"/>
      <c r="L34" s="2"/>
      <c r="M34" s="2"/>
      <c r="N34" s="5"/>
      <c r="O34" s="37"/>
      <c r="P34" s="2"/>
      <c r="Q34" s="2"/>
      <c r="R34" s="5"/>
      <c r="S34" s="2"/>
      <c r="T34" s="2"/>
      <c r="U34" s="2"/>
      <c r="V34" s="5"/>
      <c r="W34" s="2"/>
      <c r="X34" s="2"/>
      <c r="Y34" s="2"/>
      <c r="Z34" s="5"/>
    </row>
    <row r="35" spans="1:26" s="62" customFormat="1" ht="15" customHeight="1" x14ac:dyDescent="0.3">
      <c r="A35" s="13"/>
      <c r="B35" s="27" t="s">
        <v>289</v>
      </c>
      <c r="C35" s="13"/>
      <c r="D35" s="23" cm="1">
        <f t="array" ref="D35">SUM(OSRRefD22x_0)</f>
        <v>239216.27000000005</v>
      </c>
      <c r="E35" s="23"/>
      <c r="F35" s="34">
        <f t="shared" ref="F35:F66" si="4">IF(D$12=0,0,D35/D$12)</f>
        <v>3.6143168280181164</v>
      </c>
      <c r="G35" s="23"/>
      <c r="H35" s="23" cm="1">
        <f t="array" ref="H35">SUM(OSRRefH22x_0)</f>
        <v>179847.78000000003</v>
      </c>
      <c r="I35" s="23"/>
      <c r="J35" s="34">
        <f t="shared" ref="J35:J66" si="5">IF(H$12=0,0,H35/H$12)</f>
        <v>2.6952104238268837</v>
      </c>
      <c r="K35" s="8"/>
      <c r="L35" s="23">
        <f t="shared" ref="L35:L66" si="6">+D35-H35</f>
        <v>59368.49000000002</v>
      </c>
      <c r="M35" s="8"/>
      <c r="N35" s="34">
        <f t="shared" ref="N35:N66" si="7">IF(H35=0,0,L35/H35)</f>
        <v>0.33010410248044214</v>
      </c>
      <c r="O35" s="13"/>
      <c r="P35" s="23" cm="1">
        <f t="array" ref="P35">SUM(OSRRefP22x_0)</f>
        <v>2729470.7499999995</v>
      </c>
      <c r="Q35" s="23"/>
      <c r="R35" s="34">
        <f t="shared" ref="R35:R66" si="8">IF(P$12=0,0,P35/P$12)</f>
        <v>1.3162764723902467</v>
      </c>
      <c r="S35" s="23"/>
      <c r="T35" s="23" cm="1">
        <f t="array" ref="T35">SUM(OSRRefT22x_0)</f>
        <v>1661607.3500000003</v>
      </c>
      <c r="U35" s="23"/>
      <c r="V35" s="34">
        <f t="shared" ref="V35:V66" si="9">IF(T$12=0,0,T35/T$12)</f>
        <v>2.8259558852141802</v>
      </c>
      <c r="W35" s="8"/>
      <c r="X35" s="23">
        <f t="shared" ref="X35:X66" si="10">+P35-T35</f>
        <v>1067863.3999999992</v>
      </c>
      <c r="Y35" s="8"/>
      <c r="Z35" s="34">
        <f t="shared" ref="Z35:Z66" si="11">IF(T35=0,0,X35/T35)</f>
        <v>0.64266891934487347</v>
      </c>
    </row>
    <row r="36" spans="1:26" s="68" customFormat="1" ht="15" customHeight="1" outlineLevel="1" collapsed="1" x14ac:dyDescent="0.3">
      <c r="A36" s="20"/>
      <c r="B36" s="11" t="str">
        <f>CONCATENATE("     ","*Benefits                                         ")</f>
        <v xml:space="preserve">     *Benefits                                         </v>
      </c>
      <c r="C36" s="11"/>
      <c r="D36" s="2">
        <f>SUM(OSRRefD22_0x_0)</f>
        <v>22263.800000000003</v>
      </c>
      <c r="E36" s="2"/>
      <c r="F36" s="5">
        <f t="shared" si="4"/>
        <v>0.33638358710145316</v>
      </c>
      <c r="G36" s="2"/>
      <c r="H36" s="2">
        <f>SUM(OSRRefH22_0x_0)</f>
        <v>21021.899999999998</v>
      </c>
      <c r="I36" s="2"/>
      <c r="J36" s="5">
        <f t="shared" si="5"/>
        <v>0.31503554844350234</v>
      </c>
      <c r="K36" s="2"/>
      <c r="L36" s="2">
        <f t="shared" si="6"/>
        <v>1241.9000000000051</v>
      </c>
      <c r="M36" s="2"/>
      <c r="N36" s="5">
        <f t="shared" si="7"/>
        <v>5.9076486901755085E-2</v>
      </c>
      <c r="O36" s="11"/>
      <c r="P36" s="2">
        <f>SUM(OSRRefP22_0x_0)</f>
        <v>396140.41</v>
      </c>
      <c r="Q36" s="2"/>
      <c r="R36" s="5">
        <f t="shared" si="8"/>
        <v>0.19103714573458097</v>
      </c>
      <c r="S36" s="2"/>
      <c r="T36" s="2">
        <f>SUM(OSRRefT22_0x_0)</f>
        <v>284168.28999999998</v>
      </c>
      <c r="U36" s="2"/>
      <c r="V36" s="5">
        <f t="shared" si="9"/>
        <v>0.48329531734242132</v>
      </c>
      <c r="W36" s="2"/>
      <c r="X36" s="2">
        <f t="shared" si="10"/>
        <v>111972.12</v>
      </c>
      <c r="Y36" s="2"/>
      <c r="Z36" s="5">
        <f t="shared" si="11"/>
        <v>0.3940345349581405</v>
      </c>
    </row>
    <row r="37" spans="1:26" s="69" customFormat="1" ht="15" hidden="1" customHeight="1" outlineLevel="2" x14ac:dyDescent="0.3">
      <c r="A37" s="21"/>
      <c r="B37" s="9" t="str">
        <f>CONCATENATE("          ","6111"," - ","F.I.C.A.")</f>
        <v xml:space="preserve">          6111 - F.I.C.A.</v>
      </c>
      <c r="C37" s="9"/>
      <c r="D37" s="6">
        <v>5132.1400000000003</v>
      </c>
      <c r="E37" s="3"/>
      <c r="F37" s="7">
        <f t="shared" si="4"/>
        <v>7.7541464741277391E-2</v>
      </c>
      <c r="G37" s="3"/>
      <c r="H37" s="6">
        <v>2607.87</v>
      </c>
      <c r="I37" s="3"/>
      <c r="J37" s="7">
        <f t="shared" si="5"/>
        <v>3.9081707919805371E-2</v>
      </c>
      <c r="K37" s="3"/>
      <c r="L37" s="6">
        <f t="shared" si="6"/>
        <v>2524.2700000000004</v>
      </c>
      <c r="M37" s="3"/>
      <c r="N37" s="7">
        <f t="shared" si="7"/>
        <v>0.96794318735213047</v>
      </c>
      <c r="O37" s="9"/>
      <c r="P37" s="6">
        <v>63829.86</v>
      </c>
      <c r="Q37" s="3"/>
      <c r="R37" s="7">
        <f t="shared" si="8"/>
        <v>3.0781697497202828E-2</v>
      </c>
      <c r="S37" s="3"/>
      <c r="T37" s="6">
        <v>34499.06</v>
      </c>
      <c r="U37" s="3"/>
      <c r="V37" s="7">
        <f t="shared" si="9"/>
        <v>5.8673802593228234E-2</v>
      </c>
      <c r="W37" s="3"/>
      <c r="X37" s="6">
        <f t="shared" si="10"/>
        <v>29330.800000000003</v>
      </c>
      <c r="Y37" s="3"/>
      <c r="Z37" s="7">
        <f t="shared" si="11"/>
        <v>0.8501912805740216</v>
      </c>
    </row>
    <row r="38" spans="1:26" s="69" customFormat="1" ht="15" hidden="1" customHeight="1" outlineLevel="2" x14ac:dyDescent="0.3">
      <c r="A38" s="21"/>
      <c r="B38" s="9" t="str">
        <f>CONCATENATE("          ","6112"," - ","COMPENSATION INSURANCE")</f>
        <v xml:space="preserve">          6112 - COMPENSATION INSURANCE</v>
      </c>
      <c r="C38" s="9"/>
      <c r="D38" s="6">
        <v>-5674.18</v>
      </c>
      <c r="E38" s="3"/>
      <c r="F38" s="7">
        <f t="shared" si="4"/>
        <v>-8.5731143033054708E-2</v>
      </c>
      <c r="G38" s="3"/>
      <c r="H38" s="6">
        <v>748.61</v>
      </c>
      <c r="I38" s="3"/>
      <c r="J38" s="7">
        <f t="shared" si="5"/>
        <v>1.1218717714397381E-2</v>
      </c>
      <c r="K38" s="3"/>
      <c r="L38" s="6">
        <f t="shared" si="6"/>
        <v>-6422.79</v>
      </c>
      <c r="M38" s="3"/>
      <c r="N38" s="7">
        <f t="shared" si="7"/>
        <v>-8.5796208973965076</v>
      </c>
      <c r="O38" s="9"/>
      <c r="P38" s="6">
        <v>22625.89</v>
      </c>
      <c r="Q38" s="3"/>
      <c r="R38" s="7">
        <f t="shared" si="8"/>
        <v>1.0911245952677735E-2</v>
      </c>
      <c r="S38" s="3"/>
      <c r="T38" s="6">
        <v>9514.3700000000008</v>
      </c>
      <c r="U38" s="3"/>
      <c r="V38" s="7">
        <f t="shared" si="9"/>
        <v>1.6181434137015123E-2</v>
      </c>
      <c r="W38" s="3"/>
      <c r="X38" s="6">
        <f t="shared" si="10"/>
        <v>13111.519999999999</v>
      </c>
      <c r="Y38" s="3"/>
      <c r="Z38" s="7">
        <f t="shared" si="11"/>
        <v>1.3780754795115175</v>
      </c>
    </row>
    <row r="39" spans="1:26" s="69" customFormat="1" ht="15" hidden="1" customHeight="1" outlineLevel="2" x14ac:dyDescent="0.3">
      <c r="A39" s="21"/>
      <c r="B39" s="9" t="str">
        <f>CONCATENATE("          ","6113"," - ","GROUP INSURANCE")</f>
        <v xml:space="preserve">          6113 - GROUP INSURANCE</v>
      </c>
      <c r="C39" s="9"/>
      <c r="D39" s="6">
        <v>13050.78</v>
      </c>
      <c r="E39" s="3"/>
      <c r="F39" s="7">
        <f t="shared" si="4"/>
        <v>0.19718413706877991</v>
      </c>
      <c r="G39" s="3"/>
      <c r="H39" s="6">
        <v>8554.93</v>
      </c>
      <c r="I39" s="3"/>
      <c r="J39" s="7">
        <f t="shared" si="5"/>
        <v>0.12820473241932326</v>
      </c>
      <c r="K39" s="3"/>
      <c r="L39" s="6">
        <f t="shared" si="6"/>
        <v>4495.8500000000004</v>
      </c>
      <c r="M39" s="3"/>
      <c r="N39" s="7">
        <f t="shared" si="7"/>
        <v>0.52552738596341531</v>
      </c>
      <c r="O39" s="9"/>
      <c r="P39" s="6">
        <v>158957.49</v>
      </c>
      <c r="Q39" s="3"/>
      <c r="R39" s="7">
        <f t="shared" si="8"/>
        <v>7.6656620774268394E-2</v>
      </c>
      <c r="S39" s="3"/>
      <c r="T39" s="6">
        <v>130329.15</v>
      </c>
      <c r="U39" s="3"/>
      <c r="V39" s="7">
        <f t="shared" si="9"/>
        <v>0.2216555123311543</v>
      </c>
      <c r="W39" s="3"/>
      <c r="X39" s="6">
        <f t="shared" si="10"/>
        <v>28628.339999999997</v>
      </c>
      <c r="Y39" s="3"/>
      <c r="Z39" s="7">
        <f t="shared" si="11"/>
        <v>0.21966183313556481</v>
      </c>
    </row>
    <row r="40" spans="1:26" s="69" customFormat="1" ht="15" hidden="1" customHeight="1" outlineLevel="2" x14ac:dyDescent="0.3">
      <c r="A40" s="21"/>
      <c r="B40" s="9" t="str">
        <f>CONCATENATE("          ","6114"," - ","STATE UNEMPLOYMENT INSURANCE")</f>
        <v xml:space="preserve">          6114 - STATE UNEMPLOYMENT INSURANCE</v>
      </c>
      <c r="C40" s="9"/>
      <c r="D40" s="6"/>
      <c r="E40" s="3"/>
      <c r="F40" s="7">
        <f t="shared" si="4"/>
        <v>0</v>
      </c>
      <c r="G40" s="3"/>
      <c r="H40" s="6">
        <v>87.06</v>
      </c>
      <c r="I40" s="3"/>
      <c r="J40" s="7">
        <f t="shared" si="5"/>
        <v>1.3046867717709301E-3</v>
      </c>
      <c r="K40" s="3"/>
      <c r="L40" s="6">
        <f t="shared" si="6"/>
        <v>-87.06</v>
      </c>
      <c r="M40" s="3"/>
      <c r="N40" s="7">
        <f t="shared" si="7"/>
        <v>-1</v>
      </c>
      <c r="O40" s="9"/>
      <c r="P40" s="6">
        <v>2634.44</v>
      </c>
      <c r="Q40" s="3"/>
      <c r="R40" s="7">
        <f t="shared" si="8"/>
        <v>1.2704482691099591E-3</v>
      </c>
      <c r="S40" s="3"/>
      <c r="T40" s="6">
        <v>1249.67</v>
      </c>
      <c r="U40" s="3"/>
      <c r="V40" s="7">
        <f t="shared" si="9"/>
        <v>2.1253590934558662E-3</v>
      </c>
      <c r="W40" s="3"/>
      <c r="X40" s="6">
        <f t="shared" si="10"/>
        <v>1384.77</v>
      </c>
      <c r="Y40" s="3"/>
      <c r="Z40" s="7">
        <f t="shared" si="11"/>
        <v>1.1081085406547329</v>
      </c>
    </row>
    <row r="41" spans="1:26" s="69" customFormat="1" ht="15" hidden="1" customHeight="1" outlineLevel="2" x14ac:dyDescent="0.3">
      <c r="A41" s="21"/>
      <c r="B41" s="9" t="str">
        <f>CONCATENATE("          ","6115"," - ","P.E.R.S.")</f>
        <v xml:space="preserve">          6115 - P.E.R.S.</v>
      </c>
      <c r="C41" s="9"/>
      <c r="D41" s="6">
        <v>3041.45</v>
      </c>
      <c r="E41" s="3"/>
      <c r="F41" s="7">
        <f t="shared" si="4"/>
        <v>4.5953245222725432E-2</v>
      </c>
      <c r="G41" s="3"/>
      <c r="H41" s="6">
        <v>4175.47</v>
      </c>
      <c r="I41" s="3"/>
      <c r="J41" s="7">
        <f t="shared" si="5"/>
        <v>6.2573862565200616E-2</v>
      </c>
      <c r="K41" s="3"/>
      <c r="L41" s="6">
        <f t="shared" si="6"/>
        <v>-1134.0200000000004</v>
      </c>
      <c r="M41" s="3"/>
      <c r="N41" s="7">
        <f t="shared" si="7"/>
        <v>-0.27159098257202191</v>
      </c>
      <c r="O41" s="9"/>
      <c r="P41" s="6">
        <v>43228.57</v>
      </c>
      <c r="Q41" s="3"/>
      <c r="R41" s="7">
        <f t="shared" si="8"/>
        <v>2.0846806885941115E-2</v>
      </c>
      <c r="S41" s="3"/>
      <c r="T41" s="6">
        <v>44915.6</v>
      </c>
      <c r="U41" s="3"/>
      <c r="V41" s="7">
        <f t="shared" si="9"/>
        <v>7.6389589970173158E-2</v>
      </c>
      <c r="W41" s="3"/>
      <c r="X41" s="6">
        <f t="shared" si="10"/>
        <v>-1687.0299999999988</v>
      </c>
      <c r="Y41" s="3"/>
      <c r="Z41" s="7">
        <f t="shared" si="11"/>
        <v>-3.7560001424894664E-2</v>
      </c>
    </row>
    <row r="42" spans="1:26" s="69" customFormat="1" ht="15" hidden="1" customHeight="1" outlineLevel="2" x14ac:dyDescent="0.3">
      <c r="A42" s="21"/>
      <c r="B42" s="9" t="str">
        <f>CONCATENATE("          ","6117"," - ","RETIREMENT STAFF HOURLY")</f>
        <v xml:space="preserve">          6117 - RETIREMENT STAFF HOURLY</v>
      </c>
      <c r="C42" s="9"/>
      <c r="D42" s="6">
        <v>261.17</v>
      </c>
      <c r="E42" s="3"/>
      <c r="F42" s="7">
        <f t="shared" si="4"/>
        <v>3.9460155698167656E-3</v>
      </c>
      <c r="G42" s="3"/>
      <c r="H42" s="6"/>
      <c r="I42" s="3"/>
      <c r="J42" s="7">
        <f t="shared" si="5"/>
        <v>0</v>
      </c>
      <c r="K42" s="3"/>
      <c r="L42" s="6">
        <f t="shared" si="6"/>
        <v>261.17</v>
      </c>
      <c r="M42" s="3"/>
      <c r="N42" s="7">
        <f t="shared" si="7"/>
        <v>0</v>
      </c>
      <c r="O42" s="9"/>
      <c r="P42" s="6">
        <v>1723.91</v>
      </c>
      <c r="Q42" s="3"/>
      <c r="R42" s="7">
        <f t="shared" si="8"/>
        <v>8.3134877833670529E-4</v>
      </c>
      <c r="S42" s="3"/>
      <c r="T42" s="6"/>
      <c r="U42" s="3"/>
      <c r="V42" s="7">
        <f t="shared" si="9"/>
        <v>0</v>
      </c>
      <c r="W42" s="3"/>
      <c r="X42" s="6">
        <f t="shared" si="10"/>
        <v>1723.91</v>
      </c>
      <c r="Y42" s="3"/>
      <c r="Z42" s="7">
        <f t="shared" si="11"/>
        <v>0</v>
      </c>
    </row>
    <row r="43" spans="1:26" s="69" customFormat="1" ht="15" hidden="1" customHeight="1" outlineLevel="2" x14ac:dyDescent="0.3">
      <c r="A43" s="21"/>
      <c r="B43" s="9" t="str">
        <f>CONCATENATE("          ","6118"," - ","VACATION")</f>
        <v xml:space="preserve">          6118 - VACATION</v>
      </c>
      <c r="C43" s="9"/>
      <c r="D43" s="6">
        <v>2769.06</v>
      </c>
      <c r="E43" s="3"/>
      <c r="F43" s="7">
        <f t="shared" si="4"/>
        <v>4.1837706757119168E-2</v>
      </c>
      <c r="G43" s="3"/>
      <c r="H43" s="6">
        <v>2596</v>
      </c>
      <c r="I43" s="3"/>
      <c r="J43" s="7">
        <f t="shared" si="5"/>
        <v>3.8903823334681079E-2</v>
      </c>
      <c r="K43" s="3"/>
      <c r="L43" s="6">
        <f t="shared" si="6"/>
        <v>173.05999999999995</v>
      </c>
      <c r="M43" s="3"/>
      <c r="N43" s="7">
        <f t="shared" si="7"/>
        <v>6.6664098613251135E-2</v>
      </c>
      <c r="O43" s="9"/>
      <c r="P43" s="6">
        <v>44428.5</v>
      </c>
      <c r="Q43" s="3"/>
      <c r="R43" s="7">
        <f t="shared" si="8"/>
        <v>2.1425468381952834E-2</v>
      </c>
      <c r="S43" s="3"/>
      <c r="T43" s="6">
        <v>35574.22</v>
      </c>
      <c r="U43" s="3"/>
      <c r="V43" s="7">
        <f t="shared" si="9"/>
        <v>6.0502366200356532E-2</v>
      </c>
      <c r="W43" s="3"/>
      <c r="X43" s="6">
        <f t="shared" si="10"/>
        <v>8854.2799999999988</v>
      </c>
      <c r="Y43" s="3"/>
      <c r="Z43" s="7">
        <f t="shared" si="11"/>
        <v>0.24889597017165799</v>
      </c>
    </row>
    <row r="44" spans="1:26" s="69" customFormat="1" ht="15" hidden="1" customHeight="1" outlineLevel="2" x14ac:dyDescent="0.3">
      <c r="A44" s="21"/>
      <c r="B44" s="9" t="str">
        <f>CONCATENATE("          ","6119"," - ","SICK LEAVE")</f>
        <v xml:space="preserve">          6119 - SICK LEAVE</v>
      </c>
      <c r="C44" s="9"/>
      <c r="D44" s="6">
        <v>1914.06</v>
      </c>
      <c r="E44" s="3"/>
      <c r="F44" s="7">
        <f t="shared" si="4"/>
        <v>2.8919518174229344E-2</v>
      </c>
      <c r="G44" s="3"/>
      <c r="H44" s="6">
        <v>1510.2</v>
      </c>
      <c r="I44" s="3"/>
      <c r="J44" s="7">
        <f t="shared" si="5"/>
        <v>2.263195454546817E-2</v>
      </c>
      <c r="K44" s="3"/>
      <c r="L44" s="6">
        <f t="shared" si="6"/>
        <v>403.8599999999999</v>
      </c>
      <c r="M44" s="3"/>
      <c r="N44" s="7">
        <f t="shared" si="7"/>
        <v>0.26742153357171228</v>
      </c>
      <c r="O44" s="9"/>
      <c r="P44" s="6">
        <v>37261</v>
      </c>
      <c r="Q44" s="3"/>
      <c r="R44" s="7">
        <f t="shared" si="8"/>
        <v>1.7968969858985662E-2</v>
      </c>
      <c r="S44" s="3"/>
      <c r="T44" s="6">
        <v>20922.669999999998</v>
      </c>
      <c r="U44" s="3"/>
      <c r="V44" s="7">
        <f t="shared" si="9"/>
        <v>3.5583943716242079E-2</v>
      </c>
      <c r="W44" s="3"/>
      <c r="X44" s="6">
        <f t="shared" si="10"/>
        <v>16338.330000000002</v>
      </c>
      <c r="Y44" s="3"/>
      <c r="Z44" s="7">
        <f t="shared" si="11"/>
        <v>0.78089125336297915</v>
      </c>
    </row>
    <row r="45" spans="1:26" s="69" customFormat="1" ht="15" hidden="1" customHeight="1" outlineLevel="2" x14ac:dyDescent="0.3">
      <c r="A45" s="21"/>
      <c r="B45" s="9" t="str">
        <f>CONCATENATE("          ","6156"," - ","EMPLOYEE MEALS")</f>
        <v xml:space="preserve">          6156 - EMPLOYEE MEALS</v>
      </c>
      <c r="C45" s="9"/>
      <c r="D45" s="6">
        <v>1769.32</v>
      </c>
      <c r="E45" s="3"/>
      <c r="F45" s="7">
        <f t="shared" si="4"/>
        <v>2.6732642600559787E-2</v>
      </c>
      <c r="G45" s="3"/>
      <c r="H45" s="6">
        <v>741.76</v>
      </c>
      <c r="I45" s="3"/>
      <c r="J45" s="7">
        <f t="shared" si="5"/>
        <v>1.111606317285556E-2</v>
      </c>
      <c r="K45" s="3"/>
      <c r="L45" s="6">
        <f t="shared" si="6"/>
        <v>1027.56</v>
      </c>
      <c r="M45" s="3"/>
      <c r="N45" s="7">
        <f t="shared" si="7"/>
        <v>1.385299827437446</v>
      </c>
      <c r="O45" s="9"/>
      <c r="P45" s="6">
        <v>21450.75</v>
      </c>
      <c r="Q45" s="3"/>
      <c r="R45" s="7">
        <f t="shared" si="8"/>
        <v>1.0344539336105759E-2</v>
      </c>
      <c r="S45" s="3"/>
      <c r="T45" s="6">
        <v>7163.55</v>
      </c>
      <c r="U45" s="3"/>
      <c r="V45" s="7">
        <f t="shared" si="9"/>
        <v>1.2183309300796027E-2</v>
      </c>
      <c r="W45" s="3"/>
      <c r="X45" s="6">
        <f t="shared" si="10"/>
        <v>14287.2</v>
      </c>
      <c r="Y45" s="3"/>
      <c r="Z45" s="7">
        <f t="shared" si="11"/>
        <v>1.9944301358963084</v>
      </c>
    </row>
    <row r="46" spans="1:26" s="68" customFormat="1" ht="15" customHeight="1" outlineLevel="1" collapsed="1" x14ac:dyDescent="0.3">
      <c r="A46" s="20"/>
      <c r="B46" s="11" t="str">
        <f>CONCATENATE("     ","*Payroll                                          ")</f>
        <v xml:space="preserve">     *Payroll                                          </v>
      </c>
      <c r="C46" s="11"/>
      <c r="D46" s="2">
        <f>SUM(OSRRefD22_1x_0)</f>
        <v>48748.32</v>
      </c>
      <c r="E46" s="2"/>
      <c r="F46" s="5">
        <f t="shared" si="4"/>
        <v>0.73653800100474798</v>
      </c>
      <c r="G46" s="2"/>
      <c r="H46" s="2">
        <f>SUM(OSRRefH22_1x_0)</f>
        <v>29816.31</v>
      </c>
      <c r="I46" s="2"/>
      <c r="J46" s="5">
        <f t="shared" si="5"/>
        <v>0.44682914357938552</v>
      </c>
      <c r="K46" s="2"/>
      <c r="L46" s="2">
        <f t="shared" si="6"/>
        <v>18932.009999999998</v>
      </c>
      <c r="M46" s="2"/>
      <c r="N46" s="5">
        <f t="shared" si="7"/>
        <v>0.63495482841438122</v>
      </c>
      <c r="O46" s="11"/>
      <c r="P46" s="2">
        <f>SUM(OSRRefP22_1x_0)</f>
        <v>1006014.6900000001</v>
      </c>
      <c r="Q46" s="2"/>
      <c r="R46" s="5">
        <f t="shared" si="8"/>
        <v>0.48514660482291955</v>
      </c>
      <c r="S46" s="2"/>
      <c r="T46" s="2">
        <f>SUM(OSRRefT22_1x_0)</f>
        <v>391291.29000000004</v>
      </c>
      <c r="U46" s="2"/>
      <c r="V46" s="5">
        <f t="shared" si="9"/>
        <v>0.66548328870147844</v>
      </c>
      <c r="W46" s="2"/>
      <c r="X46" s="2">
        <f t="shared" si="10"/>
        <v>614723.4</v>
      </c>
      <c r="Y46" s="2"/>
      <c r="Z46" s="5">
        <f t="shared" si="11"/>
        <v>1.5710122246779374</v>
      </c>
    </row>
    <row r="47" spans="1:26" s="69" customFormat="1" ht="15" hidden="1" customHeight="1" outlineLevel="2" x14ac:dyDescent="0.3">
      <c r="A47" s="21"/>
      <c r="B47" s="9" t="str">
        <f>CONCATENATE("          ","6001"," - ","ADMINISTRATIVE SALARIES")</f>
        <v xml:space="preserve">          6001 - ADMINISTRATIVE SALARIES</v>
      </c>
      <c r="C47" s="9"/>
      <c r="D47" s="6">
        <v>5756.01</v>
      </c>
      <c r="E47" s="3"/>
      <c r="F47" s="7">
        <f t="shared" si="4"/>
        <v>8.6967511888888474E-2</v>
      </c>
      <c r="G47" s="3"/>
      <c r="H47" s="6">
        <v>11069.28</v>
      </c>
      <c r="I47" s="3"/>
      <c r="J47" s="7">
        <f t="shared" si="5"/>
        <v>0.16588494359095476</v>
      </c>
      <c r="K47" s="3"/>
      <c r="L47" s="6">
        <f t="shared" si="6"/>
        <v>-5313.27</v>
      </c>
      <c r="M47" s="3"/>
      <c r="N47" s="7">
        <f t="shared" si="7"/>
        <v>-0.4800014093057543</v>
      </c>
      <c r="O47" s="9"/>
      <c r="P47" s="6">
        <v>128912.89</v>
      </c>
      <c r="Q47" s="3"/>
      <c r="R47" s="7">
        <f t="shared" si="8"/>
        <v>6.2167731269819226E-2</v>
      </c>
      <c r="S47" s="3"/>
      <c r="T47" s="6">
        <v>130427.41</v>
      </c>
      <c r="U47" s="3"/>
      <c r="V47" s="7">
        <f t="shared" si="9"/>
        <v>0.22182262667695998</v>
      </c>
      <c r="W47" s="3"/>
      <c r="X47" s="6">
        <f t="shared" si="10"/>
        <v>-1514.5200000000041</v>
      </c>
      <c r="Y47" s="3"/>
      <c r="Z47" s="7">
        <f t="shared" si="11"/>
        <v>-1.1611976347609786E-2</v>
      </c>
    </row>
    <row r="48" spans="1:26" s="69" customFormat="1" ht="15" hidden="1" customHeight="1" outlineLevel="2" x14ac:dyDescent="0.3">
      <c r="A48" s="21"/>
      <c r="B48" s="9" t="str">
        <f>CONCATENATE("          ","6002"," - ","STAFF SALARIES")</f>
        <v xml:space="preserve">          6002 - STAFF SALARIES</v>
      </c>
      <c r="C48" s="9"/>
      <c r="D48" s="6">
        <v>16186.68</v>
      </c>
      <c r="E48" s="3"/>
      <c r="F48" s="7">
        <f t="shared" si="4"/>
        <v>0.24456442663262107</v>
      </c>
      <c r="G48" s="3"/>
      <c r="H48" s="6">
        <v>12905.62</v>
      </c>
      <c r="I48" s="3"/>
      <c r="J48" s="7">
        <f t="shared" si="5"/>
        <v>0.19340445319897029</v>
      </c>
      <c r="K48" s="3"/>
      <c r="L48" s="6">
        <f t="shared" si="6"/>
        <v>3281.0599999999995</v>
      </c>
      <c r="M48" s="3"/>
      <c r="N48" s="7">
        <f t="shared" si="7"/>
        <v>0.25423497670007322</v>
      </c>
      <c r="O48" s="9"/>
      <c r="P48" s="6">
        <v>282002.03999999998</v>
      </c>
      <c r="Q48" s="3"/>
      <c r="R48" s="7">
        <f t="shared" si="8"/>
        <v>0.13599436829211425</v>
      </c>
      <c r="S48" s="3"/>
      <c r="T48" s="6">
        <v>216948.39</v>
      </c>
      <c r="U48" s="3"/>
      <c r="V48" s="7">
        <f t="shared" si="9"/>
        <v>0.36897199540447456</v>
      </c>
      <c r="W48" s="3"/>
      <c r="X48" s="6">
        <f t="shared" si="10"/>
        <v>65053.649999999965</v>
      </c>
      <c r="Y48" s="3"/>
      <c r="Z48" s="7">
        <f t="shared" si="11"/>
        <v>0.29985772192178961</v>
      </c>
    </row>
    <row r="49" spans="1:26" s="69" customFormat="1" ht="15" hidden="1" customHeight="1" outlineLevel="2" x14ac:dyDescent="0.3">
      <c r="A49" s="21"/>
      <c r="B49" s="9" t="str">
        <f>CONCATENATE("          ","6004"," - ","STAFF HOURLY")</f>
        <v xml:space="preserve">          6004 - STAFF HOURLY</v>
      </c>
      <c r="C49" s="9"/>
      <c r="D49" s="6">
        <v>9119.61</v>
      </c>
      <c r="E49" s="3"/>
      <c r="F49" s="7">
        <f t="shared" si="4"/>
        <v>0.13778811904375188</v>
      </c>
      <c r="G49" s="3"/>
      <c r="H49" s="6">
        <v>4444.6899999999996</v>
      </c>
      <c r="I49" s="3"/>
      <c r="J49" s="7">
        <f t="shared" si="5"/>
        <v>6.6608410838761026E-2</v>
      </c>
      <c r="K49" s="3"/>
      <c r="L49" s="6">
        <f t="shared" si="6"/>
        <v>4674.920000000001</v>
      </c>
      <c r="M49" s="3"/>
      <c r="N49" s="7">
        <f t="shared" si="7"/>
        <v>1.0517988881114322</v>
      </c>
      <c r="O49" s="9"/>
      <c r="P49" s="6">
        <v>154800.56</v>
      </c>
      <c r="Q49" s="3"/>
      <c r="R49" s="7">
        <f t="shared" si="8"/>
        <v>7.4651957725077198E-2</v>
      </c>
      <c r="S49" s="3"/>
      <c r="T49" s="6">
        <v>35907.72</v>
      </c>
      <c r="U49" s="3"/>
      <c r="V49" s="7">
        <f t="shared" si="9"/>
        <v>6.1069561746114637E-2</v>
      </c>
      <c r="W49" s="3"/>
      <c r="X49" s="6">
        <f t="shared" si="10"/>
        <v>118892.84</v>
      </c>
      <c r="Y49" s="3"/>
      <c r="Z49" s="7">
        <f t="shared" si="11"/>
        <v>3.3110662553902057</v>
      </c>
    </row>
    <row r="50" spans="1:26" s="69" customFormat="1" ht="15" hidden="1" customHeight="1" outlineLevel="2" x14ac:dyDescent="0.3">
      <c r="A50" s="21"/>
      <c r="B50" s="9" t="str">
        <f>CONCATENATE("          ","6005"," - ","TEMPORARY WAGES-HOURLY")</f>
        <v xml:space="preserve">          6005 - TEMPORARY WAGES-HOURLY</v>
      </c>
      <c r="C50" s="9"/>
      <c r="D50" s="6">
        <v>11629.63</v>
      </c>
      <c r="E50" s="3"/>
      <c r="F50" s="7">
        <f t="shared" si="4"/>
        <v>0.17571199238506777</v>
      </c>
      <c r="G50" s="3"/>
      <c r="H50" s="6">
        <v>1311.04</v>
      </c>
      <c r="I50" s="3"/>
      <c r="J50" s="7">
        <f t="shared" si="5"/>
        <v>1.9647329947881462E-2</v>
      </c>
      <c r="K50" s="3"/>
      <c r="L50" s="6">
        <f t="shared" si="6"/>
        <v>10318.59</v>
      </c>
      <c r="M50" s="3"/>
      <c r="N50" s="7">
        <f t="shared" si="7"/>
        <v>7.8705378935806687</v>
      </c>
      <c r="O50" s="9"/>
      <c r="P50" s="6">
        <v>172303.41</v>
      </c>
      <c r="Q50" s="3"/>
      <c r="R50" s="7">
        <f t="shared" si="8"/>
        <v>8.3092637902644831E-2</v>
      </c>
      <c r="S50" s="3"/>
      <c r="T50" s="6">
        <v>7774.4</v>
      </c>
      <c r="U50" s="3"/>
      <c r="V50" s="7">
        <f t="shared" si="9"/>
        <v>1.3222204050800039E-2</v>
      </c>
      <c r="W50" s="3"/>
      <c r="X50" s="6">
        <f t="shared" si="10"/>
        <v>164529.01</v>
      </c>
      <c r="Y50" s="3"/>
      <c r="Z50" s="7">
        <f t="shared" si="11"/>
        <v>21.162920611236881</v>
      </c>
    </row>
    <row r="51" spans="1:26" s="69" customFormat="1" ht="15" hidden="1" customHeight="1" outlineLevel="2" x14ac:dyDescent="0.3">
      <c r="A51" s="21"/>
      <c r="B51" s="9" t="str">
        <f>CONCATENATE("          ","6006"," - ","TEMPORARY PART TIME")</f>
        <v xml:space="preserve">          6006 - TEMPORARY PART TIME</v>
      </c>
      <c r="C51" s="9"/>
      <c r="D51" s="6">
        <v>1152</v>
      </c>
      <c r="E51" s="3"/>
      <c r="F51" s="7">
        <f t="shared" si="4"/>
        <v>1.7405559353788392E-2</v>
      </c>
      <c r="G51" s="3"/>
      <c r="H51" s="6"/>
      <c r="I51" s="3"/>
      <c r="J51" s="7">
        <f t="shared" si="5"/>
        <v>0</v>
      </c>
      <c r="K51" s="3"/>
      <c r="L51" s="6">
        <f t="shared" si="6"/>
        <v>1152</v>
      </c>
      <c r="M51" s="3"/>
      <c r="N51" s="7">
        <f t="shared" si="7"/>
        <v>0</v>
      </c>
      <c r="O51" s="9"/>
      <c r="P51" s="6">
        <v>7943.04</v>
      </c>
      <c r="Q51" s="3"/>
      <c r="R51" s="7">
        <f t="shared" si="8"/>
        <v>3.8304996202119502E-3</v>
      </c>
      <c r="S51" s="3"/>
      <c r="T51" s="6"/>
      <c r="U51" s="3"/>
      <c r="V51" s="7">
        <f t="shared" si="9"/>
        <v>0</v>
      </c>
      <c r="W51" s="3"/>
      <c r="X51" s="6">
        <f t="shared" si="10"/>
        <v>7943.04</v>
      </c>
      <c r="Y51" s="3"/>
      <c r="Z51" s="7">
        <f t="shared" si="11"/>
        <v>0</v>
      </c>
    </row>
    <row r="52" spans="1:26" s="69" customFormat="1" ht="15" hidden="1" customHeight="1" outlineLevel="2" x14ac:dyDescent="0.3">
      <c r="A52" s="21"/>
      <c r="B52" s="9" t="str">
        <f>CONCATENATE("          ","6007"," - ","STUDENT HOURLY")</f>
        <v xml:space="preserve">          6007 - STUDENT HOURLY</v>
      </c>
      <c r="C52" s="9"/>
      <c r="D52" s="6">
        <v>4661.3900000000003</v>
      </c>
      <c r="E52" s="3"/>
      <c r="F52" s="7">
        <f t="shared" si="4"/>
        <v>7.0428906524440685E-2</v>
      </c>
      <c r="G52" s="3"/>
      <c r="H52" s="6">
        <v>85.68</v>
      </c>
      <c r="I52" s="3"/>
      <c r="J52" s="7">
        <f t="shared" si="5"/>
        <v>1.2840060028179797E-3</v>
      </c>
      <c r="K52" s="3"/>
      <c r="L52" s="6">
        <f t="shared" si="6"/>
        <v>4575.71</v>
      </c>
      <c r="M52" s="3"/>
      <c r="N52" s="7">
        <f t="shared" si="7"/>
        <v>53.404645191409891</v>
      </c>
      <c r="O52" s="9"/>
      <c r="P52" s="6">
        <v>241491.82</v>
      </c>
      <c r="Q52" s="3"/>
      <c r="R52" s="7">
        <f t="shared" si="8"/>
        <v>0.11645847494086554</v>
      </c>
      <c r="S52" s="3"/>
      <c r="T52" s="6">
        <v>233.37</v>
      </c>
      <c r="U52" s="3"/>
      <c r="V52" s="7">
        <f t="shared" si="9"/>
        <v>3.9690082312914248E-4</v>
      </c>
      <c r="W52" s="3"/>
      <c r="X52" s="6">
        <f t="shared" si="10"/>
        <v>241258.45</v>
      </c>
      <c r="Y52" s="3"/>
      <c r="Z52" s="7">
        <f t="shared" si="11"/>
        <v>1033.8023310622616</v>
      </c>
    </row>
    <row r="53" spans="1:26" s="69" customFormat="1" ht="15" hidden="1" customHeight="1" outlineLevel="2" x14ac:dyDescent="0.3">
      <c r="A53" s="21"/>
      <c r="B53" s="9" t="str">
        <f>CONCATENATE("          ","6008"," - ","STUDENT HOURLY-FICA EXEMPT")</f>
        <v xml:space="preserve">          6008 - STUDENT HOURLY-FICA EXEMPT</v>
      </c>
      <c r="C53" s="9"/>
      <c r="D53" s="6">
        <v>243</v>
      </c>
      <c r="E53" s="3"/>
      <c r="F53" s="7">
        <f t="shared" si="4"/>
        <v>3.6714851761897385E-3</v>
      </c>
      <c r="G53" s="3"/>
      <c r="H53" s="6"/>
      <c r="I53" s="3"/>
      <c r="J53" s="7">
        <f t="shared" si="5"/>
        <v>0</v>
      </c>
      <c r="K53" s="3"/>
      <c r="L53" s="6">
        <f t="shared" si="6"/>
        <v>243</v>
      </c>
      <c r="M53" s="3"/>
      <c r="N53" s="7">
        <f t="shared" si="7"/>
        <v>0</v>
      </c>
      <c r="O53" s="9"/>
      <c r="P53" s="6">
        <v>18560.93</v>
      </c>
      <c r="Q53" s="3"/>
      <c r="R53" s="7">
        <f t="shared" si="8"/>
        <v>8.9509350721865416E-3</v>
      </c>
      <c r="S53" s="3"/>
      <c r="T53" s="6"/>
      <c r="U53" s="3"/>
      <c r="V53" s="7">
        <f t="shared" si="9"/>
        <v>0</v>
      </c>
      <c r="W53" s="3"/>
      <c r="X53" s="6">
        <f t="shared" si="10"/>
        <v>18560.93</v>
      </c>
      <c r="Y53" s="3"/>
      <c r="Z53" s="7">
        <f t="shared" si="11"/>
        <v>0</v>
      </c>
    </row>
    <row r="54" spans="1:26" s="68" customFormat="1" ht="15" customHeight="1" outlineLevel="1" collapsed="1" x14ac:dyDescent="0.3">
      <c r="A54" s="20"/>
      <c r="B54" s="11" t="str">
        <f>CONCATENATE("     ","Advertising/Promo                                 ")</f>
        <v xml:space="preserve">     Advertising/Promo                                 </v>
      </c>
      <c r="C54" s="11"/>
      <c r="D54" s="2">
        <f>SUM(OSRRefD22_2x_0)</f>
        <v>1272.93</v>
      </c>
      <c r="E54" s="2"/>
      <c r="F54" s="5">
        <f t="shared" si="4"/>
        <v>1.9232689816161334E-2</v>
      </c>
      <c r="G54" s="2"/>
      <c r="H54" s="2">
        <f>SUM(OSRRefH22_2x_0)</f>
        <v>38.29</v>
      </c>
      <c r="I54" s="2"/>
      <c r="J54" s="5">
        <f t="shared" si="5"/>
        <v>5.7381640812208723E-4</v>
      </c>
      <c r="K54" s="2"/>
      <c r="L54" s="2">
        <f t="shared" si="6"/>
        <v>1234.6400000000001</v>
      </c>
      <c r="M54" s="2"/>
      <c r="N54" s="5">
        <f t="shared" si="7"/>
        <v>32.24445024810656</v>
      </c>
      <c r="O54" s="11"/>
      <c r="P54" s="2">
        <f>SUM(OSRRefP22_2x_0)</f>
        <v>4089.69</v>
      </c>
      <c r="Q54" s="2"/>
      <c r="R54" s="5">
        <f t="shared" si="8"/>
        <v>1.9722368251682745E-3</v>
      </c>
      <c r="S54" s="2"/>
      <c r="T54" s="2">
        <f>SUM(OSRRefT22_2x_0)</f>
        <v>485.74</v>
      </c>
      <c r="U54" s="2"/>
      <c r="V54" s="5">
        <f t="shared" si="9"/>
        <v>8.2611563537194016E-4</v>
      </c>
      <c r="W54" s="2"/>
      <c r="X54" s="2">
        <f t="shared" si="10"/>
        <v>3603.95</v>
      </c>
      <c r="Y54" s="2"/>
      <c r="Z54" s="5">
        <f t="shared" si="11"/>
        <v>7.4195042615390943</v>
      </c>
    </row>
    <row r="55" spans="1:26" s="69" customFormat="1" ht="15" hidden="1" customHeight="1" outlineLevel="2" x14ac:dyDescent="0.3">
      <c r="A55" s="21"/>
      <c r="B55" s="9" t="str">
        <f>CONCATENATE("          ","6362"," - ","ADVERTISING EXPENSE")</f>
        <v xml:space="preserve">          6362 - ADVERTISING EXPENSE</v>
      </c>
      <c r="C55" s="9"/>
      <c r="D55" s="6">
        <v>1272.93</v>
      </c>
      <c r="E55" s="3"/>
      <c r="F55" s="7">
        <f t="shared" si="4"/>
        <v>1.9232689816161334E-2</v>
      </c>
      <c r="G55" s="3"/>
      <c r="H55" s="6">
        <v>38.29</v>
      </c>
      <c r="I55" s="3"/>
      <c r="J55" s="7">
        <f t="shared" si="5"/>
        <v>5.7381640812208723E-4</v>
      </c>
      <c r="K55" s="3"/>
      <c r="L55" s="6">
        <f t="shared" si="6"/>
        <v>1234.6400000000001</v>
      </c>
      <c r="M55" s="3"/>
      <c r="N55" s="7">
        <f t="shared" si="7"/>
        <v>32.24445024810656</v>
      </c>
      <c r="O55" s="9"/>
      <c r="P55" s="6">
        <v>4089.69</v>
      </c>
      <c r="Q55" s="3"/>
      <c r="R55" s="7">
        <f t="shared" si="8"/>
        <v>1.9722368251682745E-3</v>
      </c>
      <c r="S55" s="3"/>
      <c r="T55" s="6">
        <v>485.74</v>
      </c>
      <c r="U55" s="3"/>
      <c r="V55" s="7">
        <f t="shared" si="9"/>
        <v>8.2611563537194016E-4</v>
      </c>
      <c r="W55" s="3"/>
      <c r="X55" s="6">
        <f t="shared" si="10"/>
        <v>3603.95</v>
      </c>
      <c r="Y55" s="3"/>
      <c r="Z55" s="7">
        <f t="shared" si="11"/>
        <v>7.4195042615390943</v>
      </c>
    </row>
    <row r="56" spans="1:26" s="68" customFormat="1" ht="15" customHeight="1" outlineLevel="1" collapsed="1" x14ac:dyDescent="0.3">
      <c r="A56" s="20"/>
      <c r="B56" s="11" t="str">
        <f>CONCATENATE("     ","Bad Debts/Over/Short                              ")</f>
        <v xml:space="preserve">     Bad Debts/Over/Short                              </v>
      </c>
      <c r="C56" s="11"/>
      <c r="D56" s="2">
        <f>SUM(OSRRefD22_3x_0)</f>
        <v>-112.64</v>
      </c>
      <c r="E56" s="2"/>
      <c r="F56" s="5">
        <f t="shared" si="4"/>
        <v>-1.7018769145926427E-3</v>
      </c>
      <c r="G56" s="2"/>
      <c r="H56" s="2">
        <f>SUM(OSRRefH22_3x_0)</f>
        <v>-2.67</v>
      </c>
      <c r="I56" s="2"/>
      <c r="J56" s="5">
        <f t="shared" si="5"/>
        <v>-4.0012792104621907E-5</v>
      </c>
      <c r="K56" s="2"/>
      <c r="L56" s="2">
        <f t="shared" si="6"/>
        <v>-109.97</v>
      </c>
      <c r="M56" s="2"/>
      <c r="N56" s="5">
        <f t="shared" si="7"/>
        <v>41.187265917603</v>
      </c>
      <c r="O56" s="11"/>
      <c r="P56" s="2">
        <f>SUM(OSRRefP22_3x_0)</f>
        <v>-156.21</v>
      </c>
      <c r="Q56" s="2"/>
      <c r="R56" s="5">
        <f t="shared" si="8"/>
        <v>-7.5331654589843282E-5</v>
      </c>
      <c r="S56" s="2"/>
      <c r="T56" s="2">
        <f>SUM(OSRRefT22_3x_0)</f>
        <v>16.84</v>
      </c>
      <c r="U56" s="2"/>
      <c r="V56" s="5">
        <f t="shared" si="9"/>
        <v>2.8640398772313317E-5</v>
      </c>
      <c r="W56" s="2"/>
      <c r="X56" s="2">
        <f t="shared" si="10"/>
        <v>-173.05</v>
      </c>
      <c r="Y56" s="2"/>
      <c r="Z56" s="5">
        <f t="shared" si="11"/>
        <v>-10.276128266033256</v>
      </c>
    </row>
    <row r="57" spans="1:26" s="69" customFormat="1" ht="15" hidden="1" customHeight="1" outlineLevel="2" x14ac:dyDescent="0.3">
      <c r="A57" s="21"/>
      <c r="B57" s="9" t="str">
        <f>CONCATENATE("          ","6272"," - ","CASH (OVER/SHORT)")</f>
        <v xml:space="preserve">          6272 - CASH (OVER/SHORT)</v>
      </c>
      <c r="C57" s="9"/>
      <c r="D57" s="6">
        <v>-112.64</v>
      </c>
      <c r="E57" s="3"/>
      <c r="F57" s="7">
        <f t="shared" si="4"/>
        <v>-1.7018769145926427E-3</v>
      </c>
      <c r="G57" s="3"/>
      <c r="H57" s="6">
        <v>-2.67</v>
      </c>
      <c r="I57" s="3"/>
      <c r="J57" s="7">
        <f t="shared" si="5"/>
        <v>-4.0012792104621907E-5</v>
      </c>
      <c r="K57" s="3"/>
      <c r="L57" s="6">
        <f t="shared" si="6"/>
        <v>-109.97</v>
      </c>
      <c r="M57" s="3"/>
      <c r="N57" s="7">
        <f t="shared" si="7"/>
        <v>41.187265917603</v>
      </c>
      <c r="O57" s="9"/>
      <c r="P57" s="6">
        <v>-156.21</v>
      </c>
      <c r="Q57" s="3"/>
      <c r="R57" s="7">
        <f t="shared" si="8"/>
        <v>-7.5331654589843282E-5</v>
      </c>
      <c r="S57" s="3"/>
      <c r="T57" s="6">
        <v>16.84</v>
      </c>
      <c r="U57" s="3"/>
      <c r="V57" s="7">
        <f t="shared" si="9"/>
        <v>2.8640398772313317E-5</v>
      </c>
      <c r="W57" s="3"/>
      <c r="X57" s="6">
        <f t="shared" si="10"/>
        <v>-173.05</v>
      </c>
      <c r="Y57" s="3"/>
      <c r="Z57" s="7">
        <f t="shared" si="11"/>
        <v>-10.276128266033256</v>
      </c>
    </row>
    <row r="58" spans="1:26" s="68" customFormat="1" ht="15" customHeight="1" outlineLevel="1" collapsed="1" x14ac:dyDescent="0.3">
      <c r="A58" s="20"/>
      <c r="B58" s="11" t="str">
        <f>CONCATENATE("     ","Bank/card Fees                                    ")</f>
        <v xml:space="preserve">     Bank/card Fees                                    </v>
      </c>
      <c r="C58" s="11"/>
      <c r="D58" s="2">
        <f>SUM(OSRRefD22_4x_0)</f>
        <v>2141.69</v>
      </c>
      <c r="E58" s="2"/>
      <c r="F58" s="5">
        <f t="shared" si="4"/>
        <v>3.2358778135776964E-2</v>
      </c>
      <c r="G58" s="2"/>
      <c r="H58" s="2">
        <f>SUM(OSRRefH22_4x_0)</f>
        <v>929.58</v>
      </c>
      <c r="I58" s="2"/>
      <c r="J58" s="5">
        <f t="shared" si="5"/>
        <v>1.3930745799481063E-2</v>
      </c>
      <c r="K58" s="2"/>
      <c r="L58" s="2">
        <f t="shared" si="6"/>
        <v>1212.1100000000001</v>
      </c>
      <c r="M58" s="2"/>
      <c r="N58" s="5">
        <f t="shared" si="7"/>
        <v>1.303932958970718</v>
      </c>
      <c r="O58" s="11"/>
      <c r="P58" s="2">
        <f>SUM(OSRRefP22_4x_0)</f>
        <v>76935.81</v>
      </c>
      <c r="Q58" s="2"/>
      <c r="R58" s="5">
        <f t="shared" si="8"/>
        <v>3.7101990042313619E-2</v>
      </c>
      <c r="S58" s="2"/>
      <c r="T58" s="2">
        <f>SUM(OSRRefT22_4x_0)</f>
        <v>10415.42</v>
      </c>
      <c r="U58" s="2"/>
      <c r="V58" s="5">
        <f t="shared" si="9"/>
        <v>1.7713882552323493E-2</v>
      </c>
      <c r="W58" s="2"/>
      <c r="X58" s="2">
        <f t="shared" si="10"/>
        <v>66520.39</v>
      </c>
      <c r="Y58" s="2"/>
      <c r="Z58" s="5">
        <f t="shared" si="11"/>
        <v>6.3867218028653667</v>
      </c>
    </row>
    <row r="59" spans="1:26" s="69" customFormat="1" ht="15" hidden="1" customHeight="1" outlineLevel="2" x14ac:dyDescent="0.3">
      <c r="A59" s="21"/>
      <c r="B59" s="9" t="str">
        <f>CONCATENATE("          ","6381"," - ","BANK/CREDIT CARD FEES")</f>
        <v xml:space="preserve">          6381 - BANK/CREDIT CARD FEES</v>
      </c>
      <c r="C59" s="9"/>
      <c r="D59" s="6">
        <v>2141.69</v>
      </c>
      <c r="E59" s="3"/>
      <c r="F59" s="7">
        <f t="shared" si="4"/>
        <v>3.2358778135776964E-2</v>
      </c>
      <c r="G59" s="3"/>
      <c r="H59" s="6">
        <v>929.58</v>
      </c>
      <c r="I59" s="3"/>
      <c r="J59" s="7">
        <f t="shared" si="5"/>
        <v>1.3930745799481063E-2</v>
      </c>
      <c r="K59" s="3"/>
      <c r="L59" s="6">
        <f t="shared" si="6"/>
        <v>1212.1100000000001</v>
      </c>
      <c r="M59" s="3"/>
      <c r="N59" s="7">
        <f t="shared" si="7"/>
        <v>1.303932958970718</v>
      </c>
      <c r="O59" s="9"/>
      <c r="P59" s="6">
        <v>76935.81</v>
      </c>
      <c r="Q59" s="3"/>
      <c r="R59" s="7">
        <f t="shared" si="8"/>
        <v>3.7101990042313619E-2</v>
      </c>
      <c r="S59" s="3"/>
      <c r="T59" s="6">
        <v>10415.42</v>
      </c>
      <c r="U59" s="3"/>
      <c r="V59" s="7">
        <f t="shared" si="9"/>
        <v>1.7713882552323493E-2</v>
      </c>
      <c r="W59" s="3"/>
      <c r="X59" s="6">
        <f t="shared" si="10"/>
        <v>66520.39</v>
      </c>
      <c r="Y59" s="3"/>
      <c r="Z59" s="7">
        <f t="shared" si="11"/>
        <v>6.3867218028653667</v>
      </c>
    </row>
    <row r="60" spans="1:26" s="68" customFormat="1" ht="15" customHeight="1" outlineLevel="1" collapsed="1" x14ac:dyDescent="0.3">
      <c r="A60" s="20"/>
      <c r="B60" s="11" t="str">
        <f>CONCATENATE("     ","Depreciation                                      ")</f>
        <v xml:space="preserve">     Depreciation                                      </v>
      </c>
      <c r="C60" s="11"/>
      <c r="D60" s="2">
        <f>SUM(OSRRefD22_5x_0)</f>
        <v>42889.369999999995</v>
      </c>
      <c r="E60" s="2"/>
      <c r="F60" s="5">
        <f t="shared" si="4"/>
        <v>0.64801516942846449</v>
      </c>
      <c r="G60" s="2"/>
      <c r="H60" s="2">
        <f>SUM(OSRRefH22_5x_0)</f>
        <v>38304.71</v>
      </c>
      <c r="I60" s="2"/>
      <c r="J60" s="5">
        <f t="shared" si="5"/>
        <v>0.57403685313027408</v>
      </c>
      <c r="K60" s="2"/>
      <c r="L60" s="2">
        <f t="shared" si="6"/>
        <v>4584.6599999999962</v>
      </c>
      <c r="M60" s="2"/>
      <c r="N60" s="5">
        <f t="shared" si="7"/>
        <v>0.11968919749033465</v>
      </c>
      <c r="O60" s="11"/>
      <c r="P60" s="2">
        <f>SUM(OSRRefP22_5x_0)</f>
        <v>482246.18</v>
      </c>
      <c r="Q60" s="2"/>
      <c r="R60" s="5">
        <f t="shared" si="8"/>
        <v>0.23256131271385561</v>
      </c>
      <c r="S60" s="2"/>
      <c r="T60" s="2">
        <f>SUM(OSRRefT22_5x_0)</f>
        <v>545910.83000000007</v>
      </c>
      <c r="U60" s="2"/>
      <c r="V60" s="5">
        <f t="shared" si="9"/>
        <v>0.92845034829718209</v>
      </c>
      <c r="W60" s="2"/>
      <c r="X60" s="2">
        <f t="shared" si="10"/>
        <v>-63664.650000000081</v>
      </c>
      <c r="Y60" s="2"/>
      <c r="Z60" s="5">
        <f t="shared" si="11"/>
        <v>-0.11662096903261669</v>
      </c>
    </row>
    <row r="61" spans="1:26" s="69" customFormat="1" ht="15" hidden="1" customHeight="1" outlineLevel="2" x14ac:dyDescent="0.3">
      <c r="A61" s="21"/>
      <c r="B61" s="9" t="str">
        <f>CONCATENATE("          ","6321"," - ","BUILDING DEPRECIATION")</f>
        <v xml:space="preserve">          6321 - BUILDING DEPRECIATION</v>
      </c>
      <c r="C61" s="9"/>
      <c r="D61" s="6">
        <v>28619.91</v>
      </c>
      <c r="E61" s="3"/>
      <c r="F61" s="7">
        <f t="shared" si="4"/>
        <v>0.43241800538635583</v>
      </c>
      <c r="G61" s="3"/>
      <c r="H61" s="6">
        <v>28664.01</v>
      </c>
      <c r="I61" s="3"/>
      <c r="J61" s="7">
        <f t="shared" si="5"/>
        <v>0.4295607015036717</v>
      </c>
      <c r="K61" s="3"/>
      <c r="L61" s="6">
        <f t="shared" si="6"/>
        <v>-44.099999999998545</v>
      </c>
      <c r="M61" s="3"/>
      <c r="N61" s="7">
        <f t="shared" si="7"/>
        <v>-1.5385146739761307E-3</v>
      </c>
      <c r="O61" s="9"/>
      <c r="P61" s="6">
        <v>343527.06</v>
      </c>
      <c r="Q61" s="3"/>
      <c r="R61" s="7">
        <f t="shared" si="8"/>
        <v>0.16566456581642894</v>
      </c>
      <c r="S61" s="3"/>
      <c r="T61" s="6">
        <v>344752.2</v>
      </c>
      <c r="U61" s="3"/>
      <c r="V61" s="7">
        <f t="shared" si="9"/>
        <v>0.58633257040571951</v>
      </c>
      <c r="W61" s="3"/>
      <c r="X61" s="6">
        <f t="shared" si="10"/>
        <v>-1225.140000000014</v>
      </c>
      <c r="Y61" s="3"/>
      <c r="Z61" s="7">
        <f t="shared" si="11"/>
        <v>-3.5536829061569844E-3</v>
      </c>
    </row>
    <row r="62" spans="1:26" s="69" customFormat="1" ht="15" hidden="1" customHeight="1" outlineLevel="2" x14ac:dyDescent="0.3">
      <c r="A62" s="21"/>
      <c r="B62" s="9" t="str">
        <f>CONCATENATE("          ","6322"," - ","EQUIPMENT DEPRECIATION EXPENSE")</f>
        <v xml:space="preserve">          6322 - EQUIPMENT DEPRECIATION EXPENSE</v>
      </c>
      <c r="C62" s="9"/>
      <c r="D62" s="6">
        <v>14269.46</v>
      </c>
      <c r="E62" s="3"/>
      <c r="F62" s="7">
        <f t="shared" si="4"/>
        <v>0.21559716404210874</v>
      </c>
      <c r="G62" s="3"/>
      <c r="H62" s="6">
        <v>9640.7000000000007</v>
      </c>
      <c r="I62" s="3"/>
      <c r="J62" s="7">
        <f t="shared" si="5"/>
        <v>0.14447615162660243</v>
      </c>
      <c r="K62" s="3"/>
      <c r="L62" s="6">
        <f t="shared" si="6"/>
        <v>4628.7599999999984</v>
      </c>
      <c r="M62" s="3"/>
      <c r="N62" s="7">
        <f t="shared" si="7"/>
        <v>0.48012696173514352</v>
      </c>
      <c r="O62" s="9"/>
      <c r="P62" s="6">
        <v>138719.12</v>
      </c>
      <c r="Q62" s="3"/>
      <c r="R62" s="7">
        <f t="shared" si="8"/>
        <v>6.6896746897426668E-2</v>
      </c>
      <c r="S62" s="3"/>
      <c r="T62" s="6">
        <v>201158.63</v>
      </c>
      <c r="U62" s="3"/>
      <c r="V62" s="7">
        <f t="shared" si="9"/>
        <v>0.34211777789146253</v>
      </c>
      <c r="W62" s="3"/>
      <c r="X62" s="6">
        <f t="shared" si="10"/>
        <v>-62439.510000000009</v>
      </c>
      <c r="Y62" s="3"/>
      <c r="Z62" s="7">
        <f t="shared" si="11"/>
        <v>-0.31039935994791779</v>
      </c>
    </row>
    <row r="63" spans="1:26" s="68" customFormat="1" ht="15" customHeight="1" outlineLevel="1" collapsed="1" x14ac:dyDescent="0.3">
      <c r="A63" s="20"/>
      <c r="B63" s="11" t="str">
        <f>CONCATENATE("     ","Employees' Appreciation                           ")</f>
        <v xml:space="preserve">     Employees' Appreciation                           </v>
      </c>
      <c r="C63" s="11"/>
      <c r="D63" s="2">
        <f>SUM(OSRRefD22_6x_0)</f>
        <v>0</v>
      </c>
      <c r="E63" s="2"/>
      <c r="F63" s="5">
        <f t="shared" si="4"/>
        <v>0</v>
      </c>
      <c r="G63" s="2"/>
      <c r="H63" s="2">
        <f>SUM(OSRRefH22_6x_0)</f>
        <v>0</v>
      </c>
      <c r="I63" s="2"/>
      <c r="J63" s="5">
        <f t="shared" si="5"/>
        <v>0</v>
      </c>
      <c r="K63" s="2"/>
      <c r="L63" s="2">
        <f t="shared" si="6"/>
        <v>0</v>
      </c>
      <c r="M63" s="2"/>
      <c r="N63" s="5">
        <f t="shared" si="7"/>
        <v>0</v>
      </c>
      <c r="O63" s="11"/>
      <c r="P63" s="2">
        <f>SUM(OSRRefP22_6x_0)</f>
        <v>392.52</v>
      </c>
      <c r="Q63" s="2"/>
      <c r="R63" s="5">
        <f t="shared" si="8"/>
        <v>1.8929121733311108E-4</v>
      </c>
      <c r="S63" s="2"/>
      <c r="T63" s="2">
        <f>SUM(OSRRefT22_6x_0)</f>
        <v>10</v>
      </c>
      <c r="U63" s="2"/>
      <c r="V63" s="5">
        <f t="shared" si="9"/>
        <v>1.7007362691397459E-5</v>
      </c>
      <c r="W63" s="2"/>
      <c r="X63" s="2">
        <f t="shared" si="10"/>
        <v>382.52</v>
      </c>
      <c r="Y63" s="2"/>
      <c r="Z63" s="5">
        <f t="shared" si="11"/>
        <v>38.251999999999995</v>
      </c>
    </row>
    <row r="64" spans="1:26" s="69" customFormat="1" ht="15" hidden="1" customHeight="1" outlineLevel="2" x14ac:dyDescent="0.3">
      <c r="A64" s="21"/>
      <c r="B64" s="9" t="str">
        <f>CONCATENATE("          ","6277"," - ","EMPLOYEE APPRECIATION")</f>
        <v xml:space="preserve">          6277 - EMPLOYEE APPRECIATION</v>
      </c>
      <c r="C64" s="9"/>
      <c r="D64" s="6"/>
      <c r="E64" s="3"/>
      <c r="F64" s="7">
        <f t="shared" si="4"/>
        <v>0</v>
      </c>
      <c r="G64" s="3"/>
      <c r="H64" s="6"/>
      <c r="I64" s="3"/>
      <c r="J64" s="7">
        <f t="shared" si="5"/>
        <v>0</v>
      </c>
      <c r="K64" s="3"/>
      <c r="L64" s="6">
        <f t="shared" si="6"/>
        <v>0</v>
      </c>
      <c r="M64" s="3"/>
      <c r="N64" s="7">
        <f t="shared" si="7"/>
        <v>0</v>
      </c>
      <c r="O64" s="9"/>
      <c r="P64" s="6">
        <v>392.52</v>
      </c>
      <c r="Q64" s="3"/>
      <c r="R64" s="7">
        <f t="shared" si="8"/>
        <v>1.8929121733311108E-4</v>
      </c>
      <c r="S64" s="3"/>
      <c r="T64" s="6">
        <v>10</v>
      </c>
      <c r="U64" s="3"/>
      <c r="V64" s="7">
        <f t="shared" si="9"/>
        <v>1.7007362691397459E-5</v>
      </c>
      <c r="W64" s="3"/>
      <c r="X64" s="6">
        <f t="shared" si="10"/>
        <v>382.52</v>
      </c>
      <c r="Y64" s="3"/>
      <c r="Z64" s="7">
        <f t="shared" si="11"/>
        <v>38.251999999999995</v>
      </c>
    </row>
    <row r="65" spans="1:26" s="68" customFormat="1" ht="15" customHeight="1" outlineLevel="1" collapsed="1" x14ac:dyDescent="0.3">
      <c r="A65" s="20"/>
      <c r="B65" s="11" t="str">
        <f>CONCATENATE("     ","Equipment Rental                                  ")</f>
        <v xml:space="preserve">     Equipment Rental                                  </v>
      </c>
      <c r="C65" s="11"/>
      <c r="D65" s="2">
        <f>SUM(OSRRefD22_7x_0)</f>
        <v>989.52</v>
      </c>
      <c r="E65" s="2"/>
      <c r="F65" s="5">
        <f t="shared" si="4"/>
        <v>1.4950650253264487E-2</v>
      </c>
      <c r="G65" s="2"/>
      <c r="H65" s="2">
        <f>SUM(OSRRefH22_7x_0)</f>
        <v>1075.32</v>
      </c>
      <c r="I65" s="2"/>
      <c r="J65" s="5">
        <f t="shared" si="5"/>
        <v>1.6114814833686153E-2</v>
      </c>
      <c r="K65" s="2"/>
      <c r="L65" s="2">
        <f t="shared" si="6"/>
        <v>-85.799999999999955</v>
      </c>
      <c r="M65" s="2"/>
      <c r="N65" s="5">
        <f t="shared" si="7"/>
        <v>-7.9790201986385409E-2</v>
      </c>
      <c r="O65" s="11"/>
      <c r="P65" s="2">
        <f>SUM(OSRRefP22_7x_0)</f>
        <v>11967.82</v>
      </c>
      <c r="Q65" s="2"/>
      <c r="R65" s="5">
        <f t="shared" si="8"/>
        <v>5.7714338546406641E-3</v>
      </c>
      <c r="S65" s="2"/>
      <c r="T65" s="2">
        <f>SUM(OSRRefT22_7x_0)</f>
        <v>8209.1</v>
      </c>
      <c r="U65" s="2"/>
      <c r="V65" s="5">
        <f t="shared" si="9"/>
        <v>1.3961514106995088E-2</v>
      </c>
      <c r="W65" s="2"/>
      <c r="X65" s="2">
        <f t="shared" si="10"/>
        <v>3758.7199999999993</v>
      </c>
      <c r="Y65" s="2"/>
      <c r="Z65" s="5">
        <f t="shared" si="11"/>
        <v>0.45787236116017582</v>
      </c>
    </row>
    <row r="66" spans="1:26" s="69" customFormat="1" ht="15" hidden="1" customHeight="1" outlineLevel="2" x14ac:dyDescent="0.3">
      <c r="A66" s="21"/>
      <c r="B66" s="9" t="str">
        <f>CONCATENATE("          ","6351"," - ","EQUIPMENT RENTAL")</f>
        <v xml:space="preserve">          6351 - EQUIPMENT RENTAL</v>
      </c>
      <c r="C66" s="9"/>
      <c r="D66" s="6">
        <v>989.52</v>
      </c>
      <c r="E66" s="3"/>
      <c r="F66" s="7">
        <f t="shared" si="4"/>
        <v>1.4950650253264487E-2</v>
      </c>
      <c r="G66" s="3"/>
      <c r="H66" s="6">
        <v>1075.32</v>
      </c>
      <c r="I66" s="3"/>
      <c r="J66" s="7">
        <f t="shared" si="5"/>
        <v>1.6114814833686153E-2</v>
      </c>
      <c r="K66" s="3"/>
      <c r="L66" s="6">
        <f t="shared" si="6"/>
        <v>-85.799999999999955</v>
      </c>
      <c r="M66" s="3"/>
      <c r="N66" s="7">
        <f t="shared" si="7"/>
        <v>-7.9790201986385409E-2</v>
      </c>
      <c r="O66" s="9"/>
      <c r="P66" s="6">
        <v>11967.82</v>
      </c>
      <c r="Q66" s="3"/>
      <c r="R66" s="7">
        <f t="shared" si="8"/>
        <v>5.7714338546406641E-3</v>
      </c>
      <c r="S66" s="3"/>
      <c r="T66" s="6">
        <v>8209.1</v>
      </c>
      <c r="U66" s="3"/>
      <c r="V66" s="7">
        <f t="shared" si="9"/>
        <v>1.3961514106995088E-2</v>
      </c>
      <c r="W66" s="3"/>
      <c r="X66" s="6">
        <f t="shared" si="10"/>
        <v>3758.7199999999993</v>
      </c>
      <c r="Y66" s="3"/>
      <c r="Z66" s="7">
        <f t="shared" si="11"/>
        <v>0.45787236116017582</v>
      </c>
    </row>
    <row r="67" spans="1:26" s="68" customFormat="1" ht="15" customHeight="1" outlineLevel="1" collapsed="1" x14ac:dyDescent="0.3">
      <c r="A67" s="20"/>
      <c r="B67" s="11" t="str">
        <f>CONCATENATE("     ","Freight out/Postage                               ")</f>
        <v xml:space="preserve">     Freight out/Postage                               </v>
      </c>
      <c r="C67" s="11"/>
      <c r="D67" s="2">
        <f>SUM(OSRRefD22_8x_0)</f>
        <v>0</v>
      </c>
      <c r="E67" s="2"/>
      <c r="F67" s="5">
        <f t="shared" ref="F67:F98" si="12">IF(D$12=0,0,D67/D$12)</f>
        <v>0</v>
      </c>
      <c r="G67" s="2"/>
      <c r="H67" s="2">
        <f>SUM(OSRRefH22_8x_0)</f>
        <v>0</v>
      </c>
      <c r="I67" s="2"/>
      <c r="J67" s="5">
        <f t="shared" ref="J67:J98" si="13">IF(H$12=0,0,H67/H$12)</f>
        <v>0</v>
      </c>
      <c r="K67" s="2"/>
      <c r="L67" s="2">
        <f t="shared" ref="L67:L98" si="14">+D67-H67</f>
        <v>0</v>
      </c>
      <c r="M67" s="2"/>
      <c r="N67" s="5">
        <f t="shared" ref="N67:N98" si="15">IF(H67=0,0,L67/H67)</f>
        <v>0</v>
      </c>
      <c r="O67" s="11"/>
      <c r="P67" s="2">
        <f>SUM(OSRRefP22_8x_0)</f>
        <v>0</v>
      </c>
      <c r="Q67" s="2"/>
      <c r="R67" s="5">
        <f t="shared" ref="R67:R98" si="16">IF(P$12=0,0,P67/P$12)</f>
        <v>0</v>
      </c>
      <c r="S67" s="2"/>
      <c r="T67" s="2">
        <f>SUM(OSRRefT22_8x_0)</f>
        <v>277.65000000000003</v>
      </c>
      <c r="U67" s="2"/>
      <c r="V67" s="5">
        <f t="shared" ref="V67:V98" si="17">IF(T$12=0,0,T67/T$12)</f>
        <v>4.7220942512665048E-4</v>
      </c>
      <c r="W67" s="2"/>
      <c r="X67" s="2">
        <f t="shared" ref="X67:X98" si="18">+P67-T67</f>
        <v>-277.65000000000003</v>
      </c>
      <c r="Y67" s="2"/>
      <c r="Z67" s="5">
        <f t="shared" ref="Z67:Z98" si="19">IF(T67=0,0,X67/T67)</f>
        <v>-1</v>
      </c>
    </row>
    <row r="68" spans="1:26" s="69" customFormat="1" ht="15" hidden="1" customHeight="1" outlineLevel="2" x14ac:dyDescent="0.3">
      <c r="A68" s="21"/>
      <c r="B68" s="9" t="str">
        <f>CONCATENATE("          ","6305"," - ","FREIGHT OUT")</f>
        <v xml:space="preserve">          6305 - FREIGHT OUT</v>
      </c>
      <c r="C68" s="9"/>
      <c r="D68" s="6"/>
      <c r="E68" s="3"/>
      <c r="F68" s="7">
        <f t="shared" si="12"/>
        <v>0</v>
      </c>
      <c r="G68" s="3"/>
      <c r="H68" s="6"/>
      <c r="I68" s="3"/>
      <c r="J68" s="7">
        <f t="shared" si="13"/>
        <v>0</v>
      </c>
      <c r="K68" s="3"/>
      <c r="L68" s="6">
        <f t="shared" si="14"/>
        <v>0</v>
      </c>
      <c r="M68" s="3"/>
      <c r="N68" s="7">
        <f t="shared" si="15"/>
        <v>0</v>
      </c>
      <c r="O68" s="9"/>
      <c r="P68" s="6"/>
      <c r="Q68" s="3"/>
      <c r="R68" s="7">
        <f t="shared" si="16"/>
        <v>0</v>
      </c>
      <c r="S68" s="3"/>
      <c r="T68" s="6">
        <v>280.10000000000002</v>
      </c>
      <c r="U68" s="3"/>
      <c r="V68" s="7">
        <f t="shared" si="17"/>
        <v>4.7637622898604284E-4</v>
      </c>
      <c r="W68" s="3"/>
      <c r="X68" s="6">
        <f t="shared" si="18"/>
        <v>-280.10000000000002</v>
      </c>
      <c r="Y68" s="3"/>
      <c r="Z68" s="7">
        <f t="shared" si="19"/>
        <v>-1</v>
      </c>
    </row>
    <row r="69" spans="1:26" s="69" customFormat="1" ht="15" hidden="1" customHeight="1" outlineLevel="2" x14ac:dyDescent="0.3">
      <c r="A69" s="21"/>
      <c r="B69" s="9" t="str">
        <f>CONCATENATE("          ","6307"," - ","POSTAGE")</f>
        <v xml:space="preserve">          6307 - POSTAGE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/>
      <c r="Q69" s="3"/>
      <c r="R69" s="7">
        <f t="shared" si="16"/>
        <v>0</v>
      </c>
      <c r="S69" s="3"/>
      <c r="T69" s="6">
        <v>-2.4500000000000002</v>
      </c>
      <c r="U69" s="3"/>
      <c r="V69" s="7">
        <f t="shared" si="17"/>
        <v>-4.1668038593923772E-6</v>
      </c>
      <c r="W69" s="3"/>
      <c r="X69" s="6">
        <f t="shared" si="18"/>
        <v>2.4500000000000002</v>
      </c>
      <c r="Y69" s="3"/>
      <c r="Z69" s="7">
        <f t="shared" si="19"/>
        <v>-1</v>
      </c>
    </row>
    <row r="70" spans="1:26" s="68" customFormat="1" ht="15" customHeight="1" outlineLevel="1" collapsed="1" x14ac:dyDescent="0.3">
      <c r="A70" s="20"/>
      <c r="B70" s="11" t="str">
        <f>CONCATENATE("     ","General                                           ")</f>
        <v xml:space="preserve">     General                                           </v>
      </c>
      <c r="C70" s="11"/>
      <c r="D70" s="2">
        <f>SUM(OSRRefD22_9x_0)</f>
        <v>5629.56</v>
      </c>
      <c r="E70" s="2"/>
      <c r="F70" s="5">
        <f t="shared" si="12"/>
        <v>8.5056979787945297E-2</v>
      </c>
      <c r="G70" s="2"/>
      <c r="H70" s="2">
        <f>SUM(OSRRefH22_9x_0)</f>
        <v>0</v>
      </c>
      <c r="I70" s="2"/>
      <c r="J70" s="5">
        <f t="shared" si="13"/>
        <v>0</v>
      </c>
      <c r="K70" s="2"/>
      <c r="L70" s="2">
        <f t="shared" si="14"/>
        <v>5629.56</v>
      </c>
      <c r="M70" s="2"/>
      <c r="N70" s="5">
        <f t="shared" si="15"/>
        <v>0</v>
      </c>
      <c r="O70" s="11"/>
      <c r="P70" s="2">
        <f>SUM(OSRRefP22_9x_0)</f>
        <v>56602.34</v>
      </c>
      <c r="Q70" s="2"/>
      <c r="R70" s="5">
        <f t="shared" si="16"/>
        <v>2.7296254566653029E-2</v>
      </c>
      <c r="S70" s="2"/>
      <c r="T70" s="2">
        <f>SUM(OSRRefT22_9x_0)</f>
        <v>10538.97</v>
      </c>
      <c r="U70" s="2"/>
      <c r="V70" s="5">
        <f t="shared" si="17"/>
        <v>1.7924008518375705E-2</v>
      </c>
      <c r="W70" s="2"/>
      <c r="X70" s="2">
        <f t="shared" si="18"/>
        <v>46063.369999999995</v>
      </c>
      <c r="Y70" s="2"/>
      <c r="Z70" s="5">
        <f t="shared" si="19"/>
        <v>4.3707658338528335</v>
      </c>
    </row>
    <row r="71" spans="1:26" s="69" customFormat="1" ht="15" hidden="1" customHeight="1" outlineLevel="2" x14ac:dyDescent="0.3">
      <c r="A71" s="21"/>
      <c r="B71" s="9" t="str">
        <f>CONCATENATE("          ","6279"," - ","GENERAL EXPENSE")</f>
        <v xml:space="preserve">          6279 - GENERAL EXPENSE</v>
      </c>
      <c r="C71" s="9"/>
      <c r="D71" s="6">
        <v>5629.56</v>
      </c>
      <c r="E71" s="3"/>
      <c r="F71" s="7">
        <f t="shared" si="12"/>
        <v>8.5056979787945297E-2</v>
      </c>
      <c r="G71" s="3"/>
      <c r="H71" s="6"/>
      <c r="I71" s="3"/>
      <c r="J71" s="7">
        <f t="shared" si="13"/>
        <v>0</v>
      </c>
      <c r="K71" s="3"/>
      <c r="L71" s="6">
        <f t="shared" si="14"/>
        <v>5629.56</v>
      </c>
      <c r="M71" s="3"/>
      <c r="N71" s="7">
        <f t="shared" si="15"/>
        <v>0</v>
      </c>
      <c r="O71" s="9"/>
      <c r="P71" s="6">
        <v>56602.34</v>
      </c>
      <c r="Q71" s="3"/>
      <c r="R71" s="7">
        <f t="shared" si="16"/>
        <v>2.7296254566653029E-2</v>
      </c>
      <c r="S71" s="3"/>
      <c r="T71" s="6">
        <v>10538.97</v>
      </c>
      <c r="U71" s="3"/>
      <c r="V71" s="7">
        <f t="shared" si="17"/>
        <v>1.7924008518375705E-2</v>
      </c>
      <c r="W71" s="3"/>
      <c r="X71" s="6">
        <f t="shared" si="18"/>
        <v>46063.369999999995</v>
      </c>
      <c r="Y71" s="3"/>
      <c r="Z71" s="7">
        <f t="shared" si="19"/>
        <v>4.3707658338528335</v>
      </c>
    </row>
    <row r="72" spans="1:26" s="68" customFormat="1" ht="15" customHeight="1" outlineLevel="1" collapsed="1" x14ac:dyDescent="0.3">
      <c r="A72" s="20"/>
      <c r="B72" s="11" t="str">
        <f>CONCATENATE("     ","Insurance                                         ")</f>
        <v xml:space="preserve">     Insurance                                         </v>
      </c>
      <c r="C72" s="11"/>
      <c r="D72" s="2">
        <f>SUM(OSRRefD22_10x_0)</f>
        <v>-1873.89</v>
      </c>
      <c r="E72" s="2"/>
      <c r="F72" s="5">
        <f t="shared" si="12"/>
        <v>-2.8312589945720945E-2</v>
      </c>
      <c r="G72" s="2"/>
      <c r="H72" s="2">
        <f>SUM(OSRRefH22_10x_0)</f>
        <v>9577.66</v>
      </c>
      <c r="I72" s="2"/>
      <c r="J72" s="5">
        <f t="shared" si="13"/>
        <v>0.1435314301231285</v>
      </c>
      <c r="K72" s="2"/>
      <c r="L72" s="2">
        <f t="shared" si="14"/>
        <v>-11451.55</v>
      </c>
      <c r="M72" s="2"/>
      <c r="N72" s="5">
        <f t="shared" si="15"/>
        <v>-1.1956521739130435</v>
      </c>
      <c r="O72" s="11"/>
      <c r="P72" s="2">
        <f>SUM(OSRRefP22_10x_0)</f>
        <v>71968.53</v>
      </c>
      <c r="Q72" s="2"/>
      <c r="R72" s="5">
        <f t="shared" si="16"/>
        <v>3.4706538911073385E-2</v>
      </c>
      <c r="S72" s="2"/>
      <c r="T72" s="2">
        <f>SUM(OSRRefT22_10x_0)</f>
        <v>65010.03</v>
      </c>
      <c r="U72" s="2"/>
      <c r="V72" s="5">
        <f t="shared" si="17"/>
        <v>0.11056491587886294</v>
      </c>
      <c r="W72" s="2"/>
      <c r="X72" s="2">
        <f t="shared" si="18"/>
        <v>6958.5</v>
      </c>
      <c r="Y72" s="2"/>
      <c r="Z72" s="5">
        <f t="shared" si="19"/>
        <v>0.10703732947054478</v>
      </c>
    </row>
    <row r="73" spans="1:26" s="69" customFormat="1" ht="15" hidden="1" customHeight="1" outlineLevel="2" x14ac:dyDescent="0.3">
      <c r="A73" s="21"/>
      <c r="B73" s="9" t="str">
        <f>CONCATENATE("          ","6314"," - ","LIABILITY INSURANCE")</f>
        <v xml:space="preserve">          6314 - LIABILITY INSURANCE</v>
      </c>
      <c r="C73" s="9"/>
      <c r="D73" s="6">
        <v>-1873.89</v>
      </c>
      <c r="E73" s="3"/>
      <c r="F73" s="7">
        <f t="shared" si="12"/>
        <v>-2.8312589945720945E-2</v>
      </c>
      <c r="G73" s="3"/>
      <c r="H73" s="6">
        <v>9577.66</v>
      </c>
      <c r="I73" s="3"/>
      <c r="J73" s="7">
        <f t="shared" si="13"/>
        <v>0.1435314301231285</v>
      </c>
      <c r="K73" s="3"/>
      <c r="L73" s="6">
        <f t="shared" si="14"/>
        <v>-11451.55</v>
      </c>
      <c r="M73" s="3"/>
      <c r="N73" s="7">
        <f t="shared" si="15"/>
        <v>-1.1956521739130435</v>
      </c>
      <c r="O73" s="9"/>
      <c r="P73" s="6">
        <v>71968.53</v>
      </c>
      <c r="Q73" s="3"/>
      <c r="R73" s="7">
        <f t="shared" si="16"/>
        <v>3.4706538911073385E-2</v>
      </c>
      <c r="S73" s="3"/>
      <c r="T73" s="6">
        <v>65010.03</v>
      </c>
      <c r="U73" s="3"/>
      <c r="V73" s="7">
        <f t="shared" si="17"/>
        <v>0.11056491587886294</v>
      </c>
      <c r="W73" s="3"/>
      <c r="X73" s="6">
        <f t="shared" si="18"/>
        <v>6958.5</v>
      </c>
      <c r="Y73" s="3"/>
      <c r="Z73" s="7">
        <f t="shared" si="19"/>
        <v>0.10703732947054478</v>
      </c>
    </row>
    <row r="74" spans="1:26" s="68" customFormat="1" ht="15" customHeight="1" outlineLevel="1" collapsed="1" x14ac:dyDescent="0.3">
      <c r="A74" s="20"/>
      <c r="B74" s="11" t="str">
        <f>CONCATENATE("     ","Interest                                          ")</f>
        <v xml:space="preserve">     Interest                                          </v>
      </c>
      <c r="C74" s="11"/>
      <c r="D74" s="2">
        <f>SUM(OSRRefD22_11x_0)</f>
        <v>11158</v>
      </c>
      <c r="E74" s="2"/>
      <c r="F74" s="5">
        <f t="shared" si="12"/>
        <v>0.16858613825483582</v>
      </c>
      <c r="G74" s="2"/>
      <c r="H74" s="2">
        <f>SUM(OSRRefH22_11x_0)</f>
        <v>-1254.77</v>
      </c>
      <c r="I74" s="2"/>
      <c r="J74" s="5">
        <f t="shared" si="13"/>
        <v>-1.8804064100792672E-2</v>
      </c>
      <c r="K74" s="2"/>
      <c r="L74" s="2">
        <f t="shared" si="14"/>
        <v>12412.77</v>
      </c>
      <c r="M74" s="2"/>
      <c r="N74" s="5">
        <f t="shared" si="15"/>
        <v>-9.8924663484144517</v>
      </c>
      <c r="O74" s="11"/>
      <c r="P74" s="2">
        <f>SUM(OSRRefP22_11x_0)</f>
        <v>130608</v>
      </c>
      <c r="Q74" s="2"/>
      <c r="R74" s="5">
        <f t="shared" si="16"/>
        <v>6.2985191362078294E-2</v>
      </c>
      <c r="S74" s="2"/>
      <c r="T74" s="2">
        <f>SUM(OSRRefT22_11x_0)</f>
        <v>122716.23</v>
      </c>
      <c r="U74" s="2"/>
      <c r="V74" s="5">
        <f t="shared" si="17"/>
        <v>0.20870794317309493</v>
      </c>
      <c r="W74" s="2"/>
      <c r="X74" s="2">
        <f t="shared" si="18"/>
        <v>7891.7700000000041</v>
      </c>
      <c r="Y74" s="2"/>
      <c r="Z74" s="5">
        <f t="shared" si="19"/>
        <v>6.4309097500795165E-2</v>
      </c>
    </row>
    <row r="75" spans="1:26" s="69" customFormat="1" ht="15" hidden="1" customHeight="1" outlineLevel="2" x14ac:dyDescent="0.3">
      <c r="A75" s="21"/>
      <c r="B75" s="9" t="str">
        <f>CONCATENATE("          ","6401"," - ","INTEREST EXPENSE")</f>
        <v xml:space="preserve">          6401 - INTEREST EXPENSE</v>
      </c>
      <c r="C75" s="9"/>
      <c r="D75" s="6">
        <v>11158</v>
      </c>
      <c r="E75" s="3"/>
      <c r="F75" s="7">
        <f t="shared" si="12"/>
        <v>0.16858613825483582</v>
      </c>
      <c r="G75" s="3"/>
      <c r="H75" s="6">
        <v>-1254.77</v>
      </c>
      <c r="I75" s="3"/>
      <c r="J75" s="7">
        <f t="shared" si="13"/>
        <v>-1.8804064100792672E-2</v>
      </c>
      <c r="K75" s="3"/>
      <c r="L75" s="6">
        <f t="shared" si="14"/>
        <v>12412.77</v>
      </c>
      <c r="M75" s="3"/>
      <c r="N75" s="7">
        <f t="shared" si="15"/>
        <v>-9.8924663484144517</v>
      </c>
      <c r="O75" s="9"/>
      <c r="P75" s="6">
        <v>130608</v>
      </c>
      <c r="Q75" s="3"/>
      <c r="R75" s="7">
        <f t="shared" si="16"/>
        <v>6.2985191362078294E-2</v>
      </c>
      <c r="S75" s="3"/>
      <c r="T75" s="6">
        <v>122716.23</v>
      </c>
      <c r="U75" s="3"/>
      <c r="V75" s="7">
        <f t="shared" si="17"/>
        <v>0.20870794317309493</v>
      </c>
      <c r="W75" s="3"/>
      <c r="X75" s="6">
        <f t="shared" si="18"/>
        <v>7891.7700000000041</v>
      </c>
      <c r="Y75" s="3"/>
      <c r="Z75" s="7">
        <f t="shared" si="19"/>
        <v>6.4309097500795165E-2</v>
      </c>
    </row>
    <row r="76" spans="1:26" s="68" customFormat="1" ht="15" customHeight="1" outlineLevel="1" collapsed="1" x14ac:dyDescent="0.3">
      <c r="A76" s="20"/>
      <c r="B76" s="11" t="str">
        <f>CONCATENATE("     ","Professional Services                             ")</f>
        <v xml:space="preserve">     Professional Services                             </v>
      </c>
      <c r="C76" s="11"/>
      <c r="D76" s="2">
        <f>SUM(OSRRefD22_12x_0)</f>
        <v>0</v>
      </c>
      <c r="E76" s="2"/>
      <c r="F76" s="5">
        <f t="shared" si="12"/>
        <v>0</v>
      </c>
      <c r="G76" s="2"/>
      <c r="H76" s="2">
        <f>SUM(OSRRefH22_12x_0)</f>
        <v>0</v>
      </c>
      <c r="I76" s="2"/>
      <c r="J76" s="5">
        <f t="shared" si="13"/>
        <v>0</v>
      </c>
      <c r="K76" s="2"/>
      <c r="L76" s="2">
        <f t="shared" si="14"/>
        <v>0</v>
      </c>
      <c r="M76" s="2"/>
      <c r="N76" s="5">
        <f t="shared" si="15"/>
        <v>0</v>
      </c>
      <c r="O76" s="11"/>
      <c r="P76" s="2">
        <f>SUM(OSRRefP22_12x_0)</f>
        <v>511.58</v>
      </c>
      <c r="Q76" s="2"/>
      <c r="R76" s="5">
        <f t="shared" si="16"/>
        <v>2.4670743137489293E-4</v>
      </c>
      <c r="S76" s="2"/>
      <c r="T76" s="2">
        <f>SUM(OSRRefT22_12x_0)</f>
        <v>0</v>
      </c>
      <c r="U76" s="2"/>
      <c r="V76" s="5">
        <f t="shared" si="17"/>
        <v>0</v>
      </c>
      <c r="W76" s="2"/>
      <c r="X76" s="2">
        <f t="shared" si="18"/>
        <v>511.58</v>
      </c>
      <c r="Y76" s="2"/>
      <c r="Z76" s="5">
        <f t="shared" si="19"/>
        <v>0</v>
      </c>
    </row>
    <row r="77" spans="1:26" s="69" customFormat="1" ht="15" hidden="1" customHeight="1" outlineLevel="2" x14ac:dyDescent="0.3">
      <c r="A77" s="21"/>
      <c r="B77" s="9" t="str">
        <f>CONCATENATE("          ","6336"," - ","PROFESSIONAL SERVICES")</f>
        <v xml:space="preserve">          6336 - PROFESSIONAL SERVICES</v>
      </c>
      <c r="C77" s="9"/>
      <c r="D77" s="6"/>
      <c r="E77" s="3"/>
      <c r="F77" s="7">
        <f t="shared" si="12"/>
        <v>0</v>
      </c>
      <c r="G77" s="3"/>
      <c r="H77" s="6"/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>
        <v>511.58</v>
      </c>
      <c r="Q77" s="3"/>
      <c r="R77" s="7">
        <f t="shared" si="16"/>
        <v>2.4670743137489293E-4</v>
      </c>
      <c r="S77" s="3"/>
      <c r="T77" s="6"/>
      <c r="U77" s="3"/>
      <c r="V77" s="7">
        <f t="shared" si="17"/>
        <v>0</v>
      </c>
      <c r="W77" s="3"/>
      <c r="X77" s="6">
        <f t="shared" si="18"/>
        <v>511.58</v>
      </c>
      <c r="Y77" s="3"/>
      <c r="Z77" s="7">
        <f t="shared" si="19"/>
        <v>0</v>
      </c>
    </row>
    <row r="78" spans="1:26" s="68" customFormat="1" ht="15" customHeight="1" outlineLevel="1" collapsed="1" x14ac:dyDescent="0.3">
      <c r="A78" s="20"/>
      <c r="B78" s="11" t="str">
        <f>CONCATENATE("     ","Rent                                              ")</f>
        <v xml:space="preserve">     Rent                                              </v>
      </c>
      <c r="C78" s="11"/>
      <c r="D78" s="2">
        <f>SUM(OSRRefD22_13x_0)</f>
        <v>1850</v>
      </c>
      <c r="E78" s="2"/>
      <c r="F78" s="5">
        <f t="shared" si="12"/>
        <v>2.7951636115024759E-2</v>
      </c>
      <c r="G78" s="2"/>
      <c r="H78" s="2">
        <f>SUM(OSRRefH22_13x_0)</f>
        <v>7400</v>
      </c>
      <c r="I78" s="2"/>
      <c r="J78" s="5">
        <f t="shared" si="13"/>
        <v>0.1108968769940832</v>
      </c>
      <c r="K78" s="2"/>
      <c r="L78" s="2">
        <f t="shared" si="14"/>
        <v>-5550</v>
      </c>
      <c r="M78" s="2"/>
      <c r="N78" s="5">
        <f t="shared" si="15"/>
        <v>-0.75</v>
      </c>
      <c r="O78" s="11"/>
      <c r="P78" s="2">
        <f>SUM(OSRRefP22_13x_0)</f>
        <v>22200</v>
      </c>
      <c r="Q78" s="2"/>
      <c r="R78" s="5">
        <f t="shared" si="16"/>
        <v>1.0705862184844253E-2</v>
      </c>
      <c r="S78" s="2"/>
      <c r="T78" s="2">
        <f>SUM(OSRRefT22_13x_0)</f>
        <v>22200</v>
      </c>
      <c r="U78" s="2"/>
      <c r="V78" s="5">
        <f t="shared" si="17"/>
        <v>3.7756345174902353E-2</v>
      </c>
      <c r="W78" s="2"/>
      <c r="X78" s="2">
        <f t="shared" si="18"/>
        <v>0</v>
      </c>
      <c r="Y78" s="2"/>
      <c r="Z78" s="5">
        <f t="shared" si="19"/>
        <v>0</v>
      </c>
    </row>
    <row r="79" spans="1:26" s="69" customFormat="1" ht="15" hidden="1" customHeight="1" outlineLevel="2" x14ac:dyDescent="0.3">
      <c r="A79" s="21"/>
      <c r="B79" s="9" t="str">
        <f>CONCATENATE("          ","6273"," - ","RENT")</f>
        <v xml:space="preserve">          6273 - RENT</v>
      </c>
      <c r="C79" s="9"/>
      <c r="D79" s="6">
        <v>1850</v>
      </c>
      <c r="E79" s="3"/>
      <c r="F79" s="7">
        <f t="shared" si="12"/>
        <v>2.7951636115024759E-2</v>
      </c>
      <c r="G79" s="3"/>
      <c r="H79" s="6">
        <v>7400</v>
      </c>
      <c r="I79" s="3"/>
      <c r="J79" s="7">
        <f t="shared" si="13"/>
        <v>0.1108968769940832</v>
      </c>
      <c r="K79" s="3"/>
      <c r="L79" s="6">
        <f t="shared" si="14"/>
        <v>-5550</v>
      </c>
      <c r="M79" s="3"/>
      <c r="N79" s="7">
        <f t="shared" si="15"/>
        <v>-0.75</v>
      </c>
      <c r="O79" s="9"/>
      <c r="P79" s="6">
        <v>22200</v>
      </c>
      <c r="Q79" s="3"/>
      <c r="R79" s="7">
        <f t="shared" si="16"/>
        <v>1.0705862184844253E-2</v>
      </c>
      <c r="S79" s="3"/>
      <c r="T79" s="6">
        <v>22200</v>
      </c>
      <c r="U79" s="3"/>
      <c r="V79" s="7">
        <f t="shared" si="17"/>
        <v>3.7756345174902353E-2</v>
      </c>
      <c r="W79" s="3"/>
      <c r="X79" s="6">
        <f t="shared" si="18"/>
        <v>0</v>
      </c>
      <c r="Y79" s="3"/>
      <c r="Z79" s="7">
        <f t="shared" si="19"/>
        <v>0</v>
      </c>
    </row>
    <row r="80" spans="1:26" s="68" customFormat="1" ht="15" customHeight="1" outlineLevel="1" collapsed="1" x14ac:dyDescent="0.3">
      <c r="A80" s="20"/>
      <c r="B80" s="11" t="str">
        <f>CONCATENATE("     ","Repair and Maintenance                            ")</f>
        <v xml:space="preserve">     Repair and Maintenance                            </v>
      </c>
      <c r="C80" s="11"/>
      <c r="D80" s="2">
        <f>SUM(OSRRefD22_14x_0)</f>
        <v>40629.61</v>
      </c>
      <c r="E80" s="2"/>
      <c r="F80" s="5">
        <f t="shared" si="12"/>
        <v>0.61387247254884925</v>
      </c>
      <c r="G80" s="2"/>
      <c r="H80" s="2">
        <f>SUM(OSRRefH22_14x_0)</f>
        <v>29773.040000000001</v>
      </c>
      <c r="I80" s="2"/>
      <c r="J80" s="5">
        <f t="shared" si="13"/>
        <v>0.44618069657025933</v>
      </c>
      <c r="K80" s="2"/>
      <c r="L80" s="2">
        <f t="shared" si="14"/>
        <v>10856.57</v>
      </c>
      <c r="M80" s="2"/>
      <c r="N80" s="5">
        <f t="shared" si="15"/>
        <v>0.36464432251459705</v>
      </c>
      <c r="O80" s="11"/>
      <c r="P80" s="2">
        <f>SUM(OSRRefP22_14x_0)</f>
        <v>139903.26</v>
      </c>
      <c r="Q80" s="2"/>
      <c r="R80" s="5">
        <f t="shared" si="16"/>
        <v>6.746779372839791E-2</v>
      </c>
      <c r="S80" s="2"/>
      <c r="T80" s="2">
        <f>SUM(OSRRefT22_14x_0)</f>
        <v>85122.180000000008</v>
      </c>
      <c r="U80" s="2"/>
      <c r="V80" s="5">
        <f t="shared" si="17"/>
        <v>0.1447703788342419</v>
      </c>
      <c r="W80" s="2"/>
      <c r="X80" s="2">
        <f t="shared" si="18"/>
        <v>54781.08</v>
      </c>
      <c r="Y80" s="2"/>
      <c r="Z80" s="5">
        <f t="shared" si="19"/>
        <v>0.64355823593803629</v>
      </c>
    </row>
    <row r="81" spans="1:26" s="69" customFormat="1" ht="15" hidden="1" customHeight="1" outlineLevel="2" x14ac:dyDescent="0.3">
      <c r="A81" s="21"/>
      <c r="B81" s="9" t="str">
        <f>CONCATENATE("          ","6371"," - ","COMPUTER SOFTWARE MAINTENANCE")</f>
        <v xml:space="preserve">          6371 - COMPUTER SOFTWARE MAINTENANCE</v>
      </c>
      <c r="C81" s="9"/>
      <c r="D81" s="6">
        <v>30321</v>
      </c>
      <c r="E81" s="3"/>
      <c r="F81" s="7">
        <f t="shared" si="12"/>
        <v>0.45811976142900851</v>
      </c>
      <c r="G81" s="3"/>
      <c r="H81" s="6">
        <v>30321</v>
      </c>
      <c r="I81" s="3"/>
      <c r="J81" s="7">
        <f t="shared" si="13"/>
        <v>0.45439246045102655</v>
      </c>
      <c r="K81" s="3"/>
      <c r="L81" s="6">
        <f t="shared" si="14"/>
        <v>0</v>
      </c>
      <c r="M81" s="3"/>
      <c r="N81" s="7">
        <f t="shared" si="15"/>
        <v>0</v>
      </c>
      <c r="O81" s="9"/>
      <c r="P81" s="6">
        <v>46888.06</v>
      </c>
      <c r="Q81" s="3"/>
      <c r="R81" s="7">
        <f t="shared" si="16"/>
        <v>2.2611581462824701E-2</v>
      </c>
      <c r="S81" s="3"/>
      <c r="T81" s="6">
        <v>39280.47</v>
      </c>
      <c r="U81" s="3"/>
      <c r="V81" s="7">
        <f t="shared" si="17"/>
        <v>6.6805719997855714E-2</v>
      </c>
      <c r="W81" s="3"/>
      <c r="X81" s="6">
        <f t="shared" si="18"/>
        <v>7607.5899999999965</v>
      </c>
      <c r="Y81" s="3"/>
      <c r="Z81" s="7">
        <f t="shared" si="19"/>
        <v>0.19367359911935872</v>
      </c>
    </row>
    <row r="82" spans="1:26" s="69" customFormat="1" ht="15" hidden="1" customHeight="1" outlineLevel="2" x14ac:dyDescent="0.3">
      <c r="A82" s="21"/>
      <c r="B82" s="9" t="str">
        <f>CONCATENATE("          ","6372"," - ","COMPUTER HARDWARE MAINTENANCE")</f>
        <v xml:space="preserve">          6372 - COMPUTER HARDWARE MAINTENANCE</v>
      </c>
      <c r="C82" s="9"/>
      <c r="D82" s="6"/>
      <c r="E82" s="3"/>
      <c r="F82" s="7">
        <f t="shared" si="12"/>
        <v>0</v>
      </c>
      <c r="G82" s="3"/>
      <c r="H82" s="6">
        <v>10.039999999999999</v>
      </c>
      <c r="I82" s="3"/>
      <c r="J82" s="7">
        <f t="shared" si="13"/>
        <v>1.5046008716494528E-4</v>
      </c>
      <c r="K82" s="3"/>
      <c r="L82" s="6">
        <f t="shared" si="14"/>
        <v>-10.039999999999999</v>
      </c>
      <c r="M82" s="3"/>
      <c r="N82" s="7">
        <f t="shared" si="15"/>
        <v>-1</v>
      </c>
      <c r="O82" s="9"/>
      <c r="P82" s="6"/>
      <c r="Q82" s="3"/>
      <c r="R82" s="7">
        <f t="shared" si="16"/>
        <v>0</v>
      </c>
      <c r="S82" s="3"/>
      <c r="T82" s="6">
        <v>110.04</v>
      </c>
      <c r="U82" s="3"/>
      <c r="V82" s="7">
        <f t="shared" si="17"/>
        <v>1.8714901905613764E-4</v>
      </c>
      <c r="W82" s="3"/>
      <c r="X82" s="6">
        <f t="shared" si="18"/>
        <v>-110.04</v>
      </c>
      <c r="Y82" s="3"/>
      <c r="Z82" s="7">
        <f t="shared" si="19"/>
        <v>-1</v>
      </c>
    </row>
    <row r="83" spans="1:26" s="69" customFormat="1" ht="15" hidden="1" customHeight="1" outlineLevel="2" x14ac:dyDescent="0.3">
      <c r="A83" s="21"/>
      <c r="B83" s="9" t="str">
        <f>CONCATENATE("          ","6373"," - ","MAINTENANCE CONTRACTS")</f>
        <v xml:space="preserve">          6373 - MAINTENANCE CONTRACTS</v>
      </c>
      <c r="C83" s="9"/>
      <c r="D83" s="6">
        <v>4730.9399999999996</v>
      </c>
      <c r="E83" s="3"/>
      <c r="F83" s="7">
        <f t="shared" si="12"/>
        <v>7.1479736952440656E-2</v>
      </c>
      <c r="G83" s="3"/>
      <c r="H83" s="6">
        <v>-4364.7</v>
      </c>
      <c r="I83" s="3"/>
      <c r="J83" s="7">
        <f t="shared" si="13"/>
        <v>-6.540967554271282E-2</v>
      </c>
      <c r="K83" s="3"/>
      <c r="L83" s="6">
        <f t="shared" si="14"/>
        <v>9095.64</v>
      </c>
      <c r="M83" s="3"/>
      <c r="N83" s="7">
        <f t="shared" si="15"/>
        <v>-2.0839095470479072</v>
      </c>
      <c r="O83" s="9"/>
      <c r="P83" s="6">
        <v>27250.400000000001</v>
      </c>
      <c r="Q83" s="3"/>
      <c r="R83" s="7">
        <f t="shared" si="16"/>
        <v>1.3141397607291884E-2</v>
      </c>
      <c r="S83" s="3"/>
      <c r="T83" s="6">
        <v>15117.15</v>
      </c>
      <c r="U83" s="3"/>
      <c r="V83" s="7">
        <f t="shared" si="17"/>
        <v>2.5710285291025908E-2</v>
      </c>
      <c r="W83" s="3"/>
      <c r="X83" s="6">
        <f t="shared" si="18"/>
        <v>12133.250000000002</v>
      </c>
      <c r="Y83" s="3"/>
      <c r="Z83" s="7">
        <f t="shared" si="19"/>
        <v>0.80261491087936565</v>
      </c>
    </row>
    <row r="84" spans="1:26" s="69" customFormat="1" ht="15" hidden="1" customHeight="1" outlineLevel="2" x14ac:dyDescent="0.3">
      <c r="A84" s="21"/>
      <c r="B84" s="9" t="str">
        <f>CONCATENATE("          ","6375"," - ","OUTSIDE REPAIRS &amp; MAINTENANCE")</f>
        <v xml:space="preserve">          6375 - OUTSIDE REPAIRS &amp; MAINTENANCE</v>
      </c>
      <c r="C84" s="9"/>
      <c r="D84" s="6">
        <v>5577.67</v>
      </c>
      <c r="E84" s="3"/>
      <c r="F84" s="7">
        <f t="shared" si="12"/>
        <v>8.427297416740008E-2</v>
      </c>
      <c r="G84" s="3"/>
      <c r="H84" s="6">
        <v>3806.7</v>
      </c>
      <c r="I84" s="3"/>
      <c r="J84" s="7">
        <f t="shared" si="13"/>
        <v>5.7047451574780604E-2</v>
      </c>
      <c r="K84" s="3"/>
      <c r="L84" s="6">
        <f t="shared" si="14"/>
        <v>1770.9700000000003</v>
      </c>
      <c r="M84" s="3"/>
      <c r="N84" s="7">
        <f t="shared" si="15"/>
        <v>0.46522447264034472</v>
      </c>
      <c r="O84" s="9"/>
      <c r="P84" s="6">
        <v>65764.800000000003</v>
      </c>
      <c r="Q84" s="3"/>
      <c r="R84" s="7">
        <f t="shared" si="16"/>
        <v>3.1714814658281319E-2</v>
      </c>
      <c r="S84" s="3"/>
      <c r="T84" s="6">
        <v>30614.52</v>
      </c>
      <c r="U84" s="3"/>
      <c r="V84" s="7">
        <f t="shared" si="17"/>
        <v>5.2067224526304128E-2</v>
      </c>
      <c r="W84" s="3"/>
      <c r="X84" s="6">
        <f t="shared" si="18"/>
        <v>35150.28</v>
      </c>
      <c r="Y84" s="3"/>
      <c r="Z84" s="7">
        <f t="shared" si="19"/>
        <v>1.1481571489606892</v>
      </c>
    </row>
    <row r="85" spans="1:26" s="68" customFormat="1" ht="15" customHeight="1" outlineLevel="1" collapsed="1" x14ac:dyDescent="0.3">
      <c r="A85" s="20"/>
      <c r="B85" s="11" t="str">
        <f>CONCATENATE("     ","Royalty &amp; Commissions                             ")</f>
        <v xml:space="preserve">     Royalty &amp; Commissions                             </v>
      </c>
      <c r="C85" s="11"/>
      <c r="D85" s="2">
        <f>SUM(OSRRefD22_15x_0)</f>
        <v>2013.15</v>
      </c>
      <c r="E85" s="2"/>
      <c r="F85" s="5">
        <f t="shared" si="12"/>
        <v>3.0416668240520053E-2</v>
      </c>
      <c r="G85" s="2"/>
      <c r="H85" s="2">
        <f>SUM(OSRRefH22_15x_0)</f>
        <v>0</v>
      </c>
      <c r="I85" s="2"/>
      <c r="J85" s="5">
        <f t="shared" si="13"/>
        <v>0</v>
      </c>
      <c r="K85" s="2"/>
      <c r="L85" s="2">
        <f t="shared" si="14"/>
        <v>2013.15</v>
      </c>
      <c r="M85" s="2"/>
      <c r="N85" s="5">
        <f t="shared" si="15"/>
        <v>0</v>
      </c>
      <c r="O85" s="11"/>
      <c r="P85" s="2">
        <f>SUM(OSRRefP22_15x_0)</f>
        <v>12567.08</v>
      </c>
      <c r="Q85" s="2"/>
      <c r="R85" s="5">
        <f t="shared" si="16"/>
        <v>6.0604246191852482E-3</v>
      </c>
      <c r="S85" s="2"/>
      <c r="T85" s="2">
        <f>SUM(OSRRefT22_15x_0)</f>
        <v>185.7</v>
      </c>
      <c r="U85" s="2"/>
      <c r="V85" s="5">
        <f t="shared" si="17"/>
        <v>3.1582672517925075E-4</v>
      </c>
      <c r="W85" s="2"/>
      <c r="X85" s="2">
        <f t="shared" si="18"/>
        <v>12381.38</v>
      </c>
      <c r="Y85" s="2"/>
      <c r="Z85" s="5">
        <f t="shared" si="19"/>
        <v>66.674098007539044</v>
      </c>
    </row>
    <row r="86" spans="1:26" s="69" customFormat="1" ht="15" hidden="1" customHeight="1" outlineLevel="2" x14ac:dyDescent="0.3">
      <c r="A86" s="21"/>
      <c r="B86" s="9" t="str">
        <f>CONCATENATE("          ","6254"," - ","ROYALTY &amp; COMMISSIONS")</f>
        <v xml:space="preserve">          6254 - ROYALTY &amp; COMMISSIONS</v>
      </c>
      <c r="C86" s="9"/>
      <c r="D86" s="6">
        <v>2013.15</v>
      </c>
      <c r="E86" s="3"/>
      <c r="F86" s="7">
        <f t="shared" si="12"/>
        <v>3.0416668240520053E-2</v>
      </c>
      <c r="G86" s="3"/>
      <c r="H86" s="6"/>
      <c r="I86" s="3"/>
      <c r="J86" s="7">
        <f t="shared" si="13"/>
        <v>0</v>
      </c>
      <c r="K86" s="3"/>
      <c r="L86" s="6">
        <f t="shared" si="14"/>
        <v>2013.15</v>
      </c>
      <c r="M86" s="3"/>
      <c r="N86" s="7">
        <f t="shared" si="15"/>
        <v>0</v>
      </c>
      <c r="O86" s="9"/>
      <c r="P86" s="6">
        <v>12567.08</v>
      </c>
      <c r="Q86" s="3"/>
      <c r="R86" s="7">
        <f t="shared" si="16"/>
        <v>6.0604246191852482E-3</v>
      </c>
      <c r="S86" s="3"/>
      <c r="T86" s="6">
        <v>185.7</v>
      </c>
      <c r="U86" s="3"/>
      <c r="V86" s="7">
        <f t="shared" si="17"/>
        <v>3.1582672517925075E-4</v>
      </c>
      <c r="W86" s="3"/>
      <c r="X86" s="6">
        <f t="shared" si="18"/>
        <v>12381.38</v>
      </c>
      <c r="Y86" s="3"/>
      <c r="Z86" s="7">
        <f t="shared" si="19"/>
        <v>66.674098007539044</v>
      </c>
    </row>
    <row r="87" spans="1:26" s="68" customFormat="1" ht="15" customHeight="1" outlineLevel="1" collapsed="1" x14ac:dyDescent="0.3">
      <c r="A87" s="20"/>
      <c r="B87" s="11" t="str">
        <f>CONCATENATE("     ","Services                                          ")</f>
        <v xml:space="preserve">     Services                                          </v>
      </c>
      <c r="C87" s="11"/>
      <c r="D87" s="2">
        <f>SUM(OSRRefD22_16x_0)</f>
        <v>44860.479999999996</v>
      </c>
      <c r="E87" s="2"/>
      <c r="F87" s="5">
        <f t="shared" si="12"/>
        <v>0.6777966556245113</v>
      </c>
      <c r="G87" s="2"/>
      <c r="H87" s="2">
        <f>SUM(OSRRefH22_16x_0)</f>
        <v>1336.2299999999998</v>
      </c>
      <c r="I87" s="2"/>
      <c r="J87" s="5">
        <f t="shared" si="13"/>
        <v>2.0024828911595103E-2</v>
      </c>
      <c r="K87" s="2"/>
      <c r="L87" s="2">
        <f t="shared" si="14"/>
        <v>43524.249999999993</v>
      </c>
      <c r="M87" s="2"/>
      <c r="N87" s="5">
        <f t="shared" si="15"/>
        <v>32.572423909057569</v>
      </c>
      <c r="O87" s="11"/>
      <c r="P87" s="2">
        <f>SUM(OSRRefP22_16x_0)</f>
        <v>131145.63999999998</v>
      </c>
      <c r="Q87" s="2"/>
      <c r="R87" s="5">
        <f t="shared" si="16"/>
        <v>6.324446612536927E-2</v>
      </c>
      <c r="S87" s="2"/>
      <c r="T87" s="2">
        <f>SUM(OSRRefT22_16x_0)</f>
        <v>68438.540000000008</v>
      </c>
      <c r="U87" s="2"/>
      <c r="V87" s="5">
        <f t="shared" si="17"/>
        <v>0.11639590718497127</v>
      </c>
      <c r="W87" s="2"/>
      <c r="X87" s="2">
        <f t="shared" si="18"/>
        <v>62707.099999999977</v>
      </c>
      <c r="Y87" s="2"/>
      <c r="Z87" s="5">
        <f t="shared" si="19"/>
        <v>0.9162542041370253</v>
      </c>
    </row>
    <row r="88" spans="1:26" s="69" customFormat="1" ht="15" hidden="1" customHeight="1" outlineLevel="2" x14ac:dyDescent="0.3">
      <c r="A88" s="21"/>
      <c r="B88" s="9" t="str">
        <f>CONCATENATE("          ","6282"," - ","JANITORIAL/EXTERMINATOR EXPENS")</f>
        <v xml:space="preserve">          6282 - JANITORIAL/EXTERMINATOR EXPENS</v>
      </c>
      <c r="C88" s="9"/>
      <c r="D88" s="6">
        <v>2272.1999999999998</v>
      </c>
      <c r="E88" s="3"/>
      <c r="F88" s="7">
        <f t="shared" si="12"/>
        <v>3.4330652746248247E-2</v>
      </c>
      <c r="G88" s="3"/>
      <c r="H88" s="6">
        <v>1881.85</v>
      </c>
      <c r="I88" s="3"/>
      <c r="J88" s="7">
        <f t="shared" si="13"/>
        <v>2.8201525401529114E-2</v>
      </c>
      <c r="K88" s="3"/>
      <c r="L88" s="6">
        <f t="shared" si="14"/>
        <v>390.34999999999991</v>
      </c>
      <c r="M88" s="3"/>
      <c r="N88" s="7">
        <f t="shared" si="15"/>
        <v>0.2074288598985041</v>
      </c>
      <c r="O88" s="9"/>
      <c r="P88" s="6">
        <v>17880.310000000001</v>
      </c>
      <c r="Q88" s="3"/>
      <c r="R88" s="7">
        <f t="shared" si="16"/>
        <v>8.6227087694726381E-3</v>
      </c>
      <c r="S88" s="3"/>
      <c r="T88" s="6">
        <v>15054.44</v>
      </c>
      <c r="U88" s="3"/>
      <c r="V88" s="7">
        <f t="shared" si="17"/>
        <v>2.5603632119588157E-2</v>
      </c>
      <c r="W88" s="3"/>
      <c r="X88" s="6">
        <f t="shared" si="18"/>
        <v>2825.8700000000008</v>
      </c>
      <c r="Y88" s="3"/>
      <c r="Z88" s="7">
        <f t="shared" si="19"/>
        <v>0.18771007091595573</v>
      </c>
    </row>
    <row r="89" spans="1:26" s="69" customFormat="1" ht="15" hidden="1" customHeight="1" outlineLevel="2" x14ac:dyDescent="0.3">
      <c r="A89" s="21"/>
      <c r="B89" s="9" t="str">
        <f>CONCATENATE("          ","6284"," - ","TRASH REMOVAL EXPENSE")</f>
        <v xml:space="preserve">          6284 - TRASH REMOVAL EXPENSE</v>
      </c>
      <c r="C89" s="9"/>
      <c r="D89" s="6"/>
      <c r="E89" s="3"/>
      <c r="F89" s="7">
        <f t="shared" si="12"/>
        <v>0</v>
      </c>
      <c r="G89" s="3"/>
      <c r="H89" s="6">
        <v>-4050</v>
      </c>
      <c r="I89" s="3"/>
      <c r="J89" s="7">
        <f t="shared" si="13"/>
        <v>-6.0693561057572558E-2</v>
      </c>
      <c r="K89" s="3"/>
      <c r="L89" s="6">
        <f t="shared" si="14"/>
        <v>4050</v>
      </c>
      <c r="M89" s="3"/>
      <c r="N89" s="7">
        <f t="shared" si="15"/>
        <v>-1</v>
      </c>
      <c r="O89" s="9"/>
      <c r="P89" s="6"/>
      <c r="Q89" s="3"/>
      <c r="R89" s="7">
        <f t="shared" si="16"/>
        <v>0</v>
      </c>
      <c r="S89" s="3"/>
      <c r="T89" s="6">
        <v>28545</v>
      </c>
      <c r="U89" s="3"/>
      <c r="V89" s="7">
        <f t="shared" si="17"/>
        <v>4.8547516802594046E-2</v>
      </c>
      <c r="W89" s="3"/>
      <c r="X89" s="6">
        <f t="shared" si="18"/>
        <v>-28545</v>
      </c>
      <c r="Y89" s="3"/>
      <c r="Z89" s="7">
        <f t="shared" si="19"/>
        <v>-1</v>
      </c>
    </row>
    <row r="90" spans="1:26" s="69" customFormat="1" ht="15" hidden="1" customHeight="1" outlineLevel="2" x14ac:dyDescent="0.3">
      <c r="A90" s="21"/>
      <c r="B90" s="9" t="str">
        <f>CONCATENATE("          ","6285"," - ","JANITORIAL SERVICES")</f>
        <v xml:space="preserve">          6285 - JANITORIAL SERVICES</v>
      </c>
      <c r="C90" s="9"/>
      <c r="D90" s="6">
        <v>40947.49</v>
      </c>
      <c r="E90" s="3"/>
      <c r="F90" s="7">
        <f t="shared" si="12"/>
        <v>0.61867531908303519</v>
      </c>
      <c r="G90" s="3"/>
      <c r="H90" s="6">
        <v>3385.52</v>
      </c>
      <c r="I90" s="3"/>
      <c r="J90" s="7">
        <f t="shared" si="13"/>
        <v>5.0735620946082235E-2</v>
      </c>
      <c r="K90" s="3"/>
      <c r="L90" s="6">
        <f t="shared" si="14"/>
        <v>37561.97</v>
      </c>
      <c r="M90" s="3"/>
      <c r="N90" s="7">
        <f t="shared" si="15"/>
        <v>11.094889411375506</v>
      </c>
      <c r="O90" s="9"/>
      <c r="P90" s="6">
        <v>103981.23</v>
      </c>
      <c r="Q90" s="3"/>
      <c r="R90" s="7">
        <f t="shared" si="16"/>
        <v>5.0144536855432104E-2</v>
      </c>
      <c r="S90" s="3"/>
      <c r="T90" s="6">
        <v>23815.53</v>
      </c>
      <c r="U90" s="3"/>
      <c r="V90" s="7">
        <f t="shared" si="17"/>
        <v>4.0503935639785688E-2</v>
      </c>
      <c r="W90" s="3"/>
      <c r="X90" s="6">
        <f t="shared" si="18"/>
        <v>80165.7</v>
      </c>
      <c r="Y90" s="3"/>
      <c r="Z90" s="7">
        <f t="shared" si="19"/>
        <v>3.3661102650245449</v>
      </c>
    </row>
    <row r="91" spans="1:26" s="69" customFormat="1" ht="15" hidden="1" customHeight="1" outlineLevel="2" x14ac:dyDescent="0.3">
      <c r="A91" s="21"/>
      <c r="B91" s="9" t="str">
        <f>CONCATENATE("          ","6286"," - ","LAUNDRY EXPENSE")</f>
        <v xml:space="preserve">          6286 - LAUNDRY EXPENSE</v>
      </c>
      <c r="C91" s="9"/>
      <c r="D91" s="6">
        <v>1640.79</v>
      </c>
      <c r="E91" s="3"/>
      <c r="F91" s="7">
        <f t="shared" si="12"/>
        <v>2.4790683795227825E-2</v>
      </c>
      <c r="G91" s="3"/>
      <c r="H91" s="6">
        <v>118.86</v>
      </c>
      <c r="I91" s="3"/>
      <c r="J91" s="7">
        <f t="shared" si="13"/>
        <v>1.7812436215563147E-3</v>
      </c>
      <c r="K91" s="3"/>
      <c r="L91" s="6">
        <f t="shared" si="14"/>
        <v>1521.93</v>
      </c>
      <c r="M91" s="3"/>
      <c r="N91" s="7">
        <f t="shared" si="15"/>
        <v>12.804391721352852</v>
      </c>
      <c r="O91" s="9"/>
      <c r="P91" s="6">
        <v>9284.1</v>
      </c>
      <c r="Q91" s="3"/>
      <c r="R91" s="7">
        <f t="shared" si="16"/>
        <v>4.4772205004645288E-3</v>
      </c>
      <c r="S91" s="3"/>
      <c r="T91" s="6">
        <v>1023.57</v>
      </c>
      <c r="U91" s="3"/>
      <c r="V91" s="7">
        <f t="shared" si="17"/>
        <v>1.7408226230033698E-3</v>
      </c>
      <c r="W91" s="3"/>
      <c r="X91" s="6">
        <f t="shared" si="18"/>
        <v>8260.5300000000007</v>
      </c>
      <c r="Y91" s="3"/>
      <c r="Z91" s="7">
        <f t="shared" si="19"/>
        <v>8.0703127289779886</v>
      </c>
    </row>
    <row r="92" spans="1:26" s="68" customFormat="1" ht="15" customHeight="1" outlineLevel="1" collapsed="1" x14ac:dyDescent="0.3">
      <c r="A92" s="20"/>
      <c r="B92" s="11" t="str">
        <f>CONCATENATE("     ","Subscriptions &amp; Dues                              ")</f>
        <v xml:space="preserve">     Subscriptions &amp; Dues                              </v>
      </c>
      <c r="C92" s="11"/>
      <c r="D92" s="2">
        <f>SUM(OSRRefD22_17x_0)</f>
        <v>560.5</v>
      </c>
      <c r="E92" s="2"/>
      <c r="F92" s="5">
        <f t="shared" si="12"/>
        <v>8.4685902932277717E-3</v>
      </c>
      <c r="G92" s="2"/>
      <c r="H92" s="2">
        <f>SUM(OSRRefH22_17x_0)</f>
        <v>130.66999999999999</v>
      </c>
      <c r="I92" s="2"/>
      <c r="J92" s="5">
        <f t="shared" si="13"/>
        <v>1.9582290428130878E-3</v>
      </c>
      <c r="K92" s="2"/>
      <c r="L92" s="2">
        <f t="shared" si="14"/>
        <v>429.83000000000004</v>
      </c>
      <c r="M92" s="2"/>
      <c r="N92" s="5">
        <f t="shared" si="15"/>
        <v>3.2894313920563256</v>
      </c>
      <c r="O92" s="11"/>
      <c r="P92" s="2">
        <f>SUM(OSRRefP22_17x_0)</f>
        <v>7528.4</v>
      </c>
      <c r="Q92" s="2"/>
      <c r="R92" s="5">
        <f t="shared" si="16"/>
        <v>3.6305411203775436E-3</v>
      </c>
      <c r="S92" s="2"/>
      <c r="T92" s="2">
        <f>SUM(OSRRefT22_17x_0)</f>
        <v>1178.92</v>
      </c>
      <c r="U92" s="2"/>
      <c r="V92" s="5">
        <f t="shared" si="17"/>
        <v>2.0050320024142293E-3</v>
      </c>
      <c r="W92" s="2"/>
      <c r="X92" s="2">
        <f t="shared" si="18"/>
        <v>6349.48</v>
      </c>
      <c r="Y92" s="2"/>
      <c r="Z92" s="5">
        <f t="shared" si="19"/>
        <v>5.3858446713941568</v>
      </c>
    </row>
    <row r="93" spans="1:26" s="69" customFormat="1" ht="15" hidden="1" customHeight="1" outlineLevel="2" x14ac:dyDescent="0.3">
      <c r="A93" s="21"/>
      <c r="B93" s="9" t="str">
        <f>CONCATENATE("          ","6275"," - ","SUBSCRIPTIONS")</f>
        <v xml:space="preserve">          6275 - SUBSCRIPTIONS</v>
      </c>
      <c r="C93" s="9"/>
      <c r="D93" s="6">
        <v>560.5</v>
      </c>
      <c r="E93" s="3"/>
      <c r="F93" s="7">
        <f t="shared" si="12"/>
        <v>8.4685902932277717E-3</v>
      </c>
      <c r="G93" s="3"/>
      <c r="H93" s="6">
        <v>130.66999999999999</v>
      </c>
      <c r="I93" s="3"/>
      <c r="J93" s="7">
        <f t="shared" si="13"/>
        <v>1.9582290428130878E-3</v>
      </c>
      <c r="K93" s="3"/>
      <c r="L93" s="6">
        <f t="shared" si="14"/>
        <v>429.83000000000004</v>
      </c>
      <c r="M93" s="3"/>
      <c r="N93" s="7">
        <f t="shared" si="15"/>
        <v>3.2894313920563256</v>
      </c>
      <c r="O93" s="9"/>
      <c r="P93" s="6">
        <v>7528.4</v>
      </c>
      <c r="Q93" s="3"/>
      <c r="R93" s="7">
        <f t="shared" si="16"/>
        <v>3.6305411203775436E-3</v>
      </c>
      <c r="S93" s="3"/>
      <c r="T93" s="6">
        <v>1178.92</v>
      </c>
      <c r="U93" s="3"/>
      <c r="V93" s="7">
        <f t="shared" si="17"/>
        <v>2.0050320024142293E-3</v>
      </c>
      <c r="W93" s="3"/>
      <c r="X93" s="6">
        <f t="shared" si="18"/>
        <v>6349.48</v>
      </c>
      <c r="Y93" s="3"/>
      <c r="Z93" s="7">
        <f t="shared" si="19"/>
        <v>5.3858446713941568</v>
      </c>
    </row>
    <row r="94" spans="1:26" s="68" customFormat="1" ht="15" customHeight="1" outlineLevel="1" collapsed="1" x14ac:dyDescent="0.3">
      <c r="A94" s="20"/>
      <c r="B94" s="11" t="str">
        <f>CONCATENATE("     ","Supplies                                          ")</f>
        <v xml:space="preserve">     Supplies                                          </v>
      </c>
      <c r="C94" s="11"/>
      <c r="D94" s="2">
        <f>SUM(OSRRefD22_18x_0)</f>
        <v>2397.73</v>
      </c>
      <c r="E94" s="2"/>
      <c r="F94" s="5">
        <f t="shared" si="12"/>
        <v>3.6227284574096387E-2</v>
      </c>
      <c r="G94" s="2"/>
      <c r="H94" s="2">
        <f>SUM(OSRRefH22_18x_0)</f>
        <v>1120.47</v>
      </c>
      <c r="I94" s="2"/>
      <c r="J94" s="5">
        <f t="shared" si="13"/>
        <v>1.679143564399465E-2</v>
      </c>
      <c r="K94" s="2"/>
      <c r="L94" s="2">
        <f t="shared" si="14"/>
        <v>1277.26</v>
      </c>
      <c r="M94" s="2"/>
      <c r="N94" s="5">
        <f t="shared" si="15"/>
        <v>1.1399323498174874</v>
      </c>
      <c r="O94" s="11"/>
      <c r="P94" s="2">
        <f>SUM(OSRRefP22_18x_0)</f>
        <v>45056.63</v>
      </c>
      <c r="Q94" s="2"/>
      <c r="R94" s="5">
        <f t="shared" si="16"/>
        <v>2.1728381589798156E-2</v>
      </c>
      <c r="S94" s="2"/>
      <c r="T94" s="2">
        <f>SUM(OSRRefT22_18x_0)</f>
        <v>-18437.830000000002</v>
      </c>
      <c r="U94" s="2"/>
      <c r="V94" s="5">
        <f t="shared" si="17"/>
        <v>-3.1357886205232881E-2</v>
      </c>
      <c r="W94" s="2"/>
      <c r="X94" s="2">
        <f t="shared" si="18"/>
        <v>63494.46</v>
      </c>
      <c r="Y94" s="2"/>
      <c r="Z94" s="5">
        <f t="shared" si="19"/>
        <v>-3.4437056855389159</v>
      </c>
    </row>
    <row r="95" spans="1:26" s="69" customFormat="1" ht="15" hidden="1" customHeight="1" outlineLevel="2" x14ac:dyDescent="0.3">
      <c r="A95" s="21"/>
      <c r="B95" s="9" t="str">
        <f>CONCATENATE("          ","6234"," - ","EXPENDABLE SUPPLIES &amp; EQUIPMEN")</f>
        <v xml:space="preserve">          6234 - EXPENDABLE SUPPLIES &amp; EQUIPMEN</v>
      </c>
      <c r="C95" s="9"/>
      <c r="D95" s="6"/>
      <c r="E95" s="3"/>
      <c r="F95" s="7">
        <f t="shared" si="12"/>
        <v>0</v>
      </c>
      <c r="G95" s="3"/>
      <c r="H95" s="6">
        <v>-1048.8</v>
      </c>
      <c r="I95" s="3"/>
      <c r="J95" s="7">
        <f t="shared" si="13"/>
        <v>-1.5717384404242495E-2</v>
      </c>
      <c r="K95" s="3"/>
      <c r="L95" s="6">
        <f t="shared" si="14"/>
        <v>1048.8</v>
      </c>
      <c r="M95" s="3"/>
      <c r="N95" s="7">
        <f t="shared" si="15"/>
        <v>-1</v>
      </c>
      <c r="O95" s="9"/>
      <c r="P95" s="6">
        <v>1536.73</v>
      </c>
      <c r="Q95" s="3"/>
      <c r="R95" s="7">
        <f t="shared" si="16"/>
        <v>7.410819637529598E-4</v>
      </c>
      <c r="S95" s="3"/>
      <c r="T95" s="6">
        <v>-394.97</v>
      </c>
      <c r="U95" s="3"/>
      <c r="V95" s="7">
        <f t="shared" si="17"/>
        <v>-6.7173980422212539E-4</v>
      </c>
      <c r="W95" s="3"/>
      <c r="X95" s="6">
        <f t="shared" si="18"/>
        <v>1931.7</v>
      </c>
      <c r="Y95" s="3"/>
      <c r="Z95" s="7">
        <f t="shared" si="19"/>
        <v>-4.8907511962933894</v>
      </c>
    </row>
    <row r="96" spans="1:26" s="69" customFormat="1" ht="15" hidden="1" customHeight="1" outlineLevel="2" x14ac:dyDescent="0.3">
      <c r="A96" s="21"/>
      <c r="B96" s="9" t="str">
        <f>CONCATENATE("          ","6235"," - ","COVID-19 EXPENSES")</f>
        <v xml:space="preserve">          6235 - COVID-19 EXPENSES</v>
      </c>
      <c r="C96" s="9"/>
      <c r="D96" s="6"/>
      <c r="E96" s="3"/>
      <c r="F96" s="7">
        <f t="shared" si="12"/>
        <v>0</v>
      </c>
      <c r="G96" s="3"/>
      <c r="H96" s="6"/>
      <c r="I96" s="3"/>
      <c r="J96" s="7">
        <f t="shared" si="13"/>
        <v>0</v>
      </c>
      <c r="K96" s="3"/>
      <c r="L96" s="6">
        <f t="shared" si="14"/>
        <v>0</v>
      </c>
      <c r="M96" s="3"/>
      <c r="N96" s="7">
        <f t="shared" si="15"/>
        <v>0</v>
      </c>
      <c r="O96" s="9"/>
      <c r="P96" s="6">
        <v>690.53</v>
      </c>
      <c r="Q96" s="3"/>
      <c r="R96" s="7">
        <f t="shared" si="16"/>
        <v>3.3300536101353611E-4</v>
      </c>
      <c r="S96" s="3"/>
      <c r="T96" s="6">
        <v>7154.58</v>
      </c>
      <c r="U96" s="3"/>
      <c r="V96" s="7">
        <f t="shared" si="17"/>
        <v>1.2168053696461843E-2</v>
      </c>
      <c r="W96" s="3"/>
      <c r="X96" s="6">
        <f t="shared" si="18"/>
        <v>-6464.05</v>
      </c>
      <c r="Y96" s="3"/>
      <c r="Z96" s="7">
        <f t="shared" si="19"/>
        <v>-0.90348420172812383</v>
      </c>
    </row>
    <row r="97" spans="1:26" s="69" customFormat="1" ht="15" hidden="1" customHeight="1" outlineLevel="2" x14ac:dyDescent="0.3">
      <c r="A97" s="21"/>
      <c r="B97" s="9" t="str">
        <f>CONCATENATE("          ","6237"," - ","JANITORIAL SUPPLIES")</f>
        <v xml:space="preserve">          6237 - JANITORIAL SUPPLIES</v>
      </c>
      <c r="C97" s="9"/>
      <c r="D97" s="6">
        <v>877.49</v>
      </c>
      <c r="E97" s="3"/>
      <c r="F97" s="7">
        <f t="shared" si="12"/>
        <v>1.3257989824093555E-2</v>
      </c>
      <c r="G97" s="3"/>
      <c r="H97" s="6">
        <v>363.7</v>
      </c>
      <c r="I97" s="3"/>
      <c r="J97" s="7">
        <f t="shared" si="13"/>
        <v>5.4504316436146021E-3</v>
      </c>
      <c r="K97" s="3"/>
      <c r="L97" s="6">
        <f t="shared" si="14"/>
        <v>513.79</v>
      </c>
      <c r="M97" s="3"/>
      <c r="N97" s="7">
        <f t="shared" si="15"/>
        <v>1.4126752818256805</v>
      </c>
      <c r="O97" s="9"/>
      <c r="P97" s="6">
        <v>10796.29</v>
      </c>
      <c r="Q97" s="3"/>
      <c r="R97" s="7">
        <f t="shared" si="16"/>
        <v>5.2064681462888366E-3</v>
      </c>
      <c r="S97" s="3"/>
      <c r="T97" s="6">
        <v>1010.18</v>
      </c>
      <c r="U97" s="3"/>
      <c r="V97" s="7">
        <f t="shared" si="17"/>
        <v>1.7180497643595883E-3</v>
      </c>
      <c r="W97" s="3"/>
      <c r="X97" s="6">
        <f t="shared" si="18"/>
        <v>9786.11</v>
      </c>
      <c r="Y97" s="3"/>
      <c r="Z97" s="7">
        <f t="shared" si="19"/>
        <v>9.687491338177356</v>
      </c>
    </row>
    <row r="98" spans="1:26" s="69" customFormat="1" ht="15" hidden="1" customHeight="1" outlineLevel="2" x14ac:dyDescent="0.3">
      <c r="A98" s="21"/>
      <c r="B98" s="9" t="str">
        <f>CONCATENATE("          ","6239"," - ","KITCHEN SUPPLIES")</f>
        <v xml:space="preserve">          6239 - KITCHEN SUPPLIES</v>
      </c>
      <c r="C98" s="9"/>
      <c r="D98" s="6">
        <v>434.43</v>
      </c>
      <c r="E98" s="3"/>
      <c r="F98" s="7">
        <f t="shared" si="12"/>
        <v>6.5637996094325439E-3</v>
      </c>
      <c r="G98" s="3"/>
      <c r="H98" s="6">
        <v>1798.78</v>
      </c>
      <c r="I98" s="3"/>
      <c r="J98" s="7">
        <f t="shared" si="13"/>
        <v>2.6956633026948239E-2</v>
      </c>
      <c r="K98" s="3"/>
      <c r="L98" s="6">
        <f t="shared" si="14"/>
        <v>-1364.35</v>
      </c>
      <c r="M98" s="3"/>
      <c r="N98" s="7">
        <f t="shared" si="15"/>
        <v>-0.75848630738611722</v>
      </c>
      <c r="O98" s="9"/>
      <c r="P98" s="6">
        <v>9860.92</v>
      </c>
      <c r="Q98" s="3"/>
      <c r="R98" s="7">
        <f t="shared" si="16"/>
        <v>4.7553896637736208E-3</v>
      </c>
      <c r="S98" s="3"/>
      <c r="T98" s="6">
        <v>1818.61</v>
      </c>
      <c r="U98" s="3"/>
      <c r="V98" s="7">
        <f t="shared" si="17"/>
        <v>3.0929759864202328E-3</v>
      </c>
      <c r="W98" s="3"/>
      <c r="X98" s="6">
        <f t="shared" si="18"/>
        <v>8042.31</v>
      </c>
      <c r="Y98" s="3"/>
      <c r="Z98" s="7">
        <f t="shared" si="19"/>
        <v>4.4222290650551797</v>
      </c>
    </row>
    <row r="99" spans="1:26" s="69" customFormat="1" ht="15" hidden="1" customHeight="1" outlineLevel="2" x14ac:dyDescent="0.3">
      <c r="A99" s="21"/>
      <c r="B99" s="9" t="str">
        <f>CONCATENATE("          ","6241"," - ","OFFICE EXPENSE")</f>
        <v xml:space="preserve">          6241 - OFFICE EXPENSE</v>
      </c>
      <c r="C99" s="9"/>
      <c r="D99" s="6">
        <v>96.56</v>
      </c>
      <c r="E99" s="3"/>
      <c r="F99" s="7">
        <f t="shared" ref="F99:F112" si="20">IF(D$12=0,0,D99/D$12)</f>
        <v>1.4589243152793464E-3</v>
      </c>
      <c r="G99" s="3"/>
      <c r="H99" s="6">
        <v>6.79</v>
      </c>
      <c r="I99" s="3"/>
      <c r="J99" s="7">
        <f t="shared" ref="J99:J112" si="21">IF(H$12=0,0,H99/H$12)</f>
        <v>1.0175537767430066E-4</v>
      </c>
      <c r="K99" s="3"/>
      <c r="L99" s="6">
        <f t="shared" ref="L99:L112" si="22">+D99-H99</f>
        <v>89.77</v>
      </c>
      <c r="M99" s="3"/>
      <c r="N99" s="7">
        <f t="shared" ref="N99:N112" si="23">IF(H99=0,0,L99/H99)</f>
        <v>13.220913107511045</v>
      </c>
      <c r="O99" s="9"/>
      <c r="P99" s="6">
        <v>8186.52</v>
      </c>
      <c r="Q99" s="3"/>
      <c r="R99" s="7">
        <f t="shared" ref="R99:R112" si="24">IF(P$12=0,0,P99/P$12)</f>
        <v>3.9479168870932965E-3</v>
      </c>
      <c r="S99" s="3"/>
      <c r="T99" s="6">
        <v>-28402.84</v>
      </c>
      <c r="U99" s="3"/>
      <c r="V99" s="7">
        <f t="shared" ref="V99:V112" si="25">IF(T$12=0,0,T99/T$12)</f>
        <v>-4.8305740134573137E-2</v>
      </c>
      <c r="W99" s="3"/>
      <c r="X99" s="6">
        <f t="shared" ref="X99:X112" si="26">+P99-T99</f>
        <v>36589.360000000001</v>
      </c>
      <c r="Y99" s="3"/>
      <c r="Z99" s="7">
        <f t="shared" ref="Z99:Z112" si="27">IF(T99=0,0,X99/T99)</f>
        <v>-1.2882289235865145</v>
      </c>
    </row>
    <row r="100" spans="1:26" s="69" customFormat="1" ht="15" hidden="1" customHeight="1" outlineLevel="2" x14ac:dyDescent="0.3">
      <c r="A100" s="21"/>
      <c r="B100" s="9" t="str">
        <f>CONCATENATE("          ","6243"," - ","PAPER SUPPLIES")</f>
        <v xml:space="preserve">          6243 - PAPER SUPPLIES</v>
      </c>
      <c r="C100" s="9"/>
      <c r="D100" s="6">
        <v>430.91</v>
      </c>
      <c r="E100" s="3"/>
      <c r="F100" s="7">
        <f t="shared" si="20"/>
        <v>6.5106159558515246E-3</v>
      </c>
      <c r="G100" s="3"/>
      <c r="H100" s="6"/>
      <c r="I100" s="3"/>
      <c r="J100" s="7">
        <f t="shared" si="21"/>
        <v>0</v>
      </c>
      <c r="K100" s="3"/>
      <c r="L100" s="6">
        <f t="shared" si="22"/>
        <v>430.91</v>
      </c>
      <c r="M100" s="3"/>
      <c r="N100" s="7">
        <f t="shared" si="23"/>
        <v>0</v>
      </c>
      <c r="O100" s="9"/>
      <c r="P100" s="6">
        <v>4634.63</v>
      </c>
      <c r="Q100" s="3"/>
      <c r="R100" s="7">
        <f t="shared" si="24"/>
        <v>2.2350319845830953E-3</v>
      </c>
      <c r="S100" s="3"/>
      <c r="T100" s="6">
        <v>255.33</v>
      </c>
      <c r="U100" s="3"/>
      <c r="V100" s="7">
        <f t="shared" si="25"/>
        <v>4.3424899159945129E-4</v>
      </c>
      <c r="W100" s="3"/>
      <c r="X100" s="6">
        <f t="shared" si="26"/>
        <v>4379.3</v>
      </c>
      <c r="Y100" s="3"/>
      <c r="Z100" s="7">
        <f t="shared" si="27"/>
        <v>17.151529393334116</v>
      </c>
    </row>
    <row r="101" spans="1:26" s="69" customFormat="1" ht="15" hidden="1" customHeight="1" outlineLevel="2" x14ac:dyDescent="0.3">
      <c r="A101" s="21"/>
      <c r="B101" s="9" t="str">
        <f>CONCATENATE("          ","6245"," - ","PRINTING")</f>
        <v xml:space="preserve">          6245 - PRINTING</v>
      </c>
      <c r="C101" s="9"/>
      <c r="D101" s="6">
        <v>598.64</v>
      </c>
      <c r="E101" s="3"/>
      <c r="F101" s="7">
        <f t="shared" si="20"/>
        <v>9.0448472669721197E-3</v>
      </c>
      <c r="G101" s="3"/>
      <c r="H101" s="6"/>
      <c r="I101" s="3"/>
      <c r="J101" s="7">
        <f t="shared" si="21"/>
        <v>0</v>
      </c>
      <c r="K101" s="3"/>
      <c r="L101" s="6">
        <f t="shared" si="22"/>
        <v>598.64</v>
      </c>
      <c r="M101" s="3"/>
      <c r="N101" s="7">
        <f t="shared" si="23"/>
        <v>0</v>
      </c>
      <c r="O101" s="9"/>
      <c r="P101" s="6">
        <v>1669.64</v>
      </c>
      <c r="Q101" s="3"/>
      <c r="R101" s="7">
        <f t="shared" si="24"/>
        <v>8.0517728550916028E-4</v>
      </c>
      <c r="S101" s="3"/>
      <c r="T101" s="6"/>
      <c r="U101" s="3"/>
      <c r="V101" s="7">
        <f t="shared" si="25"/>
        <v>0</v>
      </c>
      <c r="W101" s="3"/>
      <c r="X101" s="6">
        <f t="shared" si="26"/>
        <v>1669.64</v>
      </c>
      <c r="Y101" s="3"/>
      <c r="Z101" s="7">
        <f t="shared" si="27"/>
        <v>0</v>
      </c>
    </row>
    <row r="102" spans="1:26" s="69" customFormat="1" ht="15" hidden="1" customHeight="1" outlineLevel="2" x14ac:dyDescent="0.3">
      <c r="A102" s="21"/>
      <c r="B102" s="9" t="str">
        <f>CONCATENATE("          ","6247"," - ","STORE SUPPLIES")</f>
        <v xml:space="preserve">          6247 - STORE SUPPLIES</v>
      </c>
      <c r="C102" s="9"/>
      <c r="D102" s="6">
        <v>-40.299999999999997</v>
      </c>
      <c r="E102" s="3"/>
      <c r="F102" s="7">
        <f t="shared" si="20"/>
        <v>-6.0889239753270151E-4</v>
      </c>
      <c r="G102" s="3"/>
      <c r="H102" s="6"/>
      <c r="I102" s="3"/>
      <c r="J102" s="7">
        <f t="shared" si="21"/>
        <v>0</v>
      </c>
      <c r="K102" s="3"/>
      <c r="L102" s="6">
        <f t="shared" si="22"/>
        <v>-40.299999999999997</v>
      </c>
      <c r="M102" s="3"/>
      <c r="N102" s="7">
        <f t="shared" si="23"/>
        <v>0</v>
      </c>
      <c r="O102" s="9"/>
      <c r="P102" s="6">
        <v>4692.92</v>
      </c>
      <c r="Q102" s="3"/>
      <c r="R102" s="7">
        <f t="shared" si="24"/>
        <v>2.2631421065089771E-3</v>
      </c>
      <c r="S102" s="3"/>
      <c r="T102" s="6">
        <v>121.28</v>
      </c>
      <c r="U102" s="3"/>
      <c r="V102" s="7">
        <f t="shared" si="25"/>
        <v>2.0626529472126838E-4</v>
      </c>
      <c r="W102" s="3"/>
      <c r="X102" s="6">
        <f t="shared" si="26"/>
        <v>4571.6400000000003</v>
      </c>
      <c r="Y102" s="3"/>
      <c r="Z102" s="7">
        <f t="shared" si="27"/>
        <v>37.694920844327179</v>
      </c>
    </row>
    <row r="103" spans="1:26" s="69" customFormat="1" ht="15" hidden="1" customHeight="1" outlineLevel="2" x14ac:dyDescent="0.3">
      <c r="A103" s="21"/>
      <c r="B103" s="9" t="str">
        <f>CONCATENATE("          ","6248"," - ","UNIFORMS")</f>
        <v xml:space="preserve">          6248 - UNIFORMS</v>
      </c>
      <c r="C103" s="9"/>
      <c r="D103" s="6"/>
      <c r="E103" s="3"/>
      <c r="F103" s="7">
        <f t="shared" si="20"/>
        <v>0</v>
      </c>
      <c r="G103" s="3"/>
      <c r="H103" s="6"/>
      <c r="I103" s="3"/>
      <c r="J103" s="7">
        <f t="shared" si="21"/>
        <v>0</v>
      </c>
      <c r="K103" s="3"/>
      <c r="L103" s="6">
        <f t="shared" si="22"/>
        <v>0</v>
      </c>
      <c r="M103" s="3"/>
      <c r="N103" s="7">
        <f t="shared" si="23"/>
        <v>0</v>
      </c>
      <c r="O103" s="9"/>
      <c r="P103" s="6">
        <v>2988.45</v>
      </c>
      <c r="Q103" s="3"/>
      <c r="R103" s="7">
        <f t="shared" si="24"/>
        <v>1.4411681912746758E-3</v>
      </c>
      <c r="S103" s="3"/>
      <c r="T103" s="6"/>
      <c r="U103" s="3"/>
      <c r="V103" s="7">
        <f t="shared" si="25"/>
        <v>0</v>
      </c>
      <c r="W103" s="3"/>
      <c r="X103" s="6">
        <f t="shared" si="26"/>
        <v>2988.45</v>
      </c>
      <c r="Y103" s="3"/>
      <c r="Z103" s="7">
        <f t="shared" si="27"/>
        <v>0</v>
      </c>
    </row>
    <row r="104" spans="1:26" s="68" customFormat="1" ht="15" customHeight="1" outlineLevel="1" collapsed="1" x14ac:dyDescent="0.3">
      <c r="A104" s="20"/>
      <c r="B104" s="11" t="str">
        <f>CONCATENATE("     ","Telephone/Data Lines                              ")</f>
        <v xml:space="preserve">     Telephone/Data Lines                              </v>
      </c>
      <c r="C104" s="11"/>
      <c r="D104" s="2">
        <f>SUM(OSRRefD22_19x_0)</f>
        <v>390.85</v>
      </c>
      <c r="E104" s="2"/>
      <c r="F104" s="5">
        <f t="shared" si="20"/>
        <v>5.9053497165175283E-3</v>
      </c>
      <c r="G104" s="2"/>
      <c r="H104" s="2">
        <f>SUM(OSRRefH22_19x_0)</f>
        <v>1175.05</v>
      </c>
      <c r="I104" s="2"/>
      <c r="J104" s="5">
        <f t="shared" si="21"/>
        <v>1.7609375042148306E-2</v>
      </c>
      <c r="K104" s="2"/>
      <c r="L104" s="2">
        <f t="shared" si="22"/>
        <v>-784.19999999999993</v>
      </c>
      <c r="M104" s="2"/>
      <c r="N104" s="5">
        <f t="shared" si="23"/>
        <v>-0.6673758563465384</v>
      </c>
      <c r="O104" s="11"/>
      <c r="P104" s="2">
        <f>SUM(OSRRefP22_19x_0)</f>
        <v>9879.24</v>
      </c>
      <c r="Q104" s="2"/>
      <c r="R104" s="5">
        <f t="shared" si="24"/>
        <v>4.7642244113063397E-3</v>
      </c>
      <c r="S104" s="2"/>
      <c r="T104" s="2">
        <f>SUM(OSRRefT22_19x_0)</f>
        <v>10975.25</v>
      </c>
      <c r="U104" s="2"/>
      <c r="V104" s="5">
        <f t="shared" si="25"/>
        <v>1.8666005737875996E-2</v>
      </c>
      <c r="W104" s="2"/>
      <c r="X104" s="2">
        <f t="shared" si="26"/>
        <v>-1096.0100000000002</v>
      </c>
      <c r="Y104" s="2"/>
      <c r="Z104" s="5">
        <f t="shared" si="27"/>
        <v>-9.9861962142092461E-2</v>
      </c>
    </row>
    <row r="105" spans="1:26" s="69" customFormat="1" ht="15" hidden="1" customHeight="1" outlineLevel="2" x14ac:dyDescent="0.3">
      <c r="A105" s="21"/>
      <c r="B105" s="9" t="str">
        <f>CONCATENATE("          ","6309"," - ","TELEPHONE")</f>
        <v xml:space="preserve">          6309 - TELEPHONE</v>
      </c>
      <c r="C105" s="9"/>
      <c r="D105" s="6">
        <v>390.85</v>
      </c>
      <c r="E105" s="3"/>
      <c r="F105" s="7">
        <f t="shared" si="20"/>
        <v>5.9053497165175283E-3</v>
      </c>
      <c r="G105" s="3"/>
      <c r="H105" s="6">
        <v>1175.05</v>
      </c>
      <c r="I105" s="3"/>
      <c r="J105" s="7">
        <f t="shared" si="21"/>
        <v>1.7609375042148306E-2</v>
      </c>
      <c r="K105" s="3"/>
      <c r="L105" s="6">
        <f t="shared" si="22"/>
        <v>-784.19999999999993</v>
      </c>
      <c r="M105" s="3"/>
      <c r="N105" s="7">
        <f t="shared" si="23"/>
        <v>-0.6673758563465384</v>
      </c>
      <c r="O105" s="9"/>
      <c r="P105" s="6">
        <v>9879.24</v>
      </c>
      <c r="Q105" s="3"/>
      <c r="R105" s="7">
        <f t="shared" si="24"/>
        <v>4.7642244113063397E-3</v>
      </c>
      <c r="S105" s="3"/>
      <c r="T105" s="6">
        <v>10975.25</v>
      </c>
      <c r="U105" s="3"/>
      <c r="V105" s="7">
        <f t="shared" si="25"/>
        <v>1.8666005737875996E-2</v>
      </c>
      <c r="W105" s="3"/>
      <c r="X105" s="6">
        <f t="shared" si="26"/>
        <v>-1096.0100000000002</v>
      </c>
      <c r="Y105" s="3"/>
      <c r="Z105" s="7">
        <f t="shared" si="27"/>
        <v>-9.9861962142092461E-2</v>
      </c>
    </row>
    <row r="106" spans="1:26" s="68" customFormat="1" ht="15" customHeight="1" outlineLevel="1" collapsed="1" x14ac:dyDescent="0.3">
      <c r="A106" s="20"/>
      <c r="B106" s="11" t="str">
        <f>CONCATENATE("     ","Training                                          ")</f>
        <v xml:space="preserve">     Training                                          </v>
      </c>
      <c r="C106" s="11"/>
      <c r="D106" s="2">
        <f>SUM(OSRRefD22_20x_0)</f>
        <v>14.95</v>
      </c>
      <c r="E106" s="2"/>
      <c r="F106" s="5">
        <f t="shared" si="20"/>
        <v>2.2587943779438927E-4</v>
      </c>
      <c r="G106" s="2"/>
      <c r="H106" s="2">
        <f>SUM(OSRRefH22_20x_0)</f>
        <v>12.99</v>
      </c>
      <c r="I106" s="2"/>
      <c r="J106" s="5">
        <f t="shared" si="21"/>
        <v>1.94668977317992E-4</v>
      </c>
      <c r="K106" s="2"/>
      <c r="L106" s="2">
        <f t="shared" si="22"/>
        <v>1.9599999999999991</v>
      </c>
      <c r="M106" s="2"/>
      <c r="N106" s="5">
        <f t="shared" si="23"/>
        <v>0.1508852963818321</v>
      </c>
      <c r="O106" s="11"/>
      <c r="P106" s="2">
        <f>SUM(OSRRefP22_20x_0)</f>
        <v>830.9</v>
      </c>
      <c r="Q106" s="2"/>
      <c r="R106" s="5">
        <f t="shared" si="24"/>
        <v>4.0069823826067969E-4</v>
      </c>
      <c r="S106" s="2"/>
      <c r="T106" s="2">
        <f>SUM(OSRRefT22_20x_0)</f>
        <v>412.99</v>
      </c>
      <c r="U106" s="2"/>
      <c r="V106" s="5">
        <f t="shared" si="25"/>
        <v>7.0238707179202367E-4</v>
      </c>
      <c r="W106" s="2"/>
      <c r="X106" s="2">
        <f t="shared" si="26"/>
        <v>417.90999999999997</v>
      </c>
      <c r="Y106" s="2"/>
      <c r="Z106" s="5">
        <f t="shared" si="27"/>
        <v>1.0119131213830843</v>
      </c>
    </row>
    <row r="107" spans="1:26" s="69" customFormat="1" ht="15" hidden="1" customHeight="1" outlineLevel="2" x14ac:dyDescent="0.3">
      <c r="A107" s="21"/>
      <c r="B107" s="9" t="str">
        <f>CONCATENATE("          ","6376"," - ","TRAINING")</f>
        <v xml:space="preserve">          6376 - TRAINING</v>
      </c>
      <c r="C107" s="9"/>
      <c r="D107" s="6">
        <v>14.95</v>
      </c>
      <c r="E107" s="3"/>
      <c r="F107" s="7">
        <f t="shared" si="20"/>
        <v>2.2587943779438927E-4</v>
      </c>
      <c r="G107" s="3"/>
      <c r="H107" s="6">
        <v>12.99</v>
      </c>
      <c r="I107" s="3"/>
      <c r="J107" s="7">
        <f t="shared" si="21"/>
        <v>1.94668977317992E-4</v>
      </c>
      <c r="K107" s="3"/>
      <c r="L107" s="6">
        <f t="shared" si="22"/>
        <v>1.9599999999999991</v>
      </c>
      <c r="M107" s="3"/>
      <c r="N107" s="7">
        <f t="shared" si="23"/>
        <v>0.1508852963818321</v>
      </c>
      <c r="O107" s="9"/>
      <c r="P107" s="6">
        <v>830.9</v>
      </c>
      <c r="Q107" s="3"/>
      <c r="R107" s="7">
        <f t="shared" si="24"/>
        <v>4.0069823826067969E-4</v>
      </c>
      <c r="S107" s="3"/>
      <c r="T107" s="6">
        <v>412.99</v>
      </c>
      <c r="U107" s="3"/>
      <c r="V107" s="7">
        <f t="shared" si="25"/>
        <v>7.0238707179202367E-4</v>
      </c>
      <c r="W107" s="3"/>
      <c r="X107" s="6">
        <f t="shared" si="26"/>
        <v>417.90999999999997</v>
      </c>
      <c r="Y107" s="3"/>
      <c r="Z107" s="7">
        <f t="shared" si="27"/>
        <v>1.0119131213830843</v>
      </c>
    </row>
    <row r="108" spans="1:26" s="68" customFormat="1" ht="15" customHeight="1" outlineLevel="1" collapsed="1" x14ac:dyDescent="0.3">
      <c r="A108" s="20"/>
      <c r="B108" s="11" t="str">
        <f>CONCATENATE("     ","Travel                                            ")</f>
        <v xml:space="preserve">     Travel                                            </v>
      </c>
      <c r="C108" s="11"/>
      <c r="D108" s="2">
        <f>SUM(OSRRefD22_21x_0)</f>
        <v>0</v>
      </c>
      <c r="E108" s="2"/>
      <c r="F108" s="5">
        <f t="shared" si="20"/>
        <v>0</v>
      </c>
      <c r="G108" s="2"/>
      <c r="H108" s="2">
        <f>SUM(OSRRefH22_21x_0)</f>
        <v>0</v>
      </c>
      <c r="I108" s="2"/>
      <c r="J108" s="5">
        <f t="shared" si="21"/>
        <v>0</v>
      </c>
      <c r="K108" s="2"/>
      <c r="L108" s="2">
        <f t="shared" si="22"/>
        <v>0</v>
      </c>
      <c r="M108" s="2"/>
      <c r="N108" s="5">
        <f t="shared" si="23"/>
        <v>0</v>
      </c>
      <c r="O108" s="11"/>
      <c r="P108" s="2">
        <f>SUM(OSRRefP22_21x_0)</f>
        <v>141.24</v>
      </c>
      <c r="Q108" s="2"/>
      <c r="R108" s="5">
        <f t="shared" si="24"/>
        <v>6.8112431305738846E-5</v>
      </c>
      <c r="S108" s="2"/>
      <c r="T108" s="2">
        <f>SUM(OSRRefT22_21x_0)</f>
        <v>332.21</v>
      </c>
      <c r="U108" s="2"/>
      <c r="V108" s="5">
        <f t="shared" si="25"/>
        <v>5.6500159597091496E-4</v>
      </c>
      <c r="W108" s="2"/>
      <c r="X108" s="2">
        <f t="shared" si="26"/>
        <v>-190.96999999999997</v>
      </c>
      <c r="Y108" s="2"/>
      <c r="Z108" s="5">
        <f t="shared" si="27"/>
        <v>-0.5748472351825652</v>
      </c>
    </row>
    <row r="109" spans="1:26" s="69" customFormat="1" ht="15" hidden="1" customHeight="1" outlineLevel="2" x14ac:dyDescent="0.3">
      <c r="A109" s="21"/>
      <c r="B109" s="9" t="str">
        <f>CONCATENATE("          ","6292"," - ","TRAVEL/CONFERENCE")</f>
        <v xml:space="preserve">          6292 - TRAVEL/CONFERENCE</v>
      </c>
      <c r="C109" s="9"/>
      <c r="D109" s="6"/>
      <c r="E109" s="3"/>
      <c r="F109" s="7">
        <f t="shared" si="20"/>
        <v>0</v>
      </c>
      <c r="G109" s="3"/>
      <c r="H109" s="6"/>
      <c r="I109" s="3"/>
      <c r="J109" s="7">
        <f t="shared" si="21"/>
        <v>0</v>
      </c>
      <c r="K109" s="3"/>
      <c r="L109" s="6">
        <f t="shared" si="22"/>
        <v>0</v>
      </c>
      <c r="M109" s="3"/>
      <c r="N109" s="7">
        <f t="shared" si="23"/>
        <v>0</v>
      </c>
      <c r="O109" s="9"/>
      <c r="P109" s="6">
        <v>18.59</v>
      </c>
      <c r="Q109" s="3"/>
      <c r="R109" s="7">
        <f t="shared" si="24"/>
        <v>8.9649539646961552E-6</v>
      </c>
      <c r="S109" s="3"/>
      <c r="T109" s="6"/>
      <c r="U109" s="3"/>
      <c r="V109" s="7">
        <f t="shared" si="25"/>
        <v>0</v>
      </c>
      <c r="W109" s="3"/>
      <c r="X109" s="6">
        <f t="shared" si="26"/>
        <v>18.59</v>
      </c>
      <c r="Y109" s="3"/>
      <c r="Z109" s="7">
        <f t="shared" si="27"/>
        <v>0</v>
      </c>
    </row>
    <row r="110" spans="1:26" s="69" customFormat="1" ht="15" hidden="1" customHeight="1" outlineLevel="2" x14ac:dyDescent="0.3">
      <c r="A110" s="21"/>
      <c r="B110" s="9" t="str">
        <f>CONCATENATE("          ","6298"," - ","VEHICLE MILEAGE")</f>
        <v xml:space="preserve">          6298 - VEHICLE MILEAGE</v>
      </c>
      <c r="C110" s="9"/>
      <c r="D110" s="6"/>
      <c r="E110" s="3"/>
      <c r="F110" s="7">
        <f t="shared" si="20"/>
        <v>0</v>
      </c>
      <c r="G110" s="3"/>
      <c r="H110" s="6"/>
      <c r="I110" s="3"/>
      <c r="J110" s="7">
        <f t="shared" si="21"/>
        <v>0</v>
      </c>
      <c r="K110" s="3"/>
      <c r="L110" s="6">
        <f t="shared" si="22"/>
        <v>0</v>
      </c>
      <c r="M110" s="3"/>
      <c r="N110" s="7">
        <f t="shared" si="23"/>
        <v>0</v>
      </c>
      <c r="O110" s="9"/>
      <c r="P110" s="6">
        <v>122.65</v>
      </c>
      <c r="Q110" s="3"/>
      <c r="R110" s="7">
        <f t="shared" si="24"/>
        <v>5.9147477341042691E-5</v>
      </c>
      <c r="S110" s="3"/>
      <c r="T110" s="6">
        <v>332.21</v>
      </c>
      <c r="U110" s="3"/>
      <c r="V110" s="7">
        <f t="shared" si="25"/>
        <v>5.6500159597091496E-4</v>
      </c>
      <c r="W110" s="3"/>
      <c r="X110" s="6">
        <f t="shared" si="26"/>
        <v>-209.55999999999997</v>
      </c>
      <c r="Y110" s="3"/>
      <c r="Z110" s="7">
        <f t="shared" si="27"/>
        <v>-0.63080581559856708</v>
      </c>
    </row>
    <row r="111" spans="1:26" s="68" customFormat="1" ht="15" customHeight="1" outlineLevel="1" collapsed="1" x14ac:dyDescent="0.3">
      <c r="A111" s="20"/>
      <c r="B111" s="11" t="str">
        <f>CONCATENATE("     ","Utilities                                         ")</f>
        <v xml:space="preserve">     Utilities                                         </v>
      </c>
      <c r="C111" s="11"/>
      <c r="D111" s="2">
        <f>SUM(OSRRefD22_22x_0)</f>
        <v>13392.34</v>
      </c>
      <c r="E111" s="2"/>
      <c r="F111" s="5">
        <f t="shared" si="20"/>
        <v>0.20234476454523823</v>
      </c>
      <c r="G111" s="2"/>
      <c r="H111" s="2">
        <f>SUM(OSRRefH22_22x_0)</f>
        <v>39393</v>
      </c>
      <c r="I111" s="2"/>
      <c r="J111" s="5">
        <f t="shared" si="21"/>
        <v>0.59034603721998913</v>
      </c>
      <c r="K111" s="2"/>
      <c r="L111" s="2">
        <f t="shared" si="22"/>
        <v>-26000.66</v>
      </c>
      <c r="M111" s="2"/>
      <c r="N111" s="5">
        <f t="shared" si="23"/>
        <v>-0.66003249308252732</v>
      </c>
      <c r="O111" s="11"/>
      <c r="P111" s="2">
        <f>SUM(OSRRefP22_22x_0)</f>
        <v>122897</v>
      </c>
      <c r="Q111" s="2"/>
      <c r="R111" s="5">
        <f t="shared" si="24"/>
        <v>5.9266592114000184E-2</v>
      </c>
      <c r="S111" s="2"/>
      <c r="T111" s="2">
        <f>SUM(OSRRefT22_22x_0)</f>
        <v>52149</v>
      </c>
      <c r="U111" s="2"/>
      <c r="V111" s="5">
        <f t="shared" si="25"/>
        <v>8.8691695699368606E-2</v>
      </c>
      <c r="W111" s="2"/>
      <c r="X111" s="2">
        <f t="shared" si="26"/>
        <v>70748</v>
      </c>
      <c r="Y111" s="2"/>
      <c r="Z111" s="5">
        <f t="shared" si="27"/>
        <v>1.3566511342499377</v>
      </c>
    </row>
    <row r="112" spans="1:26" s="69" customFormat="1" ht="15" hidden="1" customHeight="1" outlineLevel="2" x14ac:dyDescent="0.3">
      <c r="A112" s="21"/>
      <c r="B112" s="9" t="str">
        <f>CONCATENATE("          ","6274"," - ","UTILITIES")</f>
        <v xml:space="preserve">          6274 - UTILITIES</v>
      </c>
      <c r="C112" s="9"/>
      <c r="D112" s="6">
        <v>13392.34</v>
      </c>
      <c r="E112" s="3"/>
      <c r="F112" s="7">
        <f t="shared" si="20"/>
        <v>0.20234476454523823</v>
      </c>
      <c r="G112" s="3"/>
      <c r="H112" s="6">
        <v>39393</v>
      </c>
      <c r="I112" s="3"/>
      <c r="J112" s="7">
        <f t="shared" si="21"/>
        <v>0.59034603721998913</v>
      </c>
      <c r="K112" s="3"/>
      <c r="L112" s="6">
        <f t="shared" si="22"/>
        <v>-26000.66</v>
      </c>
      <c r="M112" s="3"/>
      <c r="N112" s="7">
        <f t="shared" si="23"/>
        <v>-0.66003249308252732</v>
      </c>
      <c r="O112" s="9"/>
      <c r="P112" s="6">
        <v>122897</v>
      </c>
      <c r="Q112" s="3"/>
      <c r="R112" s="7">
        <f t="shared" si="24"/>
        <v>5.9266592114000184E-2</v>
      </c>
      <c r="S112" s="3"/>
      <c r="T112" s="6">
        <v>52149</v>
      </c>
      <c r="U112" s="3"/>
      <c r="V112" s="7">
        <f t="shared" si="25"/>
        <v>8.8691695699368606E-2</v>
      </c>
      <c r="W112" s="3"/>
      <c r="X112" s="6">
        <f t="shared" si="26"/>
        <v>70748</v>
      </c>
      <c r="Y112" s="3"/>
      <c r="Z112" s="7">
        <f t="shared" si="27"/>
        <v>1.3566511342499377</v>
      </c>
    </row>
    <row r="113" spans="1:26" s="64" customFormat="1" ht="15" customHeight="1" x14ac:dyDescent="0.3">
      <c r="A113" s="37"/>
      <c r="B113" s="37"/>
      <c r="C113" s="37"/>
      <c r="D113" s="2"/>
      <c r="E113" s="2"/>
      <c r="F113" s="5"/>
      <c r="G113" s="2"/>
      <c r="H113" s="2"/>
      <c r="I113" s="2"/>
      <c r="J113" s="5"/>
      <c r="K113" s="2"/>
      <c r="L113" s="2"/>
      <c r="M113" s="2"/>
      <c r="N113" s="5"/>
      <c r="O113" s="37"/>
      <c r="P113" s="2"/>
      <c r="Q113" s="2"/>
      <c r="R113" s="5"/>
      <c r="S113" s="2"/>
      <c r="T113" s="2"/>
      <c r="U113" s="2"/>
      <c r="V113" s="5"/>
      <c r="W113" s="2"/>
      <c r="X113" s="2"/>
      <c r="Y113" s="2"/>
      <c r="Z113" s="5"/>
    </row>
    <row r="114" spans="1:26" s="62" customFormat="1" ht="15" customHeight="1" collapsed="1" x14ac:dyDescent="0.3">
      <c r="A114" s="13"/>
      <c r="B114" s="27" t="s">
        <v>290</v>
      </c>
      <c r="C114" s="13"/>
      <c r="D114" s="8">
        <f>SUM(OSRRefD25x_0)</f>
        <v>20761.61</v>
      </c>
      <c r="E114" s="8"/>
      <c r="F114" s="14">
        <f>IF(D$12=0,0,D114/D$12)</f>
        <v>0.31368700966597796</v>
      </c>
      <c r="G114" s="8"/>
      <c r="H114" s="8">
        <f>SUM(OSRRefH25x_0)</f>
        <v>1026.5</v>
      </c>
      <c r="I114" s="8"/>
      <c r="J114" s="14">
        <f>IF(H$12=0,0,H114/H$12)</f>
        <v>1.5383195166814379E-2</v>
      </c>
      <c r="K114" s="8"/>
      <c r="L114" s="8">
        <f>+D114-H114</f>
        <v>19735.11</v>
      </c>
      <c r="M114" s="8"/>
      <c r="N114" s="14">
        <f>IF(H114=0,0,L114/H114)</f>
        <v>19.225630784218218</v>
      </c>
      <c r="O114" s="13"/>
      <c r="P114" s="8">
        <f>SUM(OSRRefP25x_0)</f>
        <v>228646.99</v>
      </c>
      <c r="Q114" s="8"/>
      <c r="R114" s="14">
        <f>IF(P$12=0,0,P114/P$12)</f>
        <v>0.11026410648285864</v>
      </c>
      <c r="S114" s="8"/>
      <c r="T114" s="8">
        <f>SUM(OSRRefT25x_0)</f>
        <v>23513.16</v>
      </c>
      <c r="U114" s="8"/>
      <c r="V114" s="14">
        <f>IF(T$12=0,0,T114/T$12)</f>
        <v>3.9989684014085904E-2</v>
      </c>
      <c r="W114" s="8"/>
      <c r="X114" s="8">
        <f>+P114-T114</f>
        <v>205133.83</v>
      </c>
      <c r="Y114" s="8"/>
      <c r="Z114" s="14">
        <f>IF(T114=0,0,X114/T114)</f>
        <v>8.7242135893261477</v>
      </c>
    </row>
    <row r="115" spans="1:26" s="69" customFormat="1" ht="15" hidden="1" customHeight="1" outlineLevel="1" x14ac:dyDescent="0.3">
      <c r="A115" s="47"/>
      <c r="B115" s="9" t="str">
        <f>CONCATENATE("          ","9150"," - ","MISC. INCOME")</f>
        <v xml:space="preserve">          9150 - MISC. INCOME</v>
      </c>
      <c r="C115" s="9"/>
      <c r="D115" s="3">
        <f>--20761.61</f>
        <v>20761.61</v>
      </c>
      <c r="E115" s="3"/>
      <c r="F115" s="26">
        <f>IF(D$12=0,0,D115/D$12)</f>
        <v>0.31368700966597796</v>
      </c>
      <c r="G115" s="3"/>
      <c r="H115" s="3">
        <f>--449.64</f>
        <v>449.64</v>
      </c>
      <c r="I115" s="3"/>
      <c r="J115" s="26">
        <f>IF(H$12=0,0,H115/H$12)</f>
        <v>6.7383340231918333E-3</v>
      </c>
      <c r="K115" s="3"/>
      <c r="L115" s="3">
        <f>+D115-H115</f>
        <v>20311.97</v>
      </c>
      <c r="M115" s="3"/>
      <c r="N115" s="26">
        <f>IF(H115=0,0,L115/H115)</f>
        <v>45.17385019126413</v>
      </c>
      <c r="O115" s="9"/>
      <c r="P115" s="3">
        <f>--228646.99</f>
        <v>228646.99</v>
      </c>
      <c r="Q115" s="3"/>
      <c r="R115" s="26">
        <f>IF(P$12=0,0,P115/P$12)</f>
        <v>0.11026410648285864</v>
      </c>
      <c r="S115" s="3"/>
      <c r="T115" s="3">
        <f>--5799.56</f>
        <v>5799.56</v>
      </c>
      <c r="U115" s="3"/>
      <c r="V115" s="26">
        <f>IF(T$12=0,0,T115/T$12)</f>
        <v>9.863522037052104E-3</v>
      </c>
      <c r="W115" s="3"/>
      <c r="X115" s="3">
        <f>+P115-T115</f>
        <v>222847.43</v>
      </c>
      <c r="Y115" s="3"/>
      <c r="Z115" s="26">
        <f>IF(T115=0,0,X115/T115)</f>
        <v>38.42488568098269</v>
      </c>
    </row>
    <row r="116" spans="1:26" s="69" customFormat="1" ht="15" hidden="1" customHeight="1" outlineLevel="1" x14ac:dyDescent="0.3">
      <c r="A116" s="47"/>
      <c r="B116" s="9" t="str">
        <f>CONCATENATE("          ","9160"," - ","MISC. INCOME")</f>
        <v xml:space="preserve">          9160 - MISC. INCOME</v>
      </c>
      <c r="C116" s="9"/>
      <c r="D116" s="3">
        <f>0</f>
        <v>0</v>
      </c>
      <c r="E116" s="3"/>
      <c r="F116" s="26">
        <f>IF(D$12=0,0,D116/D$12)</f>
        <v>0</v>
      </c>
      <c r="G116" s="3"/>
      <c r="H116" s="3">
        <f>0</f>
        <v>0</v>
      </c>
      <c r="I116" s="3"/>
      <c r="J116" s="26">
        <f>IF(H$12=0,0,H116/H$12)</f>
        <v>0</v>
      </c>
      <c r="K116" s="3"/>
      <c r="L116" s="3">
        <f>+D116-H116</f>
        <v>0</v>
      </c>
      <c r="M116" s="3"/>
      <c r="N116" s="26">
        <f>IF(H116=0,0,L116/H116)</f>
        <v>0</v>
      </c>
      <c r="O116" s="9"/>
      <c r="P116" s="3">
        <f>0</f>
        <v>0</v>
      </c>
      <c r="Q116" s="3"/>
      <c r="R116" s="26">
        <f>IF(P$12=0,0,P116/P$12)</f>
        <v>0</v>
      </c>
      <c r="S116" s="3"/>
      <c r="T116" s="3">
        <f>--13615.06</f>
        <v>13615.06</v>
      </c>
      <c r="U116" s="3"/>
      <c r="V116" s="26">
        <f>IF(T$12=0,0,T116/T$12)</f>
        <v>2.3155626348513786E-2</v>
      </c>
      <c r="W116" s="3"/>
      <c r="X116" s="3">
        <f>+P116-T116</f>
        <v>-13615.06</v>
      </c>
      <c r="Y116" s="3"/>
      <c r="Z116" s="26">
        <f>IF(T116=0,0,X116/T116)</f>
        <v>-1</v>
      </c>
    </row>
    <row r="117" spans="1:26" s="69" customFormat="1" ht="15" hidden="1" customHeight="1" outlineLevel="1" x14ac:dyDescent="0.3">
      <c r="A117" s="47"/>
      <c r="B117" s="9" t="str">
        <f>CONCATENATE("          ","9165"," - ","OTHER INCOME")</f>
        <v xml:space="preserve">          9165 - OTHER INCOME</v>
      </c>
      <c r="C117" s="9"/>
      <c r="D117" s="3">
        <f>0</f>
        <v>0</v>
      </c>
      <c r="E117" s="3"/>
      <c r="F117" s="26">
        <f>IF(D$12=0,0,D117/D$12)</f>
        <v>0</v>
      </c>
      <c r="G117" s="3"/>
      <c r="H117" s="3">
        <f>--576.86</f>
        <v>576.86</v>
      </c>
      <c r="I117" s="3"/>
      <c r="J117" s="26">
        <f>IF(H$12=0,0,H117/H$12)</f>
        <v>8.6448611436225446E-3</v>
      </c>
      <c r="K117" s="3"/>
      <c r="L117" s="3">
        <f>+D117-H117</f>
        <v>-576.86</v>
      </c>
      <c r="M117" s="3"/>
      <c r="N117" s="26">
        <f>IF(H117=0,0,L117/H117)</f>
        <v>-1</v>
      </c>
      <c r="O117" s="9"/>
      <c r="P117" s="3">
        <f>0</f>
        <v>0</v>
      </c>
      <c r="Q117" s="3"/>
      <c r="R117" s="26">
        <f>IF(P$12=0,0,P117/P$12)</f>
        <v>0</v>
      </c>
      <c r="S117" s="3"/>
      <c r="T117" s="3">
        <f>--4098.54</f>
        <v>4098.54</v>
      </c>
      <c r="U117" s="3"/>
      <c r="V117" s="26">
        <f>IF(T$12=0,0,T117/T$12)</f>
        <v>6.9705356285200137E-3</v>
      </c>
      <c r="W117" s="3"/>
      <c r="X117" s="3">
        <f>+P117-T117</f>
        <v>-4098.54</v>
      </c>
      <c r="Y117" s="3"/>
      <c r="Z117" s="26">
        <f>IF(T117=0,0,X117/T117)</f>
        <v>-1</v>
      </c>
    </row>
    <row r="118" spans="1:26" ht="15" customHeight="1" x14ac:dyDescent="0.3">
      <c r="A118" s="12"/>
      <c r="B118" s="13"/>
      <c r="C118" s="13"/>
      <c r="D118" s="4"/>
      <c r="E118" s="4"/>
      <c r="F118" s="10"/>
      <c r="G118" s="4"/>
      <c r="H118" s="4"/>
      <c r="I118" s="4"/>
      <c r="J118" s="10"/>
      <c r="K118" s="4"/>
      <c r="L118" s="4"/>
      <c r="M118" s="4"/>
      <c r="N118" s="10"/>
      <c r="O118" s="13"/>
      <c r="P118" s="4"/>
      <c r="Q118" s="4"/>
      <c r="R118" s="10"/>
      <c r="S118" s="4"/>
      <c r="T118" s="4"/>
      <c r="U118" s="4"/>
      <c r="V118" s="10"/>
      <c r="W118" s="4"/>
      <c r="X118" s="4"/>
      <c r="Y118" s="4"/>
      <c r="Z118" s="10"/>
    </row>
    <row r="119" spans="1:26" s="62" customFormat="1" ht="15" customHeight="1" x14ac:dyDescent="0.3">
      <c r="A119" s="13"/>
      <c r="B119" s="28" t="s">
        <v>291</v>
      </c>
      <c r="C119" s="28"/>
      <c r="D119" s="22">
        <f>+D33-D35+D114</f>
        <v>-209451.40000000002</v>
      </c>
      <c r="E119" s="15"/>
      <c r="F119" s="24">
        <f>IF(D$12=0,0,D119/D$12)</f>
        <v>-3.1645996305851338</v>
      </c>
      <c r="G119" s="15"/>
      <c r="H119" s="22">
        <f>+H33-H35+H114</f>
        <v>-121463.82000000002</v>
      </c>
      <c r="I119" s="15"/>
      <c r="J119" s="24">
        <f>IF(H$12=0,0,H119/H$12)</f>
        <v>-1.8202646359150627</v>
      </c>
      <c r="K119" s="17"/>
      <c r="L119" s="22">
        <f>+D119-H119</f>
        <v>-87987.58</v>
      </c>
      <c r="M119" s="17"/>
      <c r="N119" s="24">
        <f>IF(H119=0,0,L119/H119)</f>
        <v>0.72439332140220836</v>
      </c>
      <c r="O119" s="27"/>
      <c r="P119" s="22">
        <f>+P33-P35+P114</f>
        <v>-1300175.9999999995</v>
      </c>
      <c r="Q119" s="15"/>
      <c r="R119" s="24">
        <f>IF(P$12=0,0,P119/P$12)</f>
        <v>-0.62700473297486736</v>
      </c>
      <c r="S119" s="15"/>
      <c r="T119" s="22">
        <f>+T33-T35+T114</f>
        <v>-1105639.0300000005</v>
      </c>
      <c r="U119" s="15"/>
      <c r="V119" s="24">
        <f>IF(T$12=0,0,T119/T$12)</f>
        <v>-1.8804003988974882</v>
      </c>
      <c r="W119" s="17"/>
      <c r="X119" s="22">
        <f>+P119-T119</f>
        <v>-194536.96999999904</v>
      </c>
      <c r="Y119" s="17"/>
      <c r="Z119" s="24">
        <f>IF(T119=0,0,X119/T119)</f>
        <v>0.17594980343629779</v>
      </c>
    </row>
    <row r="120" spans="1:26" ht="15" customHeight="1" x14ac:dyDescent="0.3">
      <c r="A120" s="12"/>
      <c r="B120" s="13"/>
      <c r="C120" s="12"/>
      <c r="D120" s="4"/>
      <c r="E120" s="4"/>
      <c r="F120" s="10"/>
      <c r="G120" s="4"/>
      <c r="H120" s="4"/>
      <c r="I120" s="4"/>
      <c r="J120" s="10"/>
      <c r="K120" s="4"/>
      <c r="L120" s="4"/>
      <c r="M120" s="4"/>
      <c r="N120" s="10"/>
      <c r="P120" s="4"/>
      <c r="Q120" s="4"/>
      <c r="R120" s="10"/>
      <c r="S120" s="4"/>
      <c r="T120" s="4"/>
      <c r="U120" s="4"/>
      <c r="V120" s="10"/>
      <c r="W120" s="4"/>
      <c r="X120" s="4"/>
      <c r="Y120" s="4"/>
      <c r="Z120" s="10"/>
    </row>
    <row r="121" spans="1:26" s="62" customFormat="1" ht="15" customHeight="1" x14ac:dyDescent="0.3">
      <c r="A121" s="48"/>
      <c r="B121" s="13" t="s">
        <v>292</v>
      </c>
      <c r="C121" s="13"/>
      <c r="D121" s="8">
        <v>-464753.86</v>
      </c>
      <c r="E121" s="8"/>
      <c r="F121" s="14">
        <f>IF(D$12=0,0,D121/D$12)</f>
        <v>-7.0219625825800867</v>
      </c>
      <c r="G121" s="8"/>
      <c r="H121" s="8">
        <v>51363.29</v>
      </c>
      <c r="I121" s="8"/>
      <c r="J121" s="14">
        <f>IF(H$12=0,0,H121/H$12)</f>
        <v>0.76973357474884108</v>
      </c>
      <c r="K121" s="8"/>
      <c r="L121" s="8">
        <f>+D121-H121</f>
        <v>-516117.14999999997</v>
      </c>
      <c r="M121" s="8"/>
      <c r="N121" s="14">
        <f>IF(H121=0,0,L121/H121)</f>
        <v>-10.048366255354747</v>
      </c>
      <c r="O121" s="13"/>
      <c r="P121" s="8">
        <v>-239066.2</v>
      </c>
      <c r="Q121" s="8"/>
      <c r="R121" s="14">
        <f>IF(P$12=0,0,P121/P$12)</f>
        <v>-0.11528872929073933</v>
      </c>
      <c r="S121" s="8"/>
      <c r="T121" s="8">
        <v>162749.89000000001</v>
      </c>
      <c r="U121" s="8"/>
      <c r="V121" s="14">
        <f>IF(T$12=0,0,T121/T$12)</f>
        <v>0.27679464072150406</v>
      </c>
      <c r="W121" s="8"/>
      <c r="X121" s="8">
        <f>+P121-T121</f>
        <v>-401816.09</v>
      </c>
      <c r="Y121" s="8"/>
      <c r="Z121" s="14">
        <f>IF(T121=0,0,X121/T121)</f>
        <v>-2.4689177362884851</v>
      </c>
    </row>
    <row r="122" spans="1:26" ht="15" customHeight="1" x14ac:dyDescent="0.3">
      <c r="A122" s="12"/>
      <c r="B122" s="13"/>
      <c r="C122" s="13"/>
      <c r="D122" s="4"/>
      <c r="E122" s="4"/>
      <c r="F122" s="10"/>
      <c r="G122" s="4"/>
      <c r="H122" s="4"/>
      <c r="I122" s="4"/>
      <c r="J122" s="10"/>
      <c r="K122" s="4"/>
      <c r="L122" s="4"/>
      <c r="M122" s="4"/>
      <c r="N122" s="10"/>
      <c r="O122" s="13"/>
      <c r="P122" s="4"/>
      <c r="Q122" s="4"/>
      <c r="R122" s="10"/>
      <c r="S122" s="4"/>
      <c r="T122" s="4"/>
      <c r="U122" s="4"/>
      <c r="V122" s="10"/>
      <c r="W122" s="4"/>
      <c r="X122" s="4"/>
      <c r="Y122" s="4"/>
      <c r="Z122" s="10"/>
    </row>
    <row r="123" spans="1:26" s="62" customFormat="1" ht="15" customHeight="1" x14ac:dyDescent="0.3">
      <c r="A123" s="13"/>
      <c r="B123" s="28" t="s">
        <v>293</v>
      </c>
      <c r="C123" s="28"/>
      <c r="D123" s="29">
        <f>+D119-D121</f>
        <v>255302.45999999996</v>
      </c>
      <c r="E123" s="15"/>
      <c r="F123" s="31">
        <f>IF(D$12=0,0,D123/D$12)</f>
        <v>3.8573629519949528</v>
      </c>
      <c r="G123" s="15"/>
      <c r="H123" s="29">
        <f>+H119-H121</f>
        <v>-172827.11000000002</v>
      </c>
      <c r="I123" s="15"/>
      <c r="J123" s="31">
        <f>IF(H$12=0,0,H123/H$12)</f>
        <v>-2.5899982106639037</v>
      </c>
      <c r="K123" s="17"/>
      <c r="L123" s="29">
        <f>D123-H123</f>
        <v>428129.56999999995</v>
      </c>
      <c r="M123" s="17"/>
      <c r="N123" s="31">
        <f>IF(H123=0,0,L123/H123)</f>
        <v>-2.4772130367741489</v>
      </c>
      <c r="O123" s="27"/>
      <c r="P123" s="29">
        <f>+P119-P121</f>
        <v>-1061109.7999999996</v>
      </c>
      <c r="Q123" s="15"/>
      <c r="R123" s="31">
        <f>IF(P$12=0,0,P123/P$12)</f>
        <v>-0.51171600368412806</v>
      </c>
      <c r="S123" s="15"/>
      <c r="T123" s="29">
        <f>+T119-T121</f>
        <v>-1268388.9200000004</v>
      </c>
      <c r="U123" s="15"/>
      <c r="V123" s="31">
        <f>IF(T$12=0,0,T123/T$12)</f>
        <v>-2.1571950396189923</v>
      </c>
      <c r="W123" s="17"/>
      <c r="X123" s="29">
        <f>P123-T123</f>
        <v>207279.12000000081</v>
      </c>
      <c r="Y123" s="17"/>
      <c r="Z123" s="31">
        <f>IF(T123=0,0,X123/T123)</f>
        <v>-0.16341921372192431</v>
      </c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ht="15" customHeight="1" x14ac:dyDescent="0.3">
      <c r="A125" s="12"/>
      <c r="B125" s="12"/>
      <c r="C125" s="12"/>
      <c r="D125" s="4"/>
      <c r="E125" s="4"/>
      <c r="F125" s="10"/>
      <c r="G125" s="4"/>
      <c r="H125" s="4"/>
      <c r="I125" s="4"/>
      <c r="J125" s="10"/>
      <c r="K125" s="4"/>
      <c r="L125" s="4"/>
      <c r="M125" s="4"/>
      <c r="N125" s="10"/>
      <c r="P125" s="4"/>
      <c r="Q125" s="4"/>
      <c r="R125" s="10"/>
      <c r="S125" s="4"/>
      <c r="T125" s="4"/>
      <c r="U125" s="4"/>
      <c r="V125" s="10"/>
      <c r="W125" s="4"/>
      <c r="X125" s="4"/>
      <c r="Y125" s="4"/>
      <c r="Z125" s="10"/>
    </row>
    <row r="126" spans="1:26" s="62" customFormat="1" ht="15" customHeight="1" x14ac:dyDescent="0.3">
      <c r="A126" s="13"/>
      <c r="B126" s="28" t="s">
        <v>296</v>
      </c>
      <c r="C126" s="28"/>
      <c r="D126" s="30">
        <f>SUM(D123:D125)</f>
        <v>255302.45999999996</v>
      </c>
      <c r="E126" s="15"/>
      <c r="F126" s="35">
        <f>IF(D$12=0,0,D126/D$12)</f>
        <v>3.8573629519949528</v>
      </c>
      <c r="G126" s="15"/>
      <c r="H126" s="30">
        <f>SUM(H123:H125)</f>
        <v>-172827.11000000002</v>
      </c>
      <c r="I126" s="15"/>
      <c r="J126" s="35">
        <f>IF(H$12=0,0,H126/H$12)</f>
        <v>-2.5899982106639037</v>
      </c>
      <c r="K126" s="17"/>
      <c r="L126" s="30">
        <f>+D126-H126</f>
        <v>428129.56999999995</v>
      </c>
      <c r="M126" s="17"/>
      <c r="N126" s="35">
        <f>IF(H126=0,0,L126/H126)</f>
        <v>-2.4772130367741489</v>
      </c>
      <c r="O126" s="27"/>
      <c r="P126" s="30">
        <f>SUM(P123:P125)</f>
        <v>-1061109.7999999996</v>
      </c>
      <c r="Q126" s="15"/>
      <c r="R126" s="35">
        <f>IF(P$12=0,0,P126/P$12)</f>
        <v>-0.51171600368412806</v>
      </c>
      <c r="S126" s="15"/>
      <c r="T126" s="30">
        <f>SUM(T123:T125)</f>
        <v>-1268388.9200000004</v>
      </c>
      <c r="U126" s="15"/>
      <c r="V126" s="35">
        <f>IF(T$12=0,0,T126/T$12)</f>
        <v>-2.1571950396189923</v>
      </c>
      <c r="W126" s="17"/>
      <c r="X126" s="30">
        <f>+P126-T126</f>
        <v>207279.12000000081</v>
      </c>
      <c r="Y126" s="17"/>
      <c r="Z126" s="35">
        <f>IF(T126=0,0,X126/T126)</f>
        <v>-0.16341921372192431</v>
      </c>
    </row>
    <row r="127" spans="1:26" ht="15" customHeight="1" x14ac:dyDescent="0.3">
      <c r="A127" s="12"/>
      <c r="C127" s="12"/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4">
        <v>44767.815830324071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3" t="s">
        <v>297</v>
      </c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A130" s="12"/>
      <c r="B130" s="51"/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  <row r="131" spans="1:24" ht="15" customHeight="1" x14ac:dyDescent="0.3">
      <c r="D131" s="19"/>
      <c r="E131" s="19"/>
      <c r="G131" s="19"/>
      <c r="H131" s="19"/>
      <c r="I131" s="19"/>
      <c r="J131" s="41"/>
      <c r="K131" s="19"/>
      <c r="L131" s="19"/>
      <c r="M131" s="19"/>
      <c r="P131" s="19"/>
      <c r="Q131" s="19"/>
      <c r="R131" s="41"/>
      <c r="S131" s="19"/>
      <c r="T131" s="19"/>
      <c r="U131" s="19"/>
      <c r="V131" s="41"/>
      <c r="W131" s="19"/>
      <c r="X13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A095-1CEE-BE32-E2C8-B28A8FC115CC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298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>
        <f>SUM(0)</f>
        <v>0</v>
      </c>
      <c r="E18" s="23"/>
      <c r="F18" s="34">
        <f>IF(D$12=0,0,D18/D$12)</f>
        <v>0</v>
      </c>
      <c r="G18" s="23"/>
      <c r="H18" s="23">
        <f>SUM(0)</f>
        <v>0</v>
      </c>
      <c r="I18" s="23"/>
      <c r="J18" s="34">
        <f>IF(H$12=0,0,H18/H$12)</f>
        <v>0</v>
      </c>
      <c r="K18" s="8"/>
      <c r="L18" s="23">
        <f>+D18-H18</f>
        <v>0</v>
      </c>
      <c r="M18" s="8"/>
      <c r="N18" s="34">
        <f>IF(H18=0,0,L18/H18)</f>
        <v>0</v>
      </c>
      <c r="O18" s="13"/>
      <c r="P18" s="23">
        <f>SUM(0)</f>
        <v>0</v>
      </c>
      <c r="Q18" s="23"/>
      <c r="R18" s="34">
        <f>IF(P$12=0,0,P18/P$12)</f>
        <v>0</v>
      </c>
      <c r="S18" s="23"/>
      <c r="T18" s="23">
        <f>SUM(0)</f>
        <v>0</v>
      </c>
      <c r="U18" s="23"/>
      <c r="V18" s="34">
        <f>IF(T$12=0,0,T18/T$12)</f>
        <v>0</v>
      </c>
      <c r="W18" s="8"/>
      <c r="X18" s="23">
        <f>+P18-T18</f>
        <v>0</v>
      </c>
      <c r="Y18" s="8"/>
      <c r="Z18" s="34">
        <f>IF(T18=0,0,X18/T18)</f>
        <v>0</v>
      </c>
    </row>
    <row r="19" spans="1:26" s="64" customFormat="1" ht="15" customHeight="1" x14ac:dyDescent="0.3">
      <c r="A19" s="37"/>
      <c r="B19" s="37"/>
      <c r="C19" s="37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290</v>
      </c>
      <c r="C20" s="13"/>
      <c r="D20" s="8">
        <f>SUM(0)</f>
        <v>0</v>
      </c>
      <c r="E20" s="8"/>
      <c r="F20" s="14">
        <f>IF(D$12=0,0,D20/D$12)</f>
        <v>0</v>
      </c>
      <c r="G20" s="8"/>
      <c r="H20" s="8">
        <f>SUM(0)</f>
        <v>0</v>
      </c>
      <c r="I20" s="8"/>
      <c r="J20" s="14">
        <f>IF(H$12=0,0,H20/H$12)</f>
        <v>0</v>
      </c>
      <c r="K20" s="8"/>
      <c r="L20" s="8">
        <f>+D20-H20</f>
        <v>0</v>
      </c>
      <c r="M20" s="8"/>
      <c r="N20" s="14">
        <f>IF(H20=0,0,L20/H20)</f>
        <v>0</v>
      </c>
      <c r="O20" s="13"/>
      <c r="P20" s="8">
        <f>SUM(0)</f>
        <v>0</v>
      </c>
      <c r="Q20" s="8"/>
      <c r="R20" s="14">
        <f>IF(P$12=0,0,P20/P$12)</f>
        <v>0</v>
      </c>
      <c r="S20" s="8"/>
      <c r="T20" s="8">
        <f>SUM(0)</f>
        <v>0</v>
      </c>
      <c r="U20" s="8"/>
      <c r="V20" s="14">
        <f>IF(T$12=0,0,T20/T$12)</f>
        <v>0</v>
      </c>
      <c r="W20" s="8"/>
      <c r="X20" s="8">
        <f>+P20-T20</f>
        <v>0</v>
      </c>
      <c r="Y20" s="8"/>
      <c r="Z20" s="14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2" customFormat="1" ht="15" customHeight="1" x14ac:dyDescent="0.3">
      <c r="A22" s="13"/>
      <c r="B22" s="28" t="s">
        <v>291</v>
      </c>
      <c r="C22" s="28"/>
      <c r="D22" s="22">
        <f>+D16-D18+D20</f>
        <v>0</v>
      </c>
      <c r="E22" s="15"/>
      <c r="F22" s="24">
        <f>IF(D$12=0,0,D22/D$12)</f>
        <v>0</v>
      </c>
      <c r="G22" s="15"/>
      <c r="H22" s="22">
        <f>+H16-H18+H20</f>
        <v>0</v>
      </c>
      <c r="I22" s="15"/>
      <c r="J22" s="24">
        <f>IF(H$12=0,0,H22/H$12)</f>
        <v>0</v>
      </c>
      <c r="K22" s="17"/>
      <c r="L22" s="22">
        <f>+D22-H22</f>
        <v>0</v>
      </c>
      <c r="M22" s="17"/>
      <c r="N22" s="24">
        <f>IF(H22=0,0,L22/H22)</f>
        <v>0</v>
      </c>
      <c r="O22" s="27"/>
      <c r="P22" s="22">
        <f>+P16-P18+P20</f>
        <v>0</v>
      </c>
      <c r="Q22" s="15"/>
      <c r="R22" s="24">
        <f>IF(P$12=0,0,P22/P$12)</f>
        <v>0</v>
      </c>
      <c r="S22" s="15"/>
      <c r="T22" s="22">
        <f>+T16-T18+T20</f>
        <v>0</v>
      </c>
      <c r="U22" s="15"/>
      <c r="V22" s="24">
        <f>IF(T$12=0,0,T22/T$12)</f>
        <v>0</v>
      </c>
      <c r="W22" s="17"/>
      <c r="X22" s="22">
        <f>+P22-T22</f>
        <v>0</v>
      </c>
      <c r="Y22" s="17"/>
      <c r="Z22" s="24">
        <f>IF(T22=0,0,X22/T22)</f>
        <v>0</v>
      </c>
    </row>
    <row r="23" spans="1:26" ht="15" customHeight="1" x14ac:dyDescent="0.3">
      <c r="A23" s="12"/>
      <c r="B23" s="13"/>
      <c r="C23" s="12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2" customFormat="1" ht="15" customHeight="1" x14ac:dyDescent="0.3">
      <c r="A24" s="48"/>
      <c r="B24" s="13" t="s">
        <v>292</v>
      </c>
      <c r="C24" s="13"/>
      <c r="D24" s="8"/>
      <c r="E24" s="8"/>
      <c r="F24" s="14">
        <f>IF(D$12=0,0,D24/D$12)</f>
        <v>0</v>
      </c>
      <c r="G24" s="8"/>
      <c r="H24" s="8"/>
      <c r="I24" s="8"/>
      <c r="J24" s="14">
        <f>IF(H$12=0,0,H24/H$12)</f>
        <v>0</v>
      </c>
      <c r="K24" s="8"/>
      <c r="L24" s="8">
        <f>+D24-H24</f>
        <v>0</v>
      </c>
      <c r="M24" s="8"/>
      <c r="N24" s="14">
        <f>IF(H24=0,0,L24/H24)</f>
        <v>0</v>
      </c>
      <c r="O24" s="13"/>
      <c r="P24" s="8"/>
      <c r="Q24" s="8"/>
      <c r="R24" s="14">
        <f>IF(P$12=0,0,P24/P$12)</f>
        <v>0</v>
      </c>
      <c r="S24" s="8"/>
      <c r="T24" s="8"/>
      <c r="U24" s="8"/>
      <c r="V24" s="14">
        <f>IF(T$12=0,0,T24/T$12)</f>
        <v>0</v>
      </c>
      <c r="W24" s="8"/>
      <c r="X24" s="8">
        <f>+P24-T24</f>
        <v>0</v>
      </c>
      <c r="Y24" s="8"/>
      <c r="Z24" s="14">
        <f>IF(T24=0,0,X24/T24)</f>
        <v>0</v>
      </c>
    </row>
    <row r="25" spans="1:26" ht="15" customHeight="1" x14ac:dyDescent="0.3">
      <c r="A25" s="12"/>
      <c r="B25" s="13"/>
      <c r="C25" s="13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O25" s="13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2" customFormat="1" ht="15" customHeight="1" x14ac:dyDescent="0.3">
      <c r="A26" s="13"/>
      <c r="B26" s="28" t="s">
        <v>293</v>
      </c>
      <c r="C26" s="28"/>
      <c r="D26" s="29">
        <f>+D22-D24</f>
        <v>0</v>
      </c>
      <c r="E26" s="15"/>
      <c r="F26" s="31">
        <f>IF(D$12=0,0,D26/D$12)</f>
        <v>0</v>
      </c>
      <c r="G26" s="15"/>
      <c r="H26" s="29">
        <f>+H22-H24</f>
        <v>0</v>
      </c>
      <c r="I26" s="15"/>
      <c r="J26" s="31">
        <f>IF(H$12=0,0,H26/H$12)</f>
        <v>0</v>
      </c>
      <c r="K26" s="17"/>
      <c r="L26" s="29">
        <f>D26-H26</f>
        <v>0</v>
      </c>
      <c r="M26" s="17"/>
      <c r="N26" s="31">
        <f>IF(H26=0,0,L26/H26)</f>
        <v>0</v>
      </c>
      <c r="O26" s="27"/>
      <c r="P26" s="29">
        <f>+P22-P24</f>
        <v>0</v>
      </c>
      <c r="Q26" s="15"/>
      <c r="R26" s="31">
        <f>IF(P$12=0,0,P26/P$12)</f>
        <v>0</v>
      </c>
      <c r="S26" s="15"/>
      <c r="T26" s="29">
        <f>+T22-T24</f>
        <v>0</v>
      </c>
      <c r="U26" s="15"/>
      <c r="V26" s="31">
        <f>IF(T$12=0,0,T26/T$12)</f>
        <v>0</v>
      </c>
      <c r="W26" s="17"/>
      <c r="X26" s="29">
        <f>P26-T26</f>
        <v>0</v>
      </c>
      <c r="Y26" s="17"/>
      <c r="Z26" s="31">
        <f>IF(T26=0,0,X26/T26)</f>
        <v>0</v>
      </c>
    </row>
    <row r="27" spans="1:26" ht="15" customHeight="1" x14ac:dyDescent="0.3">
      <c r="A27" s="12"/>
      <c r="B27" s="12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2" customFormat="1" ht="15" customHeight="1" x14ac:dyDescent="0.3">
      <c r="A28" s="48"/>
      <c r="B28" s="13" t="s">
        <v>294</v>
      </c>
      <c r="C28" s="13"/>
      <c r="D28" s="8">
        <f>-647351.88</f>
        <v>-647351.88</v>
      </c>
      <c r="E28" s="8"/>
      <c r="F28" s="14">
        <f>IF(D$12=0,0,D28/D$12)</f>
        <v>0</v>
      </c>
      <c r="G28" s="8"/>
      <c r="H28" s="8">
        <f>-920090.89</f>
        <v>-920090.89</v>
      </c>
      <c r="I28" s="8"/>
      <c r="J28" s="14">
        <f>IF(H$12=0,0,H28/H$12)</f>
        <v>0</v>
      </c>
      <c r="K28" s="8"/>
      <c r="L28" s="8">
        <f>+D28-H28</f>
        <v>272739.01</v>
      </c>
      <c r="M28" s="8"/>
      <c r="N28" s="14">
        <f>IF(H28=0,0,L28/H28)</f>
        <v>-0.29642616068071276</v>
      </c>
      <c r="O28" s="13"/>
      <c r="P28" s="8">
        <f>-2199313.68</f>
        <v>-2199313.6800000002</v>
      </c>
      <c r="Q28" s="8"/>
      <c r="R28" s="14">
        <f>IF(P$12=0,0,P28/P$12)</f>
        <v>0</v>
      </c>
      <c r="S28" s="8"/>
      <c r="T28" s="8">
        <f>--1782877.25</f>
        <v>1782877.25</v>
      </c>
      <c r="U28" s="8"/>
      <c r="V28" s="14">
        <f>IF(T$12=0,0,T28/T$12)</f>
        <v>0</v>
      </c>
      <c r="W28" s="8"/>
      <c r="X28" s="8">
        <f>+P28-T28</f>
        <v>-3982190.93</v>
      </c>
      <c r="Y28" s="8"/>
      <c r="Z28" s="14">
        <f>IF(T28=0,0,X28/T28)</f>
        <v>-2.2335754915264077</v>
      </c>
    </row>
    <row r="29" spans="1:26" s="62" customFormat="1" ht="15" customHeight="1" x14ac:dyDescent="0.3">
      <c r="A29" s="48"/>
      <c r="B29" s="13" t="s">
        <v>295</v>
      </c>
      <c r="C29" s="13"/>
      <c r="D29" s="8">
        <f>--24741.39</f>
        <v>24741.39</v>
      </c>
      <c r="E29" s="8"/>
      <c r="F29" s="14">
        <f>IF(D$12=0,0,D29/D$12)</f>
        <v>0</v>
      </c>
      <c r="G29" s="8"/>
      <c r="H29" s="8">
        <f>--2951630.18</f>
        <v>2951630.18</v>
      </c>
      <c r="I29" s="8"/>
      <c r="J29" s="14">
        <f>IF(H$12=0,0,H29/H$12)</f>
        <v>0</v>
      </c>
      <c r="K29" s="8"/>
      <c r="L29" s="8">
        <f>+D29-H29</f>
        <v>-2926888.79</v>
      </c>
      <c r="M29" s="8"/>
      <c r="N29" s="14">
        <f>IF(H29=0,0,L29/H29)</f>
        <v>-0.9916177202118186</v>
      </c>
      <c r="O29" s="13"/>
      <c r="P29" s="8">
        <f>--2394858.95</f>
        <v>2394858.9500000002</v>
      </c>
      <c r="Q29" s="8"/>
      <c r="R29" s="14">
        <f>IF(P$12=0,0,P29/P$12)</f>
        <v>0</v>
      </c>
      <c r="S29" s="8"/>
      <c r="T29" s="8">
        <f>--3055858.1</f>
        <v>3055858.1</v>
      </c>
      <c r="U29" s="8"/>
      <c r="V29" s="14">
        <f>IF(T$12=0,0,T29/T$12)</f>
        <v>0</v>
      </c>
      <c r="W29" s="8"/>
      <c r="X29" s="8">
        <f>+P29-T29</f>
        <v>-660999.14999999991</v>
      </c>
      <c r="Y29" s="8"/>
      <c r="Z29" s="14">
        <f>IF(T29=0,0,X29/T29)</f>
        <v>-0.21630557714705401</v>
      </c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296</v>
      </c>
      <c r="C31" s="28"/>
      <c r="D31" s="30">
        <f>SUM(D26:D30)</f>
        <v>-622610.49</v>
      </c>
      <c r="E31" s="15"/>
      <c r="F31" s="35">
        <f>IF(D$12=0,0,D31/D$12)</f>
        <v>0</v>
      </c>
      <c r="G31" s="15"/>
      <c r="H31" s="30">
        <f>SUM(H26:H30)</f>
        <v>2031539.29</v>
      </c>
      <c r="I31" s="15"/>
      <c r="J31" s="35">
        <f>IF(H$12=0,0,H31/H$12)</f>
        <v>0</v>
      </c>
      <c r="K31" s="17"/>
      <c r="L31" s="30">
        <f>+D31-H31</f>
        <v>-2654149.7800000003</v>
      </c>
      <c r="M31" s="17"/>
      <c r="N31" s="35">
        <f>IF(H31=0,0,L31/H31)</f>
        <v>-1.3064722858498101</v>
      </c>
      <c r="O31" s="27"/>
      <c r="P31" s="30">
        <f>SUM(P26:P30)</f>
        <v>195545.27000000002</v>
      </c>
      <c r="Q31" s="15"/>
      <c r="R31" s="35">
        <f>IF(P$12=0,0,P31/P$12)</f>
        <v>0</v>
      </c>
      <c r="S31" s="15"/>
      <c r="T31" s="30">
        <f>SUM(T26:T30)</f>
        <v>4838735.3499999996</v>
      </c>
      <c r="U31" s="15"/>
      <c r="V31" s="35">
        <f>IF(T$12=0,0,T31/T$12)</f>
        <v>0</v>
      </c>
      <c r="W31" s="17"/>
      <c r="X31" s="30">
        <f>+P31-T31</f>
        <v>-4643190.08</v>
      </c>
      <c r="Y31" s="17"/>
      <c r="Z31" s="35">
        <f>IF(T31=0,0,X31/T31)</f>
        <v>-0.95958752528178681</v>
      </c>
    </row>
    <row r="32" spans="1:26" ht="15" customHeight="1" x14ac:dyDescent="0.3">
      <c r="A32" s="12"/>
      <c r="C32" s="12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2"/>
      <c r="B33" s="54">
        <v>44767.815882372684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3" t="s">
        <v>297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1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19EB-1297-040B-26D9-5E854CA5BE51}">
  <sheetPr>
    <tabColor rgb="FFFFFF00"/>
    <outlinePr summaryBelow="0" summaryRight="0"/>
  </sheetPr>
  <dimension ref="A2:Z12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50667.09</v>
      </c>
      <c r="E12" s="8"/>
      <c r="F12" s="14"/>
      <c r="G12" s="8"/>
      <c r="H12" s="8">
        <f>SUM(OSRRefH13x_0)</f>
        <v>66694.61</v>
      </c>
      <c r="I12" s="8"/>
      <c r="J12" s="14"/>
      <c r="K12" s="8"/>
      <c r="L12" s="8">
        <f t="shared" ref="L12:L18" si="0">+D12-H12</f>
        <v>-16027.520000000004</v>
      </c>
      <c r="M12" s="8"/>
      <c r="N12" s="14">
        <f t="shared" ref="N12:N18" si="1">IF(H12=0,0,L12/H12)</f>
        <v>-0.24031207319452058</v>
      </c>
      <c r="O12" s="13"/>
      <c r="P12" s="8">
        <f>SUM(OSRRefP13x_0)</f>
        <v>1560147.72</v>
      </c>
      <c r="Q12" s="8"/>
      <c r="R12" s="14"/>
      <c r="S12" s="8"/>
      <c r="T12" s="8">
        <f>SUM(OSRRefT13x_0)</f>
        <v>585069.67000000004</v>
      </c>
      <c r="U12" s="8"/>
      <c r="V12" s="14"/>
      <c r="W12" s="8"/>
      <c r="X12" s="8">
        <f t="shared" ref="X12:X18" si="2">+P12-T12</f>
        <v>975078.04999999993</v>
      </c>
      <c r="Y12" s="8"/>
      <c r="Z12" s="14">
        <f t="shared" ref="Z12:Z18" si="3">IF(T12=0,0,X12/T12)</f>
        <v>1.666601603190266</v>
      </c>
    </row>
    <row r="13" spans="1:26" s="69" customFormat="1" ht="15" hidden="1" customHeight="1" outlineLevel="1" x14ac:dyDescent="0.3">
      <c r="A13" s="47"/>
      <c r="B13" s="9" t="str">
        <f>CONCATENATE("          ","4051"," - ","TAXABLE SALES-FOOD")</f>
        <v xml:space="preserve">          4051 - TAXABLE SALES-FOOD</v>
      </c>
      <c r="C13" s="9"/>
      <c r="D13" s="3">
        <f>--14372.1</f>
        <v>14372.1</v>
      </c>
      <c r="E13" s="3"/>
      <c r="F13" s="26"/>
      <c r="G13" s="3"/>
      <c r="H13" s="3">
        <f>--9799.52</f>
        <v>9799.52</v>
      </c>
      <c r="I13" s="3"/>
      <c r="J13" s="26"/>
      <c r="K13" s="3"/>
      <c r="L13" s="3">
        <f t="shared" si="0"/>
        <v>4572.58</v>
      </c>
      <c r="M13" s="3"/>
      <c r="N13" s="26">
        <f t="shared" si="1"/>
        <v>0.46661265041553052</v>
      </c>
      <c r="O13" s="9"/>
      <c r="P13" s="3">
        <f>--360383.38</f>
        <v>360383.38</v>
      </c>
      <c r="Q13" s="3"/>
      <c r="R13" s="26"/>
      <c r="S13" s="3"/>
      <c r="T13" s="3">
        <f>--49082.44</f>
        <v>49082.44</v>
      </c>
      <c r="U13" s="3"/>
      <c r="V13" s="26"/>
      <c r="W13" s="3"/>
      <c r="X13" s="3">
        <f t="shared" si="2"/>
        <v>311300.94</v>
      </c>
      <c r="Y13" s="3"/>
      <c r="Z13" s="26">
        <f t="shared" si="3"/>
        <v>6.3424096275572284</v>
      </c>
    </row>
    <row r="14" spans="1:26" s="69" customFormat="1" ht="15" hidden="1" customHeight="1" outlineLevel="1" x14ac:dyDescent="0.3">
      <c r="A14" s="47"/>
      <c r="B14" s="9" t="str">
        <f>CONCATENATE("          ","4052"," - ","TAXABLE SALES-FOOD")</f>
        <v xml:space="preserve">          4052 - TAXABLE SALES-FOOD</v>
      </c>
      <c r="C14" s="9"/>
      <c r="D14" s="3">
        <f>0</f>
        <v>0</v>
      </c>
      <c r="E14" s="3"/>
      <c r="F14" s="26"/>
      <c r="G14" s="3"/>
      <c r="H14" s="3">
        <f>--61213.59</f>
        <v>61213.59</v>
      </c>
      <c r="I14" s="3"/>
      <c r="J14" s="26"/>
      <c r="K14" s="3"/>
      <c r="L14" s="3">
        <f t="shared" si="0"/>
        <v>-61213.59</v>
      </c>
      <c r="M14" s="3"/>
      <c r="N14" s="26">
        <f t="shared" si="1"/>
        <v>-1</v>
      </c>
      <c r="O14" s="9"/>
      <c r="P14" s="3">
        <f>0</f>
        <v>0</v>
      </c>
      <c r="Q14" s="3"/>
      <c r="R14" s="26"/>
      <c r="S14" s="3"/>
      <c r="T14" s="3">
        <f>--489866.6</f>
        <v>489866.6</v>
      </c>
      <c r="U14" s="3"/>
      <c r="V14" s="26"/>
      <c r="W14" s="3"/>
      <c r="X14" s="3">
        <f t="shared" si="2"/>
        <v>-489866.6</v>
      </c>
      <c r="Y14" s="3"/>
      <c r="Z14" s="26">
        <f t="shared" si="3"/>
        <v>-1</v>
      </c>
    </row>
    <row r="15" spans="1:26" s="69" customFormat="1" ht="15" hidden="1" customHeight="1" outlineLevel="1" x14ac:dyDescent="0.3">
      <c r="A15" s="47"/>
      <c r="B15" s="9" t="str">
        <f>CONCATENATE("          ","4053"," - ","TAXABLE SALES-FOOD")</f>
        <v xml:space="preserve">          4053 - TAXABLE SALES-FOOD</v>
      </c>
      <c r="C15" s="9"/>
      <c r="D15" s="3">
        <f>--10447.15</f>
        <v>10447.15</v>
      </c>
      <c r="E15" s="3"/>
      <c r="F15" s="26"/>
      <c r="G15" s="3"/>
      <c r="H15" s="3">
        <f>0</f>
        <v>0</v>
      </c>
      <c r="I15" s="3"/>
      <c r="J15" s="26"/>
      <c r="K15" s="3"/>
      <c r="L15" s="3">
        <f t="shared" si="0"/>
        <v>10447.15</v>
      </c>
      <c r="M15" s="3"/>
      <c r="N15" s="26">
        <f t="shared" si="1"/>
        <v>0</v>
      </c>
      <c r="O15" s="9"/>
      <c r="P15" s="3">
        <f>--35192.41</f>
        <v>35192.410000000003</v>
      </c>
      <c r="Q15" s="3"/>
      <c r="R15" s="26"/>
      <c r="S15" s="3"/>
      <c r="T15" s="3">
        <f>0</f>
        <v>0</v>
      </c>
      <c r="U15" s="3"/>
      <c r="V15" s="26"/>
      <c r="W15" s="3"/>
      <c r="X15" s="3">
        <f t="shared" si="2"/>
        <v>35192.410000000003</v>
      </c>
      <c r="Y15" s="3"/>
      <c r="Z15" s="26">
        <f t="shared" si="3"/>
        <v>0</v>
      </c>
    </row>
    <row r="16" spans="1:26" s="69" customFormat="1" ht="15" hidden="1" customHeight="1" outlineLevel="1" x14ac:dyDescent="0.3">
      <c r="A16" s="47"/>
      <c r="B16" s="9" t="str">
        <f>CONCATENATE("          ","4058"," - ","TAXABLE SALES-FOOD")</f>
        <v xml:space="preserve">          4058 - TAXABLE SALES-FOOD</v>
      </c>
      <c r="C16" s="9"/>
      <c r="D16" s="3">
        <f>0</f>
        <v>0</v>
      </c>
      <c r="E16" s="3"/>
      <c r="F16" s="26"/>
      <c r="G16" s="3"/>
      <c r="H16" s="3">
        <f>0</f>
        <v>0</v>
      </c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>
        <f>--974.91</f>
        <v>974.91</v>
      </c>
      <c r="U16" s="3"/>
      <c r="V16" s="26"/>
      <c r="W16" s="3"/>
      <c r="X16" s="3">
        <f t="shared" si="2"/>
        <v>-974.91</v>
      </c>
      <c r="Y16" s="3"/>
      <c r="Z16" s="26">
        <f t="shared" si="3"/>
        <v>-1</v>
      </c>
    </row>
    <row r="17" spans="1:26" s="69" customFormat="1" ht="15" hidden="1" customHeight="1" outlineLevel="1" x14ac:dyDescent="0.3">
      <c r="A17" s="47"/>
      <c r="B17" s="9" t="str">
        <f>CONCATENATE("          ","4151"," - ","NON-TAXABLE SALES-FOOD")</f>
        <v xml:space="preserve">          4151 - NON-TAXABLE SALES-FOOD</v>
      </c>
      <c r="C17" s="9"/>
      <c r="D17" s="3">
        <f>--25847.84</f>
        <v>25847.84</v>
      </c>
      <c r="E17" s="3"/>
      <c r="F17" s="26"/>
      <c r="G17" s="3"/>
      <c r="H17" s="3">
        <f>--7262.45</f>
        <v>7262.45</v>
      </c>
      <c r="I17" s="3"/>
      <c r="J17" s="26"/>
      <c r="K17" s="3"/>
      <c r="L17" s="3">
        <f t="shared" si="0"/>
        <v>18585.39</v>
      </c>
      <c r="M17" s="3"/>
      <c r="N17" s="26">
        <f t="shared" si="1"/>
        <v>2.5591074637346902</v>
      </c>
      <c r="O17" s="9"/>
      <c r="P17" s="3">
        <f>--1164571.93</f>
        <v>1164571.93</v>
      </c>
      <c r="Q17" s="3"/>
      <c r="R17" s="26"/>
      <c r="S17" s="3"/>
      <c r="T17" s="3">
        <f>--45145.72</f>
        <v>45145.72</v>
      </c>
      <c r="U17" s="3"/>
      <c r="V17" s="26"/>
      <c r="W17" s="3"/>
      <c r="X17" s="3">
        <f t="shared" si="2"/>
        <v>1119426.21</v>
      </c>
      <c r="Y17" s="3"/>
      <c r="Z17" s="26">
        <f t="shared" si="3"/>
        <v>24.795843548402814</v>
      </c>
    </row>
    <row r="18" spans="1:26" s="69" customFormat="1" ht="15" hidden="1" customHeight="1" outlineLevel="1" x14ac:dyDescent="0.3">
      <c r="A18" s="47"/>
      <c r="B18" s="9" t="str">
        <f>CONCATENATE("          ","4152"," - ","NON-TAXABLE SALES-FOOD")</f>
        <v xml:space="preserve">          4152 - NON-TAXABLE SALES-FOOD</v>
      </c>
      <c r="C18" s="9"/>
      <c r="D18" s="3">
        <f>0</f>
        <v>0</v>
      </c>
      <c r="E18" s="3"/>
      <c r="F18" s="26"/>
      <c r="G18" s="3"/>
      <c r="H18" s="3">
        <f>-11580.95</f>
        <v>-11580.95</v>
      </c>
      <c r="I18" s="3"/>
      <c r="J18" s="26"/>
      <c r="K18" s="3"/>
      <c r="L18" s="3">
        <f t="shared" si="0"/>
        <v>11580.95</v>
      </c>
      <c r="M18" s="3"/>
      <c r="N18" s="26">
        <f t="shared" si="1"/>
        <v>-1</v>
      </c>
      <c r="O18" s="9"/>
      <c r="P18" s="3">
        <f>0</f>
        <v>0</v>
      </c>
      <c r="Q18" s="3"/>
      <c r="R18" s="26"/>
      <c r="S18" s="3"/>
      <c r="T18" s="3">
        <f>0</f>
        <v>0</v>
      </c>
      <c r="U18" s="3"/>
      <c r="V18" s="26"/>
      <c r="W18" s="3"/>
      <c r="X18" s="3">
        <f t="shared" si="2"/>
        <v>0</v>
      </c>
      <c r="Y18" s="3"/>
      <c r="Z18" s="26">
        <f t="shared" si="3"/>
        <v>0</v>
      </c>
    </row>
    <row r="19" spans="1:26" ht="15" customHeight="1" x14ac:dyDescent="0.3">
      <c r="A19" s="12"/>
      <c r="B19" s="13"/>
      <c r="C19" s="12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2" customFormat="1" ht="15" customHeight="1" collapsed="1" x14ac:dyDescent="0.3">
      <c r="A20" s="13"/>
      <c r="B20" s="27" t="s">
        <v>287</v>
      </c>
      <c r="C20" s="13"/>
      <c r="D20" s="8">
        <f>SUM(OSRRefD16x_0)</f>
        <v>34149.31</v>
      </c>
      <c r="E20" s="8"/>
      <c r="F20" s="14">
        <f>IF(D$12=0,0,D20/D$12)</f>
        <v>0.67399390807721538</v>
      </c>
      <c r="G20" s="8"/>
      <c r="H20" s="8">
        <f>SUM(OSRRefH16x_0)</f>
        <v>5421.68</v>
      </c>
      <c r="I20" s="8"/>
      <c r="J20" s="14">
        <f>IF(H$12=0,0,H20/H$12)</f>
        <v>8.1291126824191637E-2</v>
      </c>
      <c r="K20" s="8"/>
      <c r="L20" s="8">
        <f>+D20-H20</f>
        <v>28727.629999999997</v>
      </c>
      <c r="M20" s="8"/>
      <c r="N20" s="14">
        <f>IF(H20=0,0,L20/H20)</f>
        <v>5.2986583494415012</v>
      </c>
      <c r="O20" s="13"/>
      <c r="P20" s="8">
        <f>SUM(OSRRefP16x_0)</f>
        <v>623932.39</v>
      </c>
      <c r="Q20" s="8"/>
      <c r="R20" s="14">
        <f>IF(P$12=0,0,P20/P$12)</f>
        <v>0.39991879102319877</v>
      </c>
      <c r="S20" s="8"/>
      <c r="T20" s="8">
        <f>SUM(OSRRefT16x_0)</f>
        <v>23185.120000000003</v>
      </c>
      <c r="U20" s="8"/>
      <c r="V20" s="14">
        <f>IF(T$12=0,0,T20/T$12)</f>
        <v>3.9627964307225157E-2</v>
      </c>
      <c r="W20" s="8"/>
      <c r="X20" s="8">
        <f>+P20-T20</f>
        <v>600747.27</v>
      </c>
      <c r="Y20" s="8"/>
      <c r="Z20" s="14">
        <f>IF(T20=0,0,X20/T20)</f>
        <v>25.910897592938916</v>
      </c>
    </row>
    <row r="21" spans="1:26" s="69" customFormat="1" ht="15" hidden="1" customHeight="1" outlineLevel="1" x14ac:dyDescent="0.3">
      <c r="A21" s="47"/>
      <c r="B21" s="9" t="str">
        <f>CONCATENATE("          ","5053"," - ","PURCHASES @ COST-FOOD")</f>
        <v xml:space="preserve">          5053 - PURCHASES @ COST-FOOD</v>
      </c>
      <c r="C21" s="9"/>
      <c r="D21" s="3">
        <v>18756.45</v>
      </c>
      <c r="E21" s="3"/>
      <c r="F21" s="26">
        <f>IF(D$12=0,0,D21/D$12)</f>
        <v>0.37018999907040256</v>
      </c>
      <c r="G21" s="3"/>
      <c r="H21" s="3">
        <v>5530.68</v>
      </c>
      <c r="I21" s="3"/>
      <c r="J21" s="26">
        <f>IF(H$12=0,0,H21/H$12)</f>
        <v>8.2925441801069089E-2</v>
      </c>
      <c r="K21" s="3"/>
      <c r="L21" s="3">
        <f>+D21-H21</f>
        <v>13225.77</v>
      </c>
      <c r="M21" s="3"/>
      <c r="N21" s="26">
        <f>IF(H21=0,0,L21/H21)</f>
        <v>2.3913460912582178</v>
      </c>
      <c r="O21" s="9"/>
      <c r="P21" s="3">
        <v>522406.7</v>
      </c>
      <c r="Q21" s="3"/>
      <c r="R21" s="26">
        <f>IF(P$12=0,0,P21/P$12)</f>
        <v>0.33484438255628768</v>
      </c>
      <c r="S21" s="3"/>
      <c r="T21" s="3">
        <v>17658.11</v>
      </c>
      <c r="U21" s="3"/>
      <c r="V21" s="26">
        <f>IF(T$12=0,0,T21/T$12)</f>
        <v>3.0181209017380785E-2</v>
      </c>
      <c r="W21" s="3"/>
      <c r="X21" s="3">
        <f>+P21-T21</f>
        <v>504748.59</v>
      </c>
      <c r="Y21" s="3"/>
      <c r="Z21" s="26">
        <f>IF(T21=0,0,X21/T21)</f>
        <v>28.584519521058596</v>
      </c>
    </row>
    <row r="22" spans="1:26" s="69" customFormat="1" ht="15" hidden="1" customHeight="1" outlineLevel="1" x14ac:dyDescent="0.3">
      <c r="A22" s="47"/>
      <c r="B22" s="9" t="str">
        <f>CONCATENATE("          ","5059"," - ","PURCHASES @ COST-FOOD")</f>
        <v xml:space="preserve">          5059 - PURCHASES @ COST-FOOD</v>
      </c>
      <c r="C22" s="9"/>
      <c r="D22" s="3">
        <v>15392.86</v>
      </c>
      <c r="E22" s="3"/>
      <c r="F22" s="26">
        <f>IF(D$12=0,0,D22/D$12)</f>
        <v>0.30380390900681292</v>
      </c>
      <c r="G22" s="3"/>
      <c r="H22" s="3">
        <v>-109</v>
      </c>
      <c r="I22" s="3"/>
      <c r="J22" s="26">
        <f>IF(H$12=0,0,H22/H$12)</f>
        <v>-1.6343149768774418E-3</v>
      </c>
      <c r="K22" s="3"/>
      <c r="L22" s="3">
        <f>+D22-H22</f>
        <v>15501.86</v>
      </c>
      <c r="M22" s="3"/>
      <c r="N22" s="26">
        <f>IF(H22=0,0,L22/H22)</f>
        <v>-142.21889908256881</v>
      </c>
      <c r="O22" s="9"/>
      <c r="P22" s="3">
        <v>101525.69</v>
      </c>
      <c r="Q22" s="3"/>
      <c r="R22" s="26">
        <f>IF(P$12=0,0,P22/P$12)</f>
        <v>6.5074408466911066E-2</v>
      </c>
      <c r="S22" s="3"/>
      <c r="T22" s="3">
        <v>5527.01</v>
      </c>
      <c r="U22" s="3"/>
      <c r="V22" s="26">
        <f>IF(T$12=0,0,T22/T$12)</f>
        <v>9.4467552898443701E-3</v>
      </c>
      <c r="W22" s="3"/>
      <c r="X22" s="3">
        <f>+P22-T22</f>
        <v>95998.680000000008</v>
      </c>
      <c r="Y22" s="3"/>
      <c r="Z22" s="26">
        <f>IF(T22=0,0,X22/T22)</f>
        <v>17.369007836063261</v>
      </c>
    </row>
    <row r="23" spans="1:26" ht="15" customHeight="1" x14ac:dyDescent="0.3">
      <c r="A23" s="12"/>
      <c r="B23" s="13"/>
      <c r="C23" s="13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O23" s="13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2" customFormat="1" ht="15" customHeight="1" x14ac:dyDescent="0.3">
      <c r="A24" s="13"/>
      <c r="B24" s="28" t="s">
        <v>288</v>
      </c>
      <c r="C24" s="28"/>
      <c r="D24" s="22">
        <f>D12-D20</f>
        <v>16517.78</v>
      </c>
      <c r="E24" s="15"/>
      <c r="F24" s="24">
        <f>IF(D$12=0,0,D24/D$12)</f>
        <v>0.32600609192278457</v>
      </c>
      <c r="G24" s="15"/>
      <c r="H24" s="22">
        <f>H12-H20</f>
        <v>61272.93</v>
      </c>
      <c r="I24" s="15"/>
      <c r="J24" s="24">
        <f>IF(H$12=0,0,H24/H$12)</f>
        <v>0.9187088731758084</v>
      </c>
      <c r="K24" s="17"/>
      <c r="L24" s="22">
        <f>+D24-H24</f>
        <v>-44755.15</v>
      </c>
      <c r="M24" s="17"/>
      <c r="N24" s="24">
        <f>IF(H24=0,0,L24/H24)</f>
        <v>-0.73042288005486278</v>
      </c>
      <c r="O24" s="27"/>
      <c r="P24" s="22">
        <f>P12-P20</f>
        <v>936215.33</v>
      </c>
      <c r="Q24" s="15"/>
      <c r="R24" s="24">
        <f>IF(P$12=0,0,P24/P$12)</f>
        <v>0.60008120897680128</v>
      </c>
      <c r="S24" s="15"/>
      <c r="T24" s="22">
        <f>T12-T20</f>
        <v>561884.55000000005</v>
      </c>
      <c r="U24" s="15"/>
      <c r="V24" s="24">
        <f>IF(T$12=0,0,T24/T$12)</f>
        <v>0.96037203569277485</v>
      </c>
      <c r="W24" s="17"/>
      <c r="X24" s="22">
        <f>+P24-T24</f>
        <v>374330.77999999991</v>
      </c>
      <c r="Y24" s="17"/>
      <c r="Z24" s="24">
        <f>IF(T24=0,0,X24/T24)</f>
        <v>0.66620586026079531</v>
      </c>
    </row>
    <row r="25" spans="1:26" ht="15" customHeight="1" x14ac:dyDescent="0.3">
      <c r="A25" s="12"/>
      <c r="B25" s="13"/>
      <c r="C25" s="12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7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2" customFormat="1" ht="15" customHeight="1" x14ac:dyDescent="0.3">
      <c r="A26" s="13"/>
      <c r="B26" s="27" t="s">
        <v>289</v>
      </c>
      <c r="C26" s="13"/>
      <c r="D26" s="23" cm="1">
        <f t="array" ref="D26">SUM(OSRRefD22x_0)</f>
        <v>203824.82</v>
      </c>
      <c r="E26" s="23"/>
      <c r="F26" s="34">
        <f t="shared" ref="F26:F57" si="4">IF(D$12=0,0,D26/D$12)</f>
        <v>4.0228246777148646</v>
      </c>
      <c r="G26" s="23"/>
      <c r="H26" s="23" cm="1">
        <f t="array" ref="H26">SUM(OSRRefH22x_0)</f>
        <v>172353.82</v>
      </c>
      <c r="I26" s="23"/>
      <c r="J26" s="34">
        <f t="shared" ref="J26:J57" si="5">IF(H$12=0,0,H26/H$12)</f>
        <v>2.5842241224590712</v>
      </c>
      <c r="K26" s="8"/>
      <c r="L26" s="23">
        <f t="shared" ref="L26:L57" si="6">+D26-H26</f>
        <v>31471</v>
      </c>
      <c r="M26" s="8"/>
      <c r="N26" s="34">
        <f t="shared" ref="N26:N57" si="7">IF(H26=0,0,L26/H26)</f>
        <v>0.18259531468464116</v>
      </c>
      <c r="O26" s="13"/>
      <c r="P26" s="23" cm="1">
        <f t="array" ref="P26">SUM(OSRRefP22x_0)</f>
        <v>2323245.6599999997</v>
      </c>
      <c r="Q26" s="23"/>
      <c r="R26" s="34">
        <f t="shared" ref="R26:R57" si="8">IF(P$12=0,0,P26/P$12)</f>
        <v>1.4891190303441264</v>
      </c>
      <c r="S26" s="23"/>
      <c r="T26" s="23" cm="1">
        <f t="array" ref="T26">SUM(OSRRefT22x_0)</f>
        <v>1406084.9600000002</v>
      </c>
      <c r="U26" s="23"/>
      <c r="V26" s="34">
        <f t="shared" ref="V26:V57" si="9">IF(T$12=0,0,T26/T$12)</f>
        <v>2.4032778181784744</v>
      </c>
      <c r="W26" s="8"/>
      <c r="X26" s="23">
        <f t="shared" ref="X26:X57" si="10">+P26-T26</f>
        <v>917160.69999999949</v>
      </c>
      <c r="Y26" s="8"/>
      <c r="Z26" s="34">
        <f t="shared" ref="Z26:Z57" si="11">IF(T26=0,0,X26/T26)</f>
        <v>0.65227971715165733</v>
      </c>
    </row>
    <row r="27" spans="1:26" s="68" customFormat="1" ht="15" customHeight="1" outlineLevel="1" collapsed="1" x14ac:dyDescent="0.3">
      <c r="A27" s="20"/>
      <c r="B27" s="11" t="str">
        <f>CONCATENATE("     ","*Benefits                                         ")</f>
        <v xml:space="preserve">     *Benefits                                         </v>
      </c>
      <c r="C27" s="11"/>
      <c r="D27" s="2">
        <f>SUM(OSRRefD22_0x_0)</f>
        <v>16201.769999999997</v>
      </c>
      <c r="E27" s="2"/>
      <c r="F27" s="5">
        <f t="shared" si="4"/>
        <v>0.31976910456077107</v>
      </c>
      <c r="G27" s="2"/>
      <c r="H27" s="2">
        <f>SUM(OSRRefH22_0x_0)</f>
        <v>21021.899999999998</v>
      </c>
      <c r="I27" s="2"/>
      <c r="J27" s="5">
        <f t="shared" si="5"/>
        <v>0.31519638543504486</v>
      </c>
      <c r="K27" s="2"/>
      <c r="L27" s="2">
        <f t="shared" si="6"/>
        <v>-4820.130000000001</v>
      </c>
      <c r="M27" s="2"/>
      <c r="N27" s="5">
        <f t="shared" si="7"/>
        <v>-0.22929088236553316</v>
      </c>
      <c r="O27" s="11"/>
      <c r="P27" s="2">
        <f>SUM(OSRRefP22_0x_0)</f>
        <v>352123.15</v>
      </c>
      <c r="Q27" s="2"/>
      <c r="R27" s="5">
        <f t="shared" si="8"/>
        <v>0.22569859602781717</v>
      </c>
      <c r="S27" s="2"/>
      <c r="T27" s="2">
        <f>SUM(OSRRefT22_0x_0)</f>
        <v>249143.03</v>
      </c>
      <c r="U27" s="2"/>
      <c r="V27" s="5">
        <f t="shared" si="9"/>
        <v>0.42583480698973847</v>
      </c>
      <c r="W27" s="2"/>
      <c r="X27" s="2">
        <f t="shared" si="10"/>
        <v>102980.12000000002</v>
      </c>
      <c r="Y27" s="2"/>
      <c r="Z27" s="5">
        <f t="shared" si="11"/>
        <v>0.41333735083819134</v>
      </c>
    </row>
    <row r="28" spans="1:26" s="69" customFormat="1" ht="15" hidden="1" customHeight="1" outlineLevel="2" x14ac:dyDescent="0.3">
      <c r="A28" s="21"/>
      <c r="B28" s="9" t="str">
        <f>CONCATENATE("          ","6111"," - ","F.I.C.A.")</f>
        <v xml:space="preserve">          6111 - F.I.C.A.</v>
      </c>
      <c r="C28" s="9"/>
      <c r="D28" s="6">
        <v>4083.68</v>
      </c>
      <c r="E28" s="3"/>
      <c r="F28" s="7">
        <f t="shared" si="4"/>
        <v>8.0598273948632143E-2</v>
      </c>
      <c r="G28" s="3"/>
      <c r="H28" s="6">
        <v>2607.87</v>
      </c>
      <c r="I28" s="3"/>
      <c r="J28" s="7">
        <f t="shared" si="5"/>
        <v>3.9101660538985082E-2</v>
      </c>
      <c r="K28" s="3"/>
      <c r="L28" s="6">
        <f t="shared" si="6"/>
        <v>1475.81</v>
      </c>
      <c r="M28" s="3"/>
      <c r="N28" s="7">
        <f t="shared" si="7"/>
        <v>0.56590627600302168</v>
      </c>
      <c r="O28" s="9"/>
      <c r="P28" s="6">
        <v>55561.26</v>
      </c>
      <c r="Q28" s="3"/>
      <c r="R28" s="7">
        <f t="shared" si="8"/>
        <v>3.5612820047578576E-2</v>
      </c>
      <c r="S28" s="3"/>
      <c r="T28" s="6">
        <v>30589.38</v>
      </c>
      <c r="U28" s="3"/>
      <c r="V28" s="7">
        <f t="shared" si="9"/>
        <v>5.2283311831905419E-2</v>
      </c>
      <c r="W28" s="3"/>
      <c r="X28" s="6">
        <f t="shared" si="10"/>
        <v>24971.88</v>
      </c>
      <c r="Y28" s="3"/>
      <c r="Z28" s="7">
        <f t="shared" si="11"/>
        <v>0.81635783399336637</v>
      </c>
    </row>
    <row r="29" spans="1:26" s="69" customFormat="1" ht="15" hidden="1" customHeight="1" outlineLevel="2" x14ac:dyDescent="0.3">
      <c r="A29" s="21"/>
      <c r="B29" s="9" t="str">
        <f>CONCATENATE("          ","6112"," - ","COMPENSATION INSURANCE")</f>
        <v xml:space="preserve">          6112 - COMPENSATION INSURANCE</v>
      </c>
      <c r="C29" s="9"/>
      <c r="D29" s="6">
        <v>-5465.47</v>
      </c>
      <c r="E29" s="3"/>
      <c r="F29" s="7">
        <f t="shared" si="4"/>
        <v>-0.10787021713700157</v>
      </c>
      <c r="G29" s="3"/>
      <c r="H29" s="6">
        <v>748.61</v>
      </c>
      <c r="I29" s="3"/>
      <c r="J29" s="7">
        <f t="shared" si="5"/>
        <v>1.1224445273763503E-2</v>
      </c>
      <c r="K29" s="3"/>
      <c r="L29" s="6">
        <f t="shared" si="6"/>
        <v>-6214.08</v>
      </c>
      <c r="M29" s="3"/>
      <c r="N29" s="7">
        <f t="shared" si="7"/>
        <v>-8.3008241941732006</v>
      </c>
      <c r="O29" s="9"/>
      <c r="P29" s="6">
        <v>20364.39</v>
      </c>
      <c r="Q29" s="3"/>
      <c r="R29" s="7">
        <f t="shared" si="8"/>
        <v>1.3052860148396716E-2</v>
      </c>
      <c r="S29" s="3"/>
      <c r="T29" s="6">
        <v>8683.7000000000007</v>
      </c>
      <c r="U29" s="3"/>
      <c r="V29" s="7">
        <f t="shared" si="9"/>
        <v>1.4842164010997186E-2</v>
      </c>
      <c r="W29" s="3"/>
      <c r="X29" s="6">
        <f t="shared" si="10"/>
        <v>11680.689999999999</v>
      </c>
      <c r="Y29" s="3"/>
      <c r="Z29" s="7">
        <f t="shared" si="11"/>
        <v>1.3451282287504172</v>
      </c>
    </row>
    <row r="30" spans="1:26" s="69" customFormat="1" ht="15" hidden="1" customHeight="1" outlineLevel="2" x14ac:dyDescent="0.3">
      <c r="A30" s="21"/>
      <c r="B30" s="9" t="str">
        <f>CONCATENATE("          ","6113"," - ","GROUP INSURANCE")</f>
        <v xml:space="preserve">          6113 - GROUP INSURANCE</v>
      </c>
      <c r="C30" s="9"/>
      <c r="D30" s="6">
        <v>10014.129999999999</v>
      </c>
      <c r="E30" s="3"/>
      <c r="F30" s="7">
        <f t="shared" si="4"/>
        <v>0.19764565125015074</v>
      </c>
      <c r="G30" s="3"/>
      <c r="H30" s="6">
        <v>8554.93</v>
      </c>
      <c r="I30" s="3"/>
      <c r="J30" s="7">
        <f t="shared" si="5"/>
        <v>0.12827018555172601</v>
      </c>
      <c r="K30" s="3"/>
      <c r="L30" s="6">
        <f t="shared" si="6"/>
        <v>1459.1999999999989</v>
      </c>
      <c r="M30" s="3"/>
      <c r="N30" s="7">
        <f t="shared" si="7"/>
        <v>0.17056831557943769</v>
      </c>
      <c r="O30" s="9"/>
      <c r="P30" s="6">
        <v>140703.75</v>
      </c>
      <c r="Q30" s="3"/>
      <c r="R30" s="7">
        <f t="shared" si="8"/>
        <v>9.0186171601750631E-2</v>
      </c>
      <c r="S30" s="3"/>
      <c r="T30" s="6">
        <v>112261.43</v>
      </c>
      <c r="U30" s="3"/>
      <c r="V30" s="7">
        <f t="shared" si="9"/>
        <v>0.19187702893571629</v>
      </c>
      <c r="W30" s="3"/>
      <c r="X30" s="6">
        <f t="shared" si="10"/>
        <v>28442.320000000007</v>
      </c>
      <c r="Y30" s="3"/>
      <c r="Z30" s="7">
        <f t="shared" si="11"/>
        <v>0.25335789861219482</v>
      </c>
    </row>
    <row r="31" spans="1:26" s="69" customFormat="1" ht="15" hidden="1" customHeight="1" outlineLevel="2" x14ac:dyDescent="0.3">
      <c r="A31" s="21"/>
      <c r="B31" s="9" t="str">
        <f>CONCATENATE("          ","6114"," - ","STATE UNEMPLOYMENT INSURANCE")</f>
        <v xml:space="preserve">          6114 - STATE UNEMPLOYMENT INSURANCE</v>
      </c>
      <c r="C31" s="9"/>
      <c r="D31" s="6"/>
      <c r="E31" s="3"/>
      <c r="F31" s="7">
        <f t="shared" si="4"/>
        <v>0</v>
      </c>
      <c r="G31" s="3"/>
      <c r="H31" s="6">
        <v>87.06</v>
      </c>
      <c r="I31" s="3"/>
      <c r="J31" s="7">
        <f t="shared" si="5"/>
        <v>1.305352861348166E-3</v>
      </c>
      <c r="K31" s="3"/>
      <c r="L31" s="6">
        <f t="shared" si="6"/>
        <v>-87.06</v>
      </c>
      <c r="M31" s="3"/>
      <c r="N31" s="7">
        <f t="shared" si="7"/>
        <v>-1</v>
      </c>
      <c r="O31" s="9"/>
      <c r="P31" s="6">
        <v>2222.9</v>
      </c>
      <c r="Q31" s="3"/>
      <c r="R31" s="7">
        <f t="shared" si="8"/>
        <v>1.4248009797431234E-3</v>
      </c>
      <c r="S31" s="3"/>
      <c r="T31" s="6">
        <v>1117.52</v>
      </c>
      <c r="U31" s="3"/>
      <c r="V31" s="7">
        <f t="shared" si="9"/>
        <v>1.9100631212005913E-3</v>
      </c>
      <c r="W31" s="3"/>
      <c r="X31" s="6">
        <f t="shared" si="10"/>
        <v>1105.3800000000001</v>
      </c>
      <c r="Y31" s="3"/>
      <c r="Z31" s="7">
        <f t="shared" si="11"/>
        <v>0.98913665974658183</v>
      </c>
    </row>
    <row r="32" spans="1:26" s="69" customFormat="1" ht="15" hidden="1" customHeight="1" outlineLevel="2" x14ac:dyDescent="0.3">
      <c r="A32" s="21"/>
      <c r="B32" s="9" t="str">
        <f>CONCATENATE("          ","6115"," - ","P.E.R.S.")</f>
        <v xml:space="preserve">          6115 - P.E.R.S.</v>
      </c>
      <c r="C32" s="9"/>
      <c r="D32" s="6">
        <v>2520.67</v>
      </c>
      <c r="E32" s="3"/>
      <c r="F32" s="7">
        <f t="shared" si="4"/>
        <v>4.974965011805494E-2</v>
      </c>
      <c r="G32" s="3"/>
      <c r="H32" s="6">
        <v>4175.47</v>
      </c>
      <c r="I32" s="3"/>
      <c r="J32" s="7">
        <f t="shared" si="5"/>
        <v>6.2605808775251862E-2</v>
      </c>
      <c r="K32" s="3"/>
      <c r="L32" s="6">
        <f t="shared" si="6"/>
        <v>-1654.8000000000002</v>
      </c>
      <c r="M32" s="3"/>
      <c r="N32" s="7">
        <f t="shared" si="7"/>
        <v>-0.39631466637288737</v>
      </c>
      <c r="O32" s="9"/>
      <c r="P32" s="6">
        <v>39720.199999999997</v>
      </c>
      <c r="Q32" s="3"/>
      <c r="R32" s="7">
        <f t="shared" si="8"/>
        <v>2.5459255870976114E-2</v>
      </c>
      <c r="S32" s="3"/>
      <c r="T32" s="6">
        <v>39390.11</v>
      </c>
      <c r="U32" s="3"/>
      <c r="V32" s="7">
        <f t="shared" si="9"/>
        <v>6.7325503302880146E-2</v>
      </c>
      <c r="W32" s="3"/>
      <c r="X32" s="6">
        <f t="shared" si="10"/>
        <v>330.08999999999651</v>
      </c>
      <c r="Y32" s="3"/>
      <c r="Z32" s="7">
        <f t="shared" si="11"/>
        <v>8.3800222949363817E-3</v>
      </c>
    </row>
    <row r="33" spans="1:26" s="69" customFormat="1" ht="15" hidden="1" customHeight="1" outlineLevel="2" x14ac:dyDescent="0.3">
      <c r="A33" s="21"/>
      <c r="B33" s="9" t="str">
        <f>CONCATENATE("          ","6117"," - ","RETIREMENT STAFF HOURLY")</f>
        <v xml:space="preserve">          6117 - RETIREMENT STAFF HOURLY</v>
      </c>
      <c r="C33" s="9"/>
      <c r="D33" s="6">
        <v>54.93</v>
      </c>
      <c r="E33" s="3"/>
      <c r="F33" s="7">
        <f t="shared" si="4"/>
        <v>1.0841356786032118E-3</v>
      </c>
      <c r="G33" s="3"/>
      <c r="H33" s="6"/>
      <c r="I33" s="3"/>
      <c r="J33" s="7">
        <f t="shared" si="5"/>
        <v>0</v>
      </c>
      <c r="K33" s="3"/>
      <c r="L33" s="6">
        <f t="shared" si="6"/>
        <v>54.93</v>
      </c>
      <c r="M33" s="3"/>
      <c r="N33" s="7">
        <f t="shared" si="7"/>
        <v>0</v>
      </c>
      <c r="O33" s="9"/>
      <c r="P33" s="6">
        <v>337.18</v>
      </c>
      <c r="Q33" s="3"/>
      <c r="R33" s="7">
        <f t="shared" si="8"/>
        <v>2.1612056068639449E-4</v>
      </c>
      <c r="S33" s="3"/>
      <c r="T33" s="6"/>
      <c r="U33" s="3"/>
      <c r="V33" s="7">
        <f t="shared" si="9"/>
        <v>0</v>
      </c>
      <c r="W33" s="3"/>
      <c r="X33" s="6">
        <f t="shared" si="10"/>
        <v>337.18</v>
      </c>
      <c r="Y33" s="3"/>
      <c r="Z33" s="7">
        <f t="shared" si="11"/>
        <v>0</v>
      </c>
    </row>
    <row r="34" spans="1:26" s="69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2198.96</v>
      </c>
      <c r="E34" s="3"/>
      <c r="F34" s="7">
        <f t="shared" si="4"/>
        <v>4.34001636960007E-2</v>
      </c>
      <c r="G34" s="3"/>
      <c r="H34" s="6">
        <v>2596</v>
      </c>
      <c r="I34" s="3"/>
      <c r="J34" s="7">
        <f t="shared" si="5"/>
        <v>3.8923685137374667E-2</v>
      </c>
      <c r="K34" s="3"/>
      <c r="L34" s="6">
        <f t="shared" si="6"/>
        <v>-397.03999999999996</v>
      </c>
      <c r="M34" s="3"/>
      <c r="N34" s="7">
        <f t="shared" si="7"/>
        <v>-0.15294298921417565</v>
      </c>
      <c r="O34" s="9"/>
      <c r="P34" s="6">
        <v>40650.879999999997</v>
      </c>
      <c r="Q34" s="3"/>
      <c r="R34" s="7">
        <f t="shared" si="8"/>
        <v>2.6055789127455185E-2</v>
      </c>
      <c r="S34" s="3"/>
      <c r="T34" s="6">
        <v>32188.22</v>
      </c>
      <c r="U34" s="3"/>
      <c r="V34" s="7">
        <f t="shared" si="9"/>
        <v>5.5016046208650672E-2</v>
      </c>
      <c r="W34" s="3"/>
      <c r="X34" s="6">
        <f t="shared" si="10"/>
        <v>8462.6599999999962</v>
      </c>
      <c r="Y34" s="3"/>
      <c r="Z34" s="7">
        <f t="shared" si="11"/>
        <v>0.26291171117881001</v>
      </c>
    </row>
    <row r="35" spans="1:26" s="69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1486.08</v>
      </c>
      <c r="E35" s="3"/>
      <c r="F35" s="7">
        <f t="shared" si="4"/>
        <v>2.9330281253571105E-2</v>
      </c>
      <c r="G35" s="3"/>
      <c r="H35" s="6">
        <v>1510.2</v>
      </c>
      <c r="I35" s="3"/>
      <c r="J35" s="7">
        <f t="shared" si="5"/>
        <v>2.2643508973213877E-2</v>
      </c>
      <c r="K35" s="3"/>
      <c r="L35" s="6">
        <f t="shared" si="6"/>
        <v>-24.120000000000118</v>
      </c>
      <c r="M35" s="3"/>
      <c r="N35" s="7">
        <f t="shared" si="7"/>
        <v>-1.5971394517282557E-2</v>
      </c>
      <c r="O35" s="9"/>
      <c r="P35" s="6">
        <v>34185.760000000002</v>
      </c>
      <c r="Q35" s="3"/>
      <c r="R35" s="7">
        <f t="shared" si="8"/>
        <v>2.1911873832049702E-2</v>
      </c>
      <c r="S35" s="3"/>
      <c r="T35" s="6">
        <v>18475.490000000002</v>
      </c>
      <c r="U35" s="3"/>
      <c r="V35" s="7">
        <f t="shared" si="9"/>
        <v>3.1578273404601544E-2</v>
      </c>
      <c r="W35" s="3"/>
      <c r="X35" s="6">
        <f t="shared" si="10"/>
        <v>15710.27</v>
      </c>
      <c r="Y35" s="3"/>
      <c r="Z35" s="7">
        <f t="shared" si="11"/>
        <v>0.85033035659676681</v>
      </c>
    </row>
    <row r="36" spans="1:26" s="69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1308.79</v>
      </c>
      <c r="E36" s="3"/>
      <c r="F36" s="7">
        <f t="shared" si="4"/>
        <v>2.583116575275983E-2</v>
      </c>
      <c r="G36" s="3"/>
      <c r="H36" s="6">
        <v>741.76</v>
      </c>
      <c r="I36" s="3"/>
      <c r="J36" s="7">
        <f t="shared" si="5"/>
        <v>1.1121738323381754E-2</v>
      </c>
      <c r="K36" s="3"/>
      <c r="L36" s="6">
        <f t="shared" si="6"/>
        <v>567.03</v>
      </c>
      <c r="M36" s="3"/>
      <c r="N36" s="7">
        <f t="shared" si="7"/>
        <v>0.76443863244176014</v>
      </c>
      <c r="O36" s="9"/>
      <c r="P36" s="6">
        <v>18376.830000000002</v>
      </c>
      <c r="Q36" s="3"/>
      <c r="R36" s="7">
        <f t="shared" si="8"/>
        <v>1.177890385918072E-2</v>
      </c>
      <c r="S36" s="3"/>
      <c r="T36" s="6">
        <v>6437.18</v>
      </c>
      <c r="U36" s="3"/>
      <c r="V36" s="7">
        <f t="shared" si="9"/>
        <v>1.100241617378662E-2</v>
      </c>
      <c r="W36" s="3"/>
      <c r="X36" s="6">
        <f t="shared" si="10"/>
        <v>11939.650000000001</v>
      </c>
      <c r="Y36" s="3"/>
      <c r="Z36" s="7">
        <f t="shared" si="11"/>
        <v>1.8547951121453805</v>
      </c>
    </row>
    <row r="37" spans="1:26" s="68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36638.719999999994</v>
      </c>
      <c r="E37" s="2"/>
      <c r="F37" s="5">
        <f t="shared" si="4"/>
        <v>0.72312658966599419</v>
      </c>
      <c r="G37" s="2"/>
      <c r="H37" s="2">
        <f>SUM(OSRRefH22_1x_0)</f>
        <v>29816.31</v>
      </c>
      <c r="I37" s="2"/>
      <c r="J37" s="5">
        <f t="shared" si="5"/>
        <v>0.44705726594697837</v>
      </c>
      <c r="K37" s="2"/>
      <c r="L37" s="2">
        <f t="shared" si="6"/>
        <v>6822.4099999999926</v>
      </c>
      <c r="M37" s="2"/>
      <c r="N37" s="5">
        <f t="shared" si="7"/>
        <v>0.22881469906906629</v>
      </c>
      <c r="O37" s="11"/>
      <c r="P37" s="2">
        <f>SUM(OSRRefP22_1x_0)</f>
        <v>839101.45000000007</v>
      </c>
      <c r="Q37" s="2"/>
      <c r="R37" s="5">
        <f t="shared" si="8"/>
        <v>0.53783461607084238</v>
      </c>
      <c r="S37" s="2"/>
      <c r="T37" s="2">
        <f>SUM(OSRRefT22_1x_0)</f>
        <v>349330.91</v>
      </c>
      <c r="U37" s="2"/>
      <c r="V37" s="5">
        <f t="shared" si="9"/>
        <v>0.59707574655168838</v>
      </c>
      <c r="W37" s="2"/>
      <c r="X37" s="2">
        <f t="shared" si="10"/>
        <v>489770.5400000001</v>
      </c>
      <c r="Y37" s="2"/>
      <c r="Z37" s="5">
        <f t="shared" si="11"/>
        <v>1.402024630457122</v>
      </c>
    </row>
    <row r="38" spans="1:26" s="69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>
        <v>5756.01</v>
      </c>
      <c r="E38" s="3"/>
      <c r="F38" s="7">
        <f t="shared" si="4"/>
        <v>0.11360451133072771</v>
      </c>
      <c r="G38" s="3"/>
      <c r="H38" s="6">
        <v>11069.28</v>
      </c>
      <c r="I38" s="3"/>
      <c r="J38" s="7">
        <f t="shared" si="5"/>
        <v>0.16596963382798102</v>
      </c>
      <c r="K38" s="3"/>
      <c r="L38" s="6">
        <f t="shared" si="6"/>
        <v>-5313.27</v>
      </c>
      <c r="M38" s="3"/>
      <c r="N38" s="7">
        <f t="shared" si="7"/>
        <v>-0.4800014093057543</v>
      </c>
      <c r="O38" s="9"/>
      <c r="P38" s="6">
        <v>128912.89</v>
      </c>
      <c r="Q38" s="3"/>
      <c r="R38" s="7">
        <f t="shared" si="8"/>
        <v>8.2628643651769085E-2</v>
      </c>
      <c r="S38" s="3"/>
      <c r="T38" s="6">
        <v>130427.41</v>
      </c>
      <c r="U38" s="3"/>
      <c r="V38" s="7">
        <f t="shared" si="9"/>
        <v>0.22292628841963386</v>
      </c>
      <c r="W38" s="3"/>
      <c r="X38" s="6">
        <f t="shared" si="10"/>
        <v>-1514.5200000000041</v>
      </c>
      <c r="Y38" s="3"/>
      <c r="Z38" s="7">
        <f t="shared" si="11"/>
        <v>-1.1611976347609786E-2</v>
      </c>
    </row>
    <row r="39" spans="1:26" s="69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12155.92</v>
      </c>
      <c r="E39" s="3"/>
      <c r="F39" s="7">
        <f t="shared" si="4"/>
        <v>0.23991746911061995</v>
      </c>
      <c r="G39" s="3"/>
      <c r="H39" s="6">
        <v>12905.62</v>
      </c>
      <c r="I39" s="3"/>
      <c r="J39" s="7">
        <f t="shared" si="5"/>
        <v>0.19350319313659681</v>
      </c>
      <c r="K39" s="3"/>
      <c r="L39" s="6">
        <f t="shared" si="6"/>
        <v>-749.70000000000073</v>
      </c>
      <c r="M39" s="3"/>
      <c r="N39" s="7">
        <f t="shared" si="7"/>
        <v>-5.8090971220290125E-2</v>
      </c>
      <c r="O39" s="9"/>
      <c r="P39" s="6">
        <v>252023.2</v>
      </c>
      <c r="Q39" s="3"/>
      <c r="R39" s="7">
        <f t="shared" si="8"/>
        <v>0.16153803692383695</v>
      </c>
      <c r="S39" s="3"/>
      <c r="T39" s="6">
        <v>177119.97</v>
      </c>
      <c r="U39" s="3"/>
      <c r="V39" s="7">
        <f t="shared" si="9"/>
        <v>0.3027331257831225</v>
      </c>
      <c r="W39" s="3"/>
      <c r="X39" s="6">
        <f t="shared" si="10"/>
        <v>74903.23000000001</v>
      </c>
      <c r="Y39" s="3"/>
      <c r="Z39" s="7">
        <f t="shared" si="11"/>
        <v>0.42289545329078371</v>
      </c>
    </row>
    <row r="40" spans="1:26" s="69" customFormat="1" ht="15" hidden="1" customHeight="1" outlineLevel="2" x14ac:dyDescent="0.3">
      <c r="A40" s="21"/>
      <c r="B40" s="9" t="str">
        <f>CONCATENATE("          ","6004"," - ","STAFF HOURLY")</f>
        <v xml:space="preserve">          6004 - STAFF HOURLY</v>
      </c>
      <c r="C40" s="9"/>
      <c r="D40" s="6">
        <v>6295.24</v>
      </c>
      <c r="E40" s="3"/>
      <c r="F40" s="7">
        <f t="shared" si="4"/>
        <v>0.12424711977735449</v>
      </c>
      <c r="G40" s="3"/>
      <c r="H40" s="6">
        <v>4444.6899999999996</v>
      </c>
      <c r="I40" s="3"/>
      <c r="J40" s="7">
        <f t="shared" si="5"/>
        <v>6.664241683098529E-2</v>
      </c>
      <c r="K40" s="3"/>
      <c r="L40" s="6">
        <f t="shared" si="6"/>
        <v>1850.5500000000002</v>
      </c>
      <c r="M40" s="3"/>
      <c r="N40" s="7">
        <f t="shared" si="7"/>
        <v>0.41635074662124927</v>
      </c>
      <c r="O40" s="9"/>
      <c r="P40" s="6">
        <v>123349.11</v>
      </c>
      <c r="Q40" s="3"/>
      <c r="R40" s="7">
        <f t="shared" si="8"/>
        <v>7.9062455701310125E-2</v>
      </c>
      <c r="S40" s="3"/>
      <c r="T40" s="6">
        <v>35907.72</v>
      </c>
      <c r="U40" s="3"/>
      <c r="V40" s="7">
        <f t="shared" si="9"/>
        <v>6.1373408742928001E-2</v>
      </c>
      <c r="W40" s="3"/>
      <c r="X40" s="6">
        <f t="shared" si="10"/>
        <v>87441.39</v>
      </c>
      <c r="Y40" s="3"/>
      <c r="Z40" s="7">
        <f t="shared" si="11"/>
        <v>2.4351696515401144</v>
      </c>
    </row>
    <row r="41" spans="1:26" s="69" customFormat="1" ht="15" hidden="1" customHeight="1" outlineLevel="2" x14ac:dyDescent="0.3">
      <c r="A41" s="21"/>
      <c r="B41" s="9" t="str">
        <f>CONCATENATE("          ","6005"," - ","TEMPORARY WAGES-HOURLY")</f>
        <v xml:space="preserve">          6005 - TEMPORARY WAGES-HOURLY</v>
      </c>
      <c r="C41" s="9"/>
      <c r="D41" s="6">
        <v>8251.81</v>
      </c>
      <c r="E41" s="3"/>
      <c r="F41" s="7">
        <f t="shared" si="4"/>
        <v>0.16286331028681536</v>
      </c>
      <c r="G41" s="3"/>
      <c r="H41" s="6">
        <v>1311.04</v>
      </c>
      <c r="I41" s="3"/>
      <c r="J41" s="7">
        <f t="shared" si="5"/>
        <v>1.9657360617297261E-2</v>
      </c>
      <c r="K41" s="3"/>
      <c r="L41" s="6">
        <f t="shared" si="6"/>
        <v>6940.7699999999995</v>
      </c>
      <c r="M41" s="3"/>
      <c r="N41" s="7">
        <f t="shared" si="7"/>
        <v>5.2940947644618008</v>
      </c>
      <c r="O41" s="9"/>
      <c r="P41" s="6">
        <v>139815.44</v>
      </c>
      <c r="Q41" s="3"/>
      <c r="R41" s="7">
        <f t="shared" si="8"/>
        <v>8.9616796030057982E-2</v>
      </c>
      <c r="S41" s="3"/>
      <c r="T41" s="6">
        <v>5642.44</v>
      </c>
      <c r="U41" s="3"/>
      <c r="V41" s="7">
        <f t="shared" si="9"/>
        <v>9.6440480327753091E-3</v>
      </c>
      <c r="W41" s="3"/>
      <c r="X41" s="6">
        <f t="shared" si="10"/>
        <v>134173</v>
      </c>
      <c r="Y41" s="3"/>
      <c r="Z41" s="7">
        <f t="shared" si="11"/>
        <v>23.779251529480156</v>
      </c>
    </row>
    <row r="42" spans="1:26" s="69" customFormat="1" ht="15" hidden="1" customHeight="1" outlineLevel="2" x14ac:dyDescent="0.3">
      <c r="A42" s="21"/>
      <c r="B42" s="9" t="str">
        <f>CONCATENATE("          ","6007"," - ","STUDENT HOURLY")</f>
        <v xml:space="preserve">          6007 - STUDENT HOURLY</v>
      </c>
      <c r="C42" s="9"/>
      <c r="D42" s="6">
        <v>4179.74</v>
      </c>
      <c r="E42" s="3"/>
      <c r="F42" s="7">
        <f t="shared" si="4"/>
        <v>8.2494179160476758E-2</v>
      </c>
      <c r="G42" s="3"/>
      <c r="H42" s="6">
        <v>85.68</v>
      </c>
      <c r="I42" s="3"/>
      <c r="J42" s="7">
        <f t="shared" si="5"/>
        <v>1.2846615341179746E-3</v>
      </c>
      <c r="K42" s="3"/>
      <c r="L42" s="6">
        <f t="shared" si="6"/>
        <v>4094.06</v>
      </c>
      <c r="M42" s="3"/>
      <c r="N42" s="7">
        <f t="shared" si="7"/>
        <v>47.783146591970116</v>
      </c>
      <c r="O42" s="9"/>
      <c r="P42" s="6">
        <v>185731.44</v>
      </c>
      <c r="Q42" s="3"/>
      <c r="R42" s="7">
        <f t="shared" si="8"/>
        <v>0.11904734251702781</v>
      </c>
      <c r="S42" s="3"/>
      <c r="T42" s="6">
        <v>233.37</v>
      </c>
      <c r="U42" s="3"/>
      <c r="V42" s="7">
        <f t="shared" si="9"/>
        <v>3.9887557322874039E-4</v>
      </c>
      <c r="W42" s="3"/>
      <c r="X42" s="6">
        <f t="shared" si="10"/>
        <v>185498.07</v>
      </c>
      <c r="Y42" s="3"/>
      <c r="Z42" s="7">
        <f t="shared" si="11"/>
        <v>794.86682092813987</v>
      </c>
    </row>
    <row r="43" spans="1:26" s="69" customFormat="1" ht="15" hidden="1" customHeight="1" outlineLevel="2" x14ac:dyDescent="0.3">
      <c r="A43" s="21"/>
      <c r="B43" s="9" t="str">
        <f>CONCATENATE("          ","6008"," - ","STUDENT HOURLY-FICA EXEMPT")</f>
        <v xml:space="preserve">          6008 - STUDENT HOURLY-FICA EXEMPT</v>
      </c>
      <c r="C43" s="9"/>
      <c r="D43" s="6"/>
      <c r="E43" s="3"/>
      <c r="F43" s="7">
        <f t="shared" si="4"/>
        <v>0</v>
      </c>
      <c r="G43" s="3"/>
      <c r="H43" s="6"/>
      <c r="I43" s="3"/>
      <c r="J43" s="7">
        <f t="shared" si="5"/>
        <v>0</v>
      </c>
      <c r="K43" s="3"/>
      <c r="L43" s="6">
        <f t="shared" si="6"/>
        <v>0</v>
      </c>
      <c r="M43" s="3"/>
      <c r="N43" s="7">
        <f t="shared" si="7"/>
        <v>0</v>
      </c>
      <c r="O43" s="9"/>
      <c r="P43" s="6">
        <v>9269.3700000000008</v>
      </c>
      <c r="Q43" s="3"/>
      <c r="R43" s="7">
        <f t="shared" si="8"/>
        <v>5.9413412468403964E-3</v>
      </c>
      <c r="S43" s="3"/>
      <c r="T43" s="6"/>
      <c r="U43" s="3"/>
      <c r="V43" s="7">
        <f t="shared" si="9"/>
        <v>0</v>
      </c>
      <c r="W43" s="3"/>
      <c r="X43" s="6">
        <f t="shared" si="10"/>
        <v>9269.3700000000008</v>
      </c>
      <c r="Y43" s="3"/>
      <c r="Z43" s="7">
        <f t="shared" si="11"/>
        <v>0</v>
      </c>
    </row>
    <row r="44" spans="1:26" s="68" customFormat="1" ht="15" customHeight="1" outlineLevel="1" collapsed="1" x14ac:dyDescent="0.3">
      <c r="A44" s="20"/>
      <c r="B44" s="11" t="str">
        <f>CONCATENATE("     ","Advertising/Promo                                 ")</f>
        <v xml:space="preserve">     Advertising/Promo                                 </v>
      </c>
      <c r="C44" s="11"/>
      <c r="D44" s="2">
        <f>SUM(OSRRefD22_2x_0)</f>
        <v>1272.93</v>
      </c>
      <c r="E44" s="2"/>
      <c r="F44" s="5">
        <f t="shared" si="4"/>
        <v>2.5123408508363122E-2</v>
      </c>
      <c r="G44" s="2"/>
      <c r="H44" s="2">
        <f>SUM(OSRRefH22_2x_0)</f>
        <v>38.29</v>
      </c>
      <c r="I44" s="2"/>
      <c r="J44" s="5">
        <f t="shared" si="5"/>
        <v>5.7410936206089217E-4</v>
      </c>
      <c r="K44" s="2"/>
      <c r="L44" s="2">
        <f t="shared" si="6"/>
        <v>1234.6400000000001</v>
      </c>
      <c r="M44" s="2"/>
      <c r="N44" s="5">
        <f t="shared" si="7"/>
        <v>32.24445024810656</v>
      </c>
      <c r="O44" s="11"/>
      <c r="P44" s="2">
        <f>SUM(OSRRefP22_2x_0)</f>
        <v>3464.52</v>
      </c>
      <c r="Q44" s="2"/>
      <c r="R44" s="5">
        <f t="shared" si="8"/>
        <v>2.2206358767104437E-3</v>
      </c>
      <c r="S44" s="2"/>
      <c r="T44" s="2">
        <f>SUM(OSRRefT22_2x_0)</f>
        <v>485.74</v>
      </c>
      <c r="U44" s="2"/>
      <c r="V44" s="5">
        <f t="shared" si="9"/>
        <v>8.3022591138590379E-4</v>
      </c>
      <c r="W44" s="2"/>
      <c r="X44" s="2">
        <f t="shared" si="10"/>
        <v>2978.7799999999997</v>
      </c>
      <c r="Y44" s="2"/>
      <c r="Z44" s="5">
        <f t="shared" si="11"/>
        <v>6.1324576934162307</v>
      </c>
    </row>
    <row r="45" spans="1:26" s="69" customFormat="1" ht="15" hidden="1" customHeight="1" outlineLevel="2" x14ac:dyDescent="0.3">
      <c r="A45" s="21"/>
      <c r="B45" s="9" t="str">
        <f>CONCATENATE("          ","6362"," - ","ADVERTISING EXPENSE")</f>
        <v xml:space="preserve">          6362 - ADVERTISING EXPENSE</v>
      </c>
      <c r="C45" s="9"/>
      <c r="D45" s="6">
        <v>1272.93</v>
      </c>
      <c r="E45" s="3"/>
      <c r="F45" s="7">
        <f t="shared" si="4"/>
        <v>2.5123408508363122E-2</v>
      </c>
      <c r="G45" s="3"/>
      <c r="H45" s="6">
        <v>38.29</v>
      </c>
      <c r="I45" s="3"/>
      <c r="J45" s="7">
        <f t="shared" si="5"/>
        <v>5.7410936206089217E-4</v>
      </c>
      <c r="K45" s="3"/>
      <c r="L45" s="6">
        <f t="shared" si="6"/>
        <v>1234.6400000000001</v>
      </c>
      <c r="M45" s="3"/>
      <c r="N45" s="7">
        <f t="shared" si="7"/>
        <v>32.24445024810656</v>
      </c>
      <c r="O45" s="9"/>
      <c r="P45" s="6">
        <v>3464.52</v>
      </c>
      <c r="Q45" s="3"/>
      <c r="R45" s="7">
        <f t="shared" si="8"/>
        <v>2.2206358767104437E-3</v>
      </c>
      <c r="S45" s="3"/>
      <c r="T45" s="6">
        <v>485.74</v>
      </c>
      <c r="U45" s="3"/>
      <c r="V45" s="7">
        <f t="shared" si="9"/>
        <v>8.3022591138590379E-4</v>
      </c>
      <c r="W45" s="3"/>
      <c r="X45" s="6">
        <f t="shared" si="10"/>
        <v>2978.7799999999997</v>
      </c>
      <c r="Y45" s="3"/>
      <c r="Z45" s="7">
        <f t="shared" si="11"/>
        <v>6.1324576934162307</v>
      </c>
    </row>
    <row r="46" spans="1:26" s="68" customFormat="1" ht="15" customHeight="1" outlineLevel="1" collapsed="1" x14ac:dyDescent="0.3">
      <c r="A46" s="20"/>
      <c r="B46" s="11" t="str">
        <f>CONCATENATE("     ","Bad Debts/Over/Short                              ")</f>
        <v xml:space="preserve">     Bad Debts/Over/Short                              </v>
      </c>
      <c r="C46" s="11"/>
      <c r="D46" s="2">
        <f>SUM(OSRRefD22_3x_0)</f>
        <v>-13.58</v>
      </c>
      <c r="E46" s="2"/>
      <c r="F46" s="5">
        <f t="shared" si="4"/>
        <v>-2.680240763777829E-4</v>
      </c>
      <c r="G46" s="2"/>
      <c r="H46" s="2">
        <f>SUM(OSRRefH22_3x_0)</f>
        <v>-2.67</v>
      </c>
      <c r="I46" s="2"/>
      <c r="J46" s="5">
        <f t="shared" si="5"/>
        <v>-4.0033220075805223E-5</v>
      </c>
      <c r="K46" s="2"/>
      <c r="L46" s="2">
        <f t="shared" si="6"/>
        <v>-10.91</v>
      </c>
      <c r="M46" s="2"/>
      <c r="N46" s="5">
        <f t="shared" si="7"/>
        <v>4.0861423220973787</v>
      </c>
      <c r="O46" s="11"/>
      <c r="P46" s="2">
        <f>SUM(OSRRefP22_3x_0)</f>
        <v>-31.79</v>
      </c>
      <c r="Q46" s="2"/>
      <c r="R46" s="5">
        <f t="shared" si="8"/>
        <v>-2.0376275651641499E-5</v>
      </c>
      <c r="S46" s="2"/>
      <c r="T46" s="2">
        <f>SUM(OSRRefT22_3x_0)</f>
        <v>13.53</v>
      </c>
      <c r="U46" s="2"/>
      <c r="V46" s="5">
        <f t="shared" si="9"/>
        <v>2.3125451025345408E-5</v>
      </c>
      <c r="W46" s="2"/>
      <c r="X46" s="2">
        <f t="shared" si="10"/>
        <v>-45.32</v>
      </c>
      <c r="Y46" s="2"/>
      <c r="Z46" s="5">
        <f t="shared" si="11"/>
        <v>-3.3495934959349594</v>
      </c>
    </row>
    <row r="47" spans="1:26" s="69" customFormat="1" ht="15" hidden="1" customHeight="1" outlineLevel="2" x14ac:dyDescent="0.3">
      <c r="A47" s="21"/>
      <c r="B47" s="9" t="str">
        <f>CONCATENATE("          ","6272"," - ","CASH (OVER/SHORT)")</f>
        <v xml:space="preserve">          6272 - CASH (OVER/SHORT)</v>
      </c>
      <c r="C47" s="9"/>
      <c r="D47" s="6">
        <v>-13.58</v>
      </c>
      <c r="E47" s="3"/>
      <c r="F47" s="7">
        <f t="shared" si="4"/>
        <v>-2.680240763777829E-4</v>
      </c>
      <c r="G47" s="3"/>
      <c r="H47" s="6">
        <v>-2.67</v>
      </c>
      <c r="I47" s="3"/>
      <c r="J47" s="7">
        <f t="shared" si="5"/>
        <v>-4.0033220075805223E-5</v>
      </c>
      <c r="K47" s="3"/>
      <c r="L47" s="6">
        <f t="shared" si="6"/>
        <v>-10.91</v>
      </c>
      <c r="M47" s="3"/>
      <c r="N47" s="7">
        <f t="shared" si="7"/>
        <v>4.0861423220973787</v>
      </c>
      <c r="O47" s="9"/>
      <c r="P47" s="6">
        <v>-31.79</v>
      </c>
      <c r="Q47" s="3"/>
      <c r="R47" s="7">
        <f t="shared" si="8"/>
        <v>-2.0376275651641499E-5</v>
      </c>
      <c r="S47" s="3"/>
      <c r="T47" s="6">
        <v>13.53</v>
      </c>
      <c r="U47" s="3"/>
      <c r="V47" s="7">
        <f t="shared" si="9"/>
        <v>2.3125451025345408E-5</v>
      </c>
      <c r="W47" s="3"/>
      <c r="X47" s="6">
        <f t="shared" si="10"/>
        <v>-45.32</v>
      </c>
      <c r="Y47" s="3"/>
      <c r="Z47" s="7">
        <f t="shared" si="11"/>
        <v>-3.3495934959349594</v>
      </c>
    </row>
    <row r="48" spans="1:26" s="68" customFormat="1" ht="15" customHeight="1" outlineLevel="1" collapsed="1" x14ac:dyDescent="0.3">
      <c r="A48" s="20"/>
      <c r="B48" s="11" t="str">
        <f>CONCATENATE("     ","Bank/card Fees                                    ")</f>
        <v xml:space="preserve">     Bank/card Fees                                    </v>
      </c>
      <c r="C48" s="11"/>
      <c r="D48" s="2">
        <f>SUM(OSRRefD22_4x_0)</f>
        <v>1527.23</v>
      </c>
      <c r="E48" s="2"/>
      <c r="F48" s="5">
        <f t="shared" si="4"/>
        <v>3.0142445520356512E-2</v>
      </c>
      <c r="G48" s="2"/>
      <c r="H48" s="2">
        <f>SUM(OSRRefH22_4x_0)</f>
        <v>829.57</v>
      </c>
      <c r="I48" s="2"/>
      <c r="J48" s="5">
        <f t="shared" si="5"/>
        <v>1.2438336471268069E-2</v>
      </c>
      <c r="K48" s="2"/>
      <c r="L48" s="2">
        <f t="shared" si="6"/>
        <v>697.66</v>
      </c>
      <c r="M48" s="2"/>
      <c r="N48" s="5">
        <f t="shared" si="7"/>
        <v>0.84098991043552673</v>
      </c>
      <c r="O48" s="11"/>
      <c r="P48" s="2">
        <f>SUM(OSRRefP22_4x_0)</f>
        <v>54448.74</v>
      </c>
      <c r="Q48" s="2"/>
      <c r="R48" s="5">
        <f t="shared" si="8"/>
        <v>3.4899733725214176E-2</v>
      </c>
      <c r="S48" s="2"/>
      <c r="T48" s="2">
        <f>SUM(OSRRefT22_4x_0)</f>
        <v>7847.7</v>
      </c>
      <c r="U48" s="2"/>
      <c r="V48" s="5">
        <f t="shared" si="9"/>
        <v>1.3413274354146574E-2</v>
      </c>
      <c r="W48" s="2"/>
      <c r="X48" s="2">
        <f t="shared" si="10"/>
        <v>46601.04</v>
      </c>
      <c r="Y48" s="2"/>
      <c r="Z48" s="5">
        <f t="shared" si="11"/>
        <v>5.9381780649107387</v>
      </c>
    </row>
    <row r="49" spans="1:26" s="69" customFormat="1" ht="15" hidden="1" customHeight="1" outlineLevel="2" x14ac:dyDescent="0.3">
      <c r="A49" s="21"/>
      <c r="B49" s="9" t="str">
        <f>CONCATENATE("          ","6381"," - ","BANK/CREDIT CARD FEES")</f>
        <v xml:space="preserve">          6381 - BANK/CREDIT CARD FEES</v>
      </c>
      <c r="C49" s="9"/>
      <c r="D49" s="6">
        <v>1527.23</v>
      </c>
      <c r="E49" s="3"/>
      <c r="F49" s="7">
        <f t="shared" si="4"/>
        <v>3.0142445520356512E-2</v>
      </c>
      <c r="G49" s="3"/>
      <c r="H49" s="6">
        <v>829.57</v>
      </c>
      <c r="I49" s="3"/>
      <c r="J49" s="7">
        <f t="shared" si="5"/>
        <v>1.2438336471268069E-2</v>
      </c>
      <c r="K49" s="3"/>
      <c r="L49" s="6">
        <f t="shared" si="6"/>
        <v>697.66</v>
      </c>
      <c r="M49" s="3"/>
      <c r="N49" s="7">
        <f t="shared" si="7"/>
        <v>0.84098991043552673</v>
      </c>
      <c r="O49" s="9"/>
      <c r="P49" s="6">
        <v>54448.74</v>
      </c>
      <c r="Q49" s="3"/>
      <c r="R49" s="7">
        <f t="shared" si="8"/>
        <v>3.4899733725214176E-2</v>
      </c>
      <c r="S49" s="3"/>
      <c r="T49" s="6">
        <v>7847.7</v>
      </c>
      <c r="U49" s="3"/>
      <c r="V49" s="7">
        <f t="shared" si="9"/>
        <v>1.3413274354146574E-2</v>
      </c>
      <c r="W49" s="3"/>
      <c r="X49" s="6">
        <f t="shared" si="10"/>
        <v>46601.04</v>
      </c>
      <c r="Y49" s="3"/>
      <c r="Z49" s="7">
        <f t="shared" si="11"/>
        <v>5.9381780649107387</v>
      </c>
    </row>
    <row r="50" spans="1:26" s="68" customFormat="1" ht="15" customHeight="1" outlineLevel="1" collapsed="1" x14ac:dyDescent="0.3">
      <c r="A50" s="20"/>
      <c r="B50" s="11" t="str">
        <f>CONCATENATE("     ","Depreciation                                      ")</f>
        <v xml:space="preserve">     Depreciation                                      </v>
      </c>
      <c r="C50" s="11"/>
      <c r="D50" s="2">
        <f>SUM(OSRRefD22_5x_0)</f>
        <v>36722.770000000004</v>
      </c>
      <c r="E50" s="2"/>
      <c r="F50" s="5">
        <f t="shared" si="4"/>
        <v>0.72478545738466538</v>
      </c>
      <c r="G50" s="2"/>
      <c r="H50" s="2">
        <f>SUM(OSRRefH22_5x_0)</f>
        <v>31043.919999999998</v>
      </c>
      <c r="I50" s="2"/>
      <c r="J50" s="5">
        <f t="shared" si="5"/>
        <v>0.46546370088977201</v>
      </c>
      <c r="K50" s="2"/>
      <c r="L50" s="2">
        <f t="shared" si="6"/>
        <v>5678.8500000000058</v>
      </c>
      <c r="M50" s="2"/>
      <c r="N50" s="5">
        <f t="shared" si="7"/>
        <v>0.18292953982615617</v>
      </c>
      <c r="O50" s="11"/>
      <c r="P50" s="2">
        <f>SUM(OSRRefP22_5x_0)</f>
        <v>404075.00999999995</v>
      </c>
      <c r="Q50" s="2"/>
      <c r="R50" s="5">
        <f t="shared" si="8"/>
        <v>0.25899791719722537</v>
      </c>
      <c r="S50" s="2"/>
      <c r="T50" s="2">
        <f>SUM(OSRRefT22_5x_0)</f>
        <v>437795.77</v>
      </c>
      <c r="U50" s="2"/>
      <c r="V50" s="5">
        <f t="shared" si="9"/>
        <v>0.7482797219688383</v>
      </c>
      <c r="W50" s="2"/>
      <c r="X50" s="2">
        <f t="shared" si="10"/>
        <v>-33720.760000000068</v>
      </c>
      <c r="Y50" s="2"/>
      <c r="Z50" s="5">
        <f t="shared" si="11"/>
        <v>-7.7023951145074029E-2</v>
      </c>
    </row>
    <row r="51" spans="1:26" s="69" customFormat="1" ht="15" hidden="1" customHeight="1" outlineLevel="2" x14ac:dyDescent="0.3">
      <c r="A51" s="21"/>
      <c r="B51" s="9" t="str">
        <f>CONCATENATE("          ","6321"," - ","BUILDING DEPRECIATION")</f>
        <v xml:space="preserve">          6321 - BUILDING DEPRECIATION</v>
      </c>
      <c r="C51" s="9"/>
      <c r="D51" s="6">
        <v>23539.43</v>
      </c>
      <c r="E51" s="3"/>
      <c r="F51" s="7">
        <f t="shared" si="4"/>
        <v>0.46459013138508648</v>
      </c>
      <c r="G51" s="3"/>
      <c r="H51" s="6">
        <v>23583.53</v>
      </c>
      <c r="I51" s="3"/>
      <c r="J51" s="7">
        <f t="shared" si="5"/>
        <v>0.35360473657466474</v>
      </c>
      <c r="K51" s="3"/>
      <c r="L51" s="6">
        <f t="shared" si="6"/>
        <v>-44.099999999998545</v>
      </c>
      <c r="M51" s="3"/>
      <c r="N51" s="7">
        <f t="shared" si="7"/>
        <v>-1.869949070389316E-3</v>
      </c>
      <c r="O51" s="9"/>
      <c r="P51" s="6">
        <v>282560.96999999997</v>
      </c>
      <c r="Q51" s="3"/>
      <c r="R51" s="7">
        <f t="shared" si="8"/>
        <v>0.18111167704042794</v>
      </c>
      <c r="S51" s="3"/>
      <c r="T51" s="6">
        <v>283786.11</v>
      </c>
      <c r="U51" s="3"/>
      <c r="V51" s="7">
        <f t="shared" si="9"/>
        <v>0.48504669537903061</v>
      </c>
      <c r="W51" s="3"/>
      <c r="X51" s="6">
        <f t="shared" si="10"/>
        <v>-1225.140000000014</v>
      </c>
      <c r="Y51" s="3"/>
      <c r="Z51" s="7">
        <f t="shared" si="11"/>
        <v>-4.3171246119128731E-3</v>
      </c>
    </row>
    <row r="52" spans="1:26" s="69" customFormat="1" ht="15" hidden="1" customHeight="1" outlineLevel="2" x14ac:dyDescent="0.3">
      <c r="A52" s="21"/>
      <c r="B52" s="9" t="str">
        <f>CONCATENATE("          ","6322"," - ","EQUIPMENT DEPRECIATION EXPENSE")</f>
        <v xml:space="preserve">          6322 - EQUIPMENT DEPRECIATION EXPENSE</v>
      </c>
      <c r="C52" s="9"/>
      <c r="D52" s="6">
        <v>13183.34</v>
      </c>
      <c r="E52" s="3"/>
      <c r="F52" s="7">
        <f t="shared" si="4"/>
        <v>0.26019532599957884</v>
      </c>
      <c r="G52" s="3"/>
      <c r="H52" s="6">
        <v>7460.39</v>
      </c>
      <c r="I52" s="3"/>
      <c r="J52" s="7">
        <f t="shared" si="5"/>
        <v>0.11185896431510732</v>
      </c>
      <c r="K52" s="3"/>
      <c r="L52" s="6">
        <f t="shared" si="6"/>
        <v>5722.95</v>
      </c>
      <c r="M52" s="3"/>
      <c r="N52" s="7">
        <f t="shared" si="7"/>
        <v>0.76711137085326631</v>
      </c>
      <c r="O52" s="9"/>
      <c r="P52" s="6">
        <v>121514.04</v>
      </c>
      <c r="Q52" s="3"/>
      <c r="R52" s="7">
        <f t="shared" si="8"/>
        <v>7.7886240156797459E-2</v>
      </c>
      <c r="S52" s="3"/>
      <c r="T52" s="6">
        <v>154009.66</v>
      </c>
      <c r="U52" s="3"/>
      <c r="V52" s="7">
        <f t="shared" si="9"/>
        <v>0.26323302658980768</v>
      </c>
      <c r="W52" s="3"/>
      <c r="X52" s="6">
        <f t="shared" si="10"/>
        <v>-32495.62000000001</v>
      </c>
      <c r="Y52" s="3"/>
      <c r="Z52" s="7">
        <f t="shared" si="11"/>
        <v>-0.21099728419632904</v>
      </c>
    </row>
    <row r="53" spans="1:26" s="68" customFormat="1" ht="15" customHeight="1" outlineLevel="1" collapsed="1" x14ac:dyDescent="0.3">
      <c r="A53" s="20"/>
      <c r="B53" s="11" t="str">
        <f>CONCATENATE("     ","Employees' Appreciation                           ")</f>
        <v xml:space="preserve">     Employees' Appreciation                           </v>
      </c>
      <c r="C53" s="11"/>
      <c r="D53" s="2">
        <f>SUM(OSRRefD22_6x_0)</f>
        <v>0</v>
      </c>
      <c r="E53" s="2"/>
      <c r="F53" s="5">
        <f t="shared" si="4"/>
        <v>0</v>
      </c>
      <c r="G53" s="2"/>
      <c r="H53" s="2">
        <f>SUM(OSRRefH22_6x_0)</f>
        <v>0</v>
      </c>
      <c r="I53" s="2"/>
      <c r="J53" s="5">
        <f t="shared" si="5"/>
        <v>0</v>
      </c>
      <c r="K53" s="2"/>
      <c r="L53" s="2">
        <f t="shared" si="6"/>
        <v>0</v>
      </c>
      <c r="M53" s="2"/>
      <c r="N53" s="5">
        <f t="shared" si="7"/>
        <v>0</v>
      </c>
      <c r="O53" s="11"/>
      <c r="P53" s="2">
        <f>SUM(OSRRefP22_6x_0)</f>
        <v>376.32</v>
      </c>
      <c r="Q53" s="2"/>
      <c r="R53" s="5">
        <f t="shared" si="8"/>
        <v>2.4120792869536739E-4</v>
      </c>
      <c r="S53" s="2"/>
      <c r="T53" s="2">
        <f>SUM(OSRRefT22_6x_0)</f>
        <v>10</v>
      </c>
      <c r="U53" s="2"/>
      <c r="V53" s="5">
        <f t="shared" si="9"/>
        <v>1.7091981541275246E-5</v>
      </c>
      <c r="W53" s="2"/>
      <c r="X53" s="2">
        <f t="shared" si="10"/>
        <v>366.32</v>
      </c>
      <c r="Y53" s="2"/>
      <c r="Z53" s="5">
        <f t="shared" si="11"/>
        <v>36.631999999999998</v>
      </c>
    </row>
    <row r="54" spans="1:26" s="69" customFormat="1" ht="15" hidden="1" customHeight="1" outlineLevel="2" x14ac:dyDescent="0.3">
      <c r="A54" s="21"/>
      <c r="B54" s="9" t="str">
        <f>CONCATENATE("          ","6277"," - ","EMPLOYEE APPRECIATION")</f>
        <v xml:space="preserve">          6277 - EMPLOYEE APPRECIATION</v>
      </c>
      <c r="C54" s="9"/>
      <c r="D54" s="6"/>
      <c r="E54" s="3"/>
      <c r="F54" s="7">
        <f t="shared" si="4"/>
        <v>0</v>
      </c>
      <c r="G54" s="3"/>
      <c r="H54" s="6"/>
      <c r="I54" s="3"/>
      <c r="J54" s="7">
        <f t="shared" si="5"/>
        <v>0</v>
      </c>
      <c r="K54" s="3"/>
      <c r="L54" s="6">
        <f t="shared" si="6"/>
        <v>0</v>
      </c>
      <c r="M54" s="3"/>
      <c r="N54" s="7">
        <f t="shared" si="7"/>
        <v>0</v>
      </c>
      <c r="O54" s="9"/>
      <c r="P54" s="6">
        <v>376.32</v>
      </c>
      <c r="Q54" s="3"/>
      <c r="R54" s="7">
        <f t="shared" si="8"/>
        <v>2.4120792869536739E-4</v>
      </c>
      <c r="S54" s="3"/>
      <c r="T54" s="6">
        <v>10</v>
      </c>
      <c r="U54" s="3"/>
      <c r="V54" s="7">
        <f t="shared" si="9"/>
        <v>1.7091981541275246E-5</v>
      </c>
      <c r="W54" s="3"/>
      <c r="X54" s="6">
        <f t="shared" si="10"/>
        <v>366.32</v>
      </c>
      <c r="Y54" s="3"/>
      <c r="Z54" s="7">
        <f t="shared" si="11"/>
        <v>36.631999999999998</v>
      </c>
    </row>
    <row r="55" spans="1:26" s="68" customFormat="1" ht="15" customHeight="1" outlineLevel="1" collapsed="1" x14ac:dyDescent="0.3">
      <c r="A55" s="20"/>
      <c r="B55" s="11" t="str">
        <f>CONCATENATE("     ","Equipment Rental                                  ")</f>
        <v xml:space="preserve">     Equipment Rental                                  </v>
      </c>
      <c r="C55" s="11"/>
      <c r="D55" s="2">
        <f>SUM(OSRRefD22_7x_0)</f>
        <v>989.52</v>
      </c>
      <c r="E55" s="2"/>
      <c r="F55" s="5">
        <f t="shared" si="4"/>
        <v>1.9529836823073913E-2</v>
      </c>
      <c r="G55" s="2"/>
      <c r="H55" s="2">
        <f>SUM(OSRRefH22_7x_0)</f>
        <v>1075.32</v>
      </c>
      <c r="I55" s="2"/>
      <c r="J55" s="5">
        <f t="shared" si="5"/>
        <v>1.612304202693441E-2</v>
      </c>
      <c r="K55" s="2"/>
      <c r="L55" s="2">
        <f t="shared" si="6"/>
        <v>-85.799999999999955</v>
      </c>
      <c r="M55" s="2"/>
      <c r="N55" s="5">
        <f t="shared" si="7"/>
        <v>-7.9790201986385409E-2</v>
      </c>
      <c r="O55" s="11"/>
      <c r="P55" s="2">
        <f>SUM(OSRRefP22_7x_0)</f>
        <v>11937.82</v>
      </c>
      <c r="Q55" s="2"/>
      <c r="R55" s="5">
        <f t="shared" si="8"/>
        <v>7.6517241585303221E-3</v>
      </c>
      <c r="S55" s="2"/>
      <c r="T55" s="2">
        <f>SUM(OSRRefT22_7x_0)</f>
        <v>7591.75</v>
      </c>
      <c r="U55" s="2"/>
      <c r="V55" s="5">
        <f t="shared" si="9"/>
        <v>1.2975805086597635E-2</v>
      </c>
      <c r="W55" s="2"/>
      <c r="X55" s="2">
        <f t="shared" si="10"/>
        <v>4346.07</v>
      </c>
      <c r="Y55" s="2"/>
      <c r="Z55" s="5">
        <f t="shared" si="11"/>
        <v>0.57247275002469777</v>
      </c>
    </row>
    <row r="56" spans="1:26" s="69" customFormat="1" ht="15" hidden="1" customHeight="1" outlineLevel="2" x14ac:dyDescent="0.3">
      <c r="A56" s="21"/>
      <c r="B56" s="9" t="str">
        <f>CONCATENATE("          ","6351"," - ","EQUIPMENT RENTAL")</f>
        <v xml:space="preserve">          6351 - EQUIPMENT RENTAL</v>
      </c>
      <c r="C56" s="9"/>
      <c r="D56" s="6">
        <v>989.52</v>
      </c>
      <c r="E56" s="3"/>
      <c r="F56" s="7">
        <f t="shared" si="4"/>
        <v>1.9529836823073913E-2</v>
      </c>
      <c r="G56" s="3"/>
      <c r="H56" s="6">
        <v>1075.32</v>
      </c>
      <c r="I56" s="3"/>
      <c r="J56" s="7">
        <f t="shared" si="5"/>
        <v>1.612304202693441E-2</v>
      </c>
      <c r="K56" s="3"/>
      <c r="L56" s="6">
        <f t="shared" si="6"/>
        <v>-85.799999999999955</v>
      </c>
      <c r="M56" s="3"/>
      <c r="N56" s="7">
        <f t="shared" si="7"/>
        <v>-7.9790201986385409E-2</v>
      </c>
      <c r="O56" s="9"/>
      <c r="P56" s="6">
        <v>11937.82</v>
      </c>
      <c r="Q56" s="3"/>
      <c r="R56" s="7">
        <f t="shared" si="8"/>
        <v>7.6517241585303221E-3</v>
      </c>
      <c r="S56" s="3"/>
      <c r="T56" s="6">
        <v>7591.75</v>
      </c>
      <c r="U56" s="3"/>
      <c r="V56" s="7">
        <f t="shared" si="9"/>
        <v>1.2975805086597635E-2</v>
      </c>
      <c r="W56" s="3"/>
      <c r="X56" s="6">
        <f t="shared" si="10"/>
        <v>4346.07</v>
      </c>
      <c r="Y56" s="3"/>
      <c r="Z56" s="7">
        <f t="shared" si="11"/>
        <v>0.57247275002469777</v>
      </c>
    </row>
    <row r="57" spans="1:26" s="68" customFormat="1" ht="15" customHeight="1" outlineLevel="1" collapsed="1" x14ac:dyDescent="0.3">
      <c r="A57" s="20"/>
      <c r="B57" s="11" t="str">
        <f>CONCATENATE("     ","Freight out/Postage                               ")</f>
        <v xml:space="preserve">     Freight out/Postage                               </v>
      </c>
      <c r="C57" s="11"/>
      <c r="D57" s="2">
        <f>SUM(OSRRefD22_8x_0)</f>
        <v>0</v>
      </c>
      <c r="E57" s="2"/>
      <c r="F57" s="5">
        <f t="shared" si="4"/>
        <v>0</v>
      </c>
      <c r="G57" s="2"/>
      <c r="H57" s="2">
        <f>SUM(OSRRefH22_8x_0)</f>
        <v>0</v>
      </c>
      <c r="I57" s="2"/>
      <c r="J57" s="5">
        <f t="shared" si="5"/>
        <v>0</v>
      </c>
      <c r="K57" s="2"/>
      <c r="L57" s="2">
        <f t="shared" si="6"/>
        <v>0</v>
      </c>
      <c r="M57" s="2"/>
      <c r="N57" s="5">
        <f t="shared" si="7"/>
        <v>0</v>
      </c>
      <c r="O57" s="11"/>
      <c r="P57" s="2">
        <f>SUM(OSRRefP22_8x_0)</f>
        <v>0</v>
      </c>
      <c r="Q57" s="2"/>
      <c r="R57" s="5">
        <f t="shared" si="8"/>
        <v>0</v>
      </c>
      <c r="S57" s="2"/>
      <c r="T57" s="2">
        <f>SUM(OSRRefT22_8x_0)</f>
        <v>-2.4500000000000002</v>
      </c>
      <c r="U57" s="2"/>
      <c r="V57" s="5">
        <f t="shared" si="9"/>
        <v>-4.1875354776124353E-6</v>
      </c>
      <c r="W57" s="2"/>
      <c r="X57" s="2">
        <f t="shared" si="10"/>
        <v>2.4500000000000002</v>
      </c>
      <c r="Y57" s="2"/>
      <c r="Z57" s="5">
        <f t="shared" si="11"/>
        <v>-1</v>
      </c>
    </row>
    <row r="58" spans="1:26" s="69" customFormat="1" ht="15" hidden="1" customHeight="1" outlineLevel="2" x14ac:dyDescent="0.3">
      <c r="A58" s="21"/>
      <c r="B58" s="9" t="str">
        <f>CONCATENATE("          ","6307"," - ","POSTAGE")</f>
        <v xml:space="preserve">          6307 - POSTAGE</v>
      </c>
      <c r="C58" s="9"/>
      <c r="D58" s="6"/>
      <c r="E58" s="3"/>
      <c r="F58" s="7">
        <f t="shared" ref="F58:F89" si="12">IF(D$12=0,0,D58/D$12)</f>
        <v>0</v>
      </c>
      <c r="G58" s="3"/>
      <c r="H58" s="6"/>
      <c r="I58" s="3"/>
      <c r="J58" s="7">
        <f t="shared" ref="J58:J89" si="13">IF(H$12=0,0,H58/H$12)</f>
        <v>0</v>
      </c>
      <c r="K58" s="3"/>
      <c r="L58" s="6">
        <f t="shared" ref="L58:L89" si="14">+D58-H58</f>
        <v>0</v>
      </c>
      <c r="M58" s="3"/>
      <c r="N58" s="7">
        <f t="shared" ref="N58:N89" si="15">IF(H58=0,0,L58/H58)</f>
        <v>0</v>
      </c>
      <c r="O58" s="9"/>
      <c r="P58" s="6"/>
      <c r="Q58" s="3"/>
      <c r="R58" s="7">
        <f t="shared" ref="R58:R89" si="16">IF(P$12=0,0,P58/P$12)</f>
        <v>0</v>
      </c>
      <c r="S58" s="3"/>
      <c r="T58" s="6">
        <v>-2.4500000000000002</v>
      </c>
      <c r="U58" s="3"/>
      <c r="V58" s="7">
        <f t="shared" ref="V58:V89" si="17">IF(T$12=0,0,T58/T$12)</f>
        <v>-4.1875354776124353E-6</v>
      </c>
      <c r="W58" s="3"/>
      <c r="X58" s="6">
        <f t="shared" ref="X58:X89" si="18">+P58-T58</f>
        <v>2.4500000000000002</v>
      </c>
      <c r="Y58" s="3"/>
      <c r="Z58" s="7">
        <f t="shared" ref="Z58:Z89" si="19">IF(T58=0,0,X58/T58)</f>
        <v>-1</v>
      </c>
    </row>
    <row r="59" spans="1:26" s="68" customFormat="1" ht="15" customHeight="1" outlineLevel="1" collapsed="1" x14ac:dyDescent="0.3">
      <c r="A59" s="20"/>
      <c r="B59" s="11" t="str">
        <f>CONCATENATE("     ","General                                           ")</f>
        <v xml:space="preserve">     General                                           </v>
      </c>
      <c r="C59" s="11"/>
      <c r="D59" s="2">
        <f>SUM(OSRRefD22_9x_0)</f>
        <v>5629.56</v>
      </c>
      <c r="E59" s="2"/>
      <c r="F59" s="5">
        <f t="shared" si="12"/>
        <v>0.11110880849877111</v>
      </c>
      <c r="G59" s="2"/>
      <c r="H59" s="2">
        <f>SUM(OSRRefH22_9x_0)</f>
        <v>0</v>
      </c>
      <c r="I59" s="2"/>
      <c r="J59" s="5">
        <f t="shared" si="13"/>
        <v>0</v>
      </c>
      <c r="K59" s="2"/>
      <c r="L59" s="2">
        <f t="shared" si="14"/>
        <v>5629.56</v>
      </c>
      <c r="M59" s="2"/>
      <c r="N59" s="5">
        <f t="shared" si="15"/>
        <v>0</v>
      </c>
      <c r="O59" s="11"/>
      <c r="P59" s="2">
        <f>SUM(OSRRefP22_9x_0)</f>
        <v>52583.64</v>
      </c>
      <c r="Q59" s="2"/>
      <c r="R59" s="5">
        <f t="shared" si="16"/>
        <v>3.3704270003355838E-2</v>
      </c>
      <c r="S59" s="2"/>
      <c r="T59" s="2">
        <f>SUM(OSRRefT22_9x_0)</f>
        <v>7630.48</v>
      </c>
      <c r="U59" s="2"/>
      <c r="V59" s="5">
        <f t="shared" si="17"/>
        <v>1.3042002331106993E-2</v>
      </c>
      <c r="W59" s="2"/>
      <c r="X59" s="2">
        <f t="shared" si="18"/>
        <v>44953.16</v>
      </c>
      <c r="Y59" s="2"/>
      <c r="Z59" s="5">
        <f t="shared" si="19"/>
        <v>5.8912624107526668</v>
      </c>
    </row>
    <row r="60" spans="1:26" s="69" customFormat="1" ht="15" hidden="1" customHeight="1" outlineLevel="2" x14ac:dyDescent="0.3">
      <c r="A60" s="21"/>
      <c r="B60" s="9" t="str">
        <f>CONCATENATE("          ","6279"," - ","GENERAL EXPENSE")</f>
        <v xml:space="preserve">          6279 - GENERAL EXPENSE</v>
      </c>
      <c r="C60" s="9"/>
      <c r="D60" s="6">
        <v>5629.56</v>
      </c>
      <c r="E60" s="3"/>
      <c r="F60" s="7">
        <f t="shared" si="12"/>
        <v>0.11110880849877111</v>
      </c>
      <c r="G60" s="3"/>
      <c r="H60" s="6"/>
      <c r="I60" s="3"/>
      <c r="J60" s="7">
        <f t="shared" si="13"/>
        <v>0</v>
      </c>
      <c r="K60" s="3"/>
      <c r="L60" s="6">
        <f t="shared" si="14"/>
        <v>5629.56</v>
      </c>
      <c r="M60" s="3"/>
      <c r="N60" s="7">
        <f t="shared" si="15"/>
        <v>0</v>
      </c>
      <c r="O60" s="9"/>
      <c r="P60" s="6">
        <v>52583.64</v>
      </c>
      <c r="Q60" s="3"/>
      <c r="R60" s="7">
        <f t="shared" si="16"/>
        <v>3.3704270003355838E-2</v>
      </c>
      <c r="S60" s="3"/>
      <c r="T60" s="6">
        <v>7630.48</v>
      </c>
      <c r="U60" s="3"/>
      <c r="V60" s="7">
        <f t="shared" si="17"/>
        <v>1.3042002331106993E-2</v>
      </c>
      <c r="W60" s="3"/>
      <c r="X60" s="6">
        <f t="shared" si="18"/>
        <v>44953.16</v>
      </c>
      <c r="Y60" s="3"/>
      <c r="Z60" s="7">
        <f t="shared" si="19"/>
        <v>5.8912624107526668</v>
      </c>
    </row>
    <row r="61" spans="1:26" s="68" customFormat="1" ht="15" customHeight="1" outlineLevel="1" collapsed="1" x14ac:dyDescent="0.3">
      <c r="A61" s="20"/>
      <c r="B61" s="11" t="str">
        <f>CONCATENATE("     ","Insurance                                         ")</f>
        <v xml:space="preserve">     Insurance                                         </v>
      </c>
      <c r="C61" s="11"/>
      <c r="D61" s="2">
        <f>SUM(OSRRefD22_10x_0)</f>
        <v>-1771.08</v>
      </c>
      <c r="E61" s="2"/>
      <c r="F61" s="5">
        <f t="shared" si="12"/>
        <v>-3.4955234255608522E-2</v>
      </c>
      <c r="G61" s="2"/>
      <c r="H61" s="2">
        <f>SUM(OSRRefH22_10x_0)</f>
        <v>9054.81</v>
      </c>
      <c r="I61" s="2"/>
      <c r="J61" s="5">
        <f t="shared" si="13"/>
        <v>0.13576524399797824</v>
      </c>
      <c r="K61" s="2"/>
      <c r="L61" s="2">
        <f t="shared" si="14"/>
        <v>-10825.89</v>
      </c>
      <c r="M61" s="2"/>
      <c r="N61" s="5">
        <f t="shared" si="15"/>
        <v>-1.1955954901317642</v>
      </c>
      <c r="O61" s="11"/>
      <c r="P61" s="2">
        <f>SUM(OSRRefP22_10x_0)</f>
        <v>68430.23</v>
      </c>
      <c r="Q61" s="2"/>
      <c r="R61" s="5">
        <f t="shared" si="16"/>
        <v>4.3861378716112856E-2</v>
      </c>
      <c r="S61" s="2"/>
      <c r="T61" s="2">
        <f>SUM(OSRRefT22_10x_0)</f>
        <v>61808.24</v>
      </c>
      <c r="U61" s="2"/>
      <c r="V61" s="5">
        <f t="shared" si="17"/>
        <v>0.10564252971787103</v>
      </c>
      <c r="W61" s="2"/>
      <c r="X61" s="2">
        <f t="shared" si="18"/>
        <v>6621.989999999998</v>
      </c>
      <c r="Y61" s="2"/>
      <c r="Z61" s="5">
        <f t="shared" si="19"/>
        <v>0.1071376567266759</v>
      </c>
    </row>
    <row r="62" spans="1:26" s="69" customFormat="1" ht="15" hidden="1" customHeight="1" outlineLevel="2" x14ac:dyDescent="0.3">
      <c r="A62" s="21"/>
      <c r="B62" s="9" t="str">
        <f>CONCATENATE("          ","6314"," - ","LIABILITY INSURANCE")</f>
        <v xml:space="preserve">          6314 - LIABILITY INSURANCE</v>
      </c>
      <c r="C62" s="9"/>
      <c r="D62" s="6">
        <v>-1771.08</v>
      </c>
      <c r="E62" s="3"/>
      <c r="F62" s="7">
        <f t="shared" si="12"/>
        <v>-3.4955234255608522E-2</v>
      </c>
      <c r="G62" s="3"/>
      <c r="H62" s="6">
        <v>9054.81</v>
      </c>
      <c r="I62" s="3"/>
      <c r="J62" s="7">
        <f t="shared" si="13"/>
        <v>0.13576524399797824</v>
      </c>
      <c r="K62" s="3"/>
      <c r="L62" s="6">
        <f t="shared" si="14"/>
        <v>-10825.89</v>
      </c>
      <c r="M62" s="3"/>
      <c r="N62" s="7">
        <f t="shared" si="15"/>
        <v>-1.1955954901317642</v>
      </c>
      <c r="O62" s="9"/>
      <c r="P62" s="6">
        <v>68430.23</v>
      </c>
      <c r="Q62" s="3"/>
      <c r="R62" s="7">
        <f t="shared" si="16"/>
        <v>4.3861378716112856E-2</v>
      </c>
      <c r="S62" s="3"/>
      <c r="T62" s="6">
        <v>61808.24</v>
      </c>
      <c r="U62" s="3"/>
      <c r="V62" s="7">
        <f t="shared" si="17"/>
        <v>0.10564252971787103</v>
      </c>
      <c r="W62" s="3"/>
      <c r="X62" s="6">
        <f t="shared" si="18"/>
        <v>6621.989999999998</v>
      </c>
      <c r="Y62" s="3"/>
      <c r="Z62" s="7">
        <f t="shared" si="19"/>
        <v>0.1071376567266759</v>
      </c>
    </row>
    <row r="63" spans="1:26" s="68" customFormat="1" ht="15" customHeight="1" outlineLevel="1" collapsed="1" x14ac:dyDescent="0.3">
      <c r="A63" s="20"/>
      <c r="B63" s="11" t="str">
        <f>CONCATENATE("     ","Interest                                          ")</f>
        <v xml:space="preserve">     Interest                                          </v>
      </c>
      <c r="C63" s="11"/>
      <c r="D63" s="2">
        <f>SUM(OSRRefD22_11x_0)</f>
        <v>7253</v>
      </c>
      <c r="E63" s="2"/>
      <c r="F63" s="5">
        <f t="shared" si="12"/>
        <v>0.14315011973255223</v>
      </c>
      <c r="G63" s="2"/>
      <c r="H63" s="2">
        <f>SUM(OSRRefH22_11x_0)</f>
        <v>-815.7</v>
      </c>
      <c r="I63" s="2"/>
      <c r="J63" s="5">
        <f t="shared" si="13"/>
        <v>-1.223037363888926E-2</v>
      </c>
      <c r="K63" s="2"/>
      <c r="L63" s="2">
        <f t="shared" si="14"/>
        <v>8068.7</v>
      </c>
      <c r="M63" s="2"/>
      <c r="N63" s="5">
        <f t="shared" si="15"/>
        <v>-9.8917494176780671</v>
      </c>
      <c r="O63" s="11"/>
      <c r="P63" s="2">
        <f>SUM(OSRRefP22_11x_0)</f>
        <v>84898</v>
      </c>
      <c r="Q63" s="2"/>
      <c r="R63" s="5">
        <f t="shared" si="16"/>
        <v>5.4416642034383768E-2</v>
      </c>
      <c r="S63" s="2"/>
      <c r="T63" s="2">
        <f>SUM(OSRRefT22_11x_0)</f>
        <v>79764.45</v>
      </c>
      <c r="U63" s="2"/>
      <c r="V63" s="5">
        <f t="shared" si="17"/>
        <v>0.13633325070499722</v>
      </c>
      <c r="W63" s="2"/>
      <c r="X63" s="2">
        <f t="shared" si="18"/>
        <v>5133.5500000000029</v>
      </c>
      <c r="Y63" s="2"/>
      <c r="Z63" s="5">
        <f t="shared" si="19"/>
        <v>6.4358871652722527E-2</v>
      </c>
    </row>
    <row r="64" spans="1:26" s="69" customFormat="1" ht="15" hidden="1" customHeight="1" outlineLevel="2" x14ac:dyDescent="0.3">
      <c r="A64" s="21"/>
      <c r="B64" s="9" t="str">
        <f>CONCATENATE("          ","6401"," - ","INTEREST EXPENSE")</f>
        <v xml:space="preserve">          6401 - INTEREST EXPENSE</v>
      </c>
      <c r="C64" s="9"/>
      <c r="D64" s="6">
        <v>7253</v>
      </c>
      <c r="E64" s="3"/>
      <c r="F64" s="7">
        <f t="shared" si="12"/>
        <v>0.14315011973255223</v>
      </c>
      <c r="G64" s="3"/>
      <c r="H64" s="6">
        <v>-815.7</v>
      </c>
      <c r="I64" s="3"/>
      <c r="J64" s="7">
        <f t="shared" si="13"/>
        <v>-1.223037363888926E-2</v>
      </c>
      <c r="K64" s="3"/>
      <c r="L64" s="6">
        <f t="shared" si="14"/>
        <v>8068.7</v>
      </c>
      <c r="M64" s="3"/>
      <c r="N64" s="7">
        <f t="shared" si="15"/>
        <v>-9.8917494176780671</v>
      </c>
      <c r="O64" s="9"/>
      <c r="P64" s="6">
        <v>84898</v>
      </c>
      <c r="Q64" s="3"/>
      <c r="R64" s="7">
        <f t="shared" si="16"/>
        <v>5.4416642034383768E-2</v>
      </c>
      <c r="S64" s="3"/>
      <c r="T64" s="6">
        <v>79764.45</v>
      </c>
      <c r="U64" s="3"/>
      <c r="V64" s="7">
        <f t="shared" si="17"/>
        <v>0.13633325070499722</v>
      </c>
      <c r="W64" s="3"/>
      <c r="X64" s="6">
        <f t="shared" si="18"/>
        <v>5133.5500000000029</v>
      </c>
      <c r="Y64" s="3"/>
      <c r="Z64" s="7">
        <f t="shared" si="19"/>
        <v>6.4358871652722527E-2</v>
      </c>
    </row>
    <row r="65" spans="1:26" s="68" customFormat="1" ht="15" customHeight="1" outlineLevel="1" collapsed="1" x14ac:dyDescent="0.3">
      <c r="A65" s="20"/>
      <c r="B65" s="11" t="str">
        <f>CONCATENATE("     ","Professional Services                             ")</f>
        <v xml:space="preserve">     Professional Services                             </v>
      </c>
      <c r="C65" s="11"/>
      <c r="D65" s="2">
        <f>SUM(OSRRefD22_12x_0)</f>
        <v>0</v>
      </c>
      <c r="E65" s="2"/>
      <c r="F65" s="5">
        <f t="shared" si="12"/>
        <v>0</v>
      </c>
      <c r="G65" s="2"/>
      <c r="H65" s="2">
        <f>SUM(OSRRefH22_12x_0)</f>
        <v>0</v>
      </c>
      <c r="I65" s="2"/>
      <c r="J65" s="5">
        <f t="shared" si="13"/>
        <v>0</v>
      </c>
      <c r="K65" s="2"/>
      <c r="L65" s="2">
        <f t="shared" si="14"/>
        <v>0</v>
      </c>
      <c r="M65" s="2"/>
      <c r="N65" s="5">
        <f t="shared" si="15"/>
        <v>0</v>
      </c>
      <c r="O65" s="11"/>
      <c r="P65" s="2">
        <f>SUM(OSRRefP22_12x_0)</f>
        <v>511.58</v>
      </c>
      <c r="Q65" s="2"/>
      <c r="R65" s="5">
        <f t="shared" si="16"/>
        <v>3.2790484736919652E-4</v>
      </c>
      <c r="S65" s="2"/>
      <c r="T65" s="2">
        <f>SUM(OSRRefT22_12x_0)</f>
        <v>0</v>
      </c>
      <c r="U65" s="2"/>
      <c r="V65" s="5">
        <f t="shared" si="17"/>
        <v>0</v>
      </c>
      <c r="W65" s="2"/>
      <c r="X65" s="2">
        <f t="shared" si="18"/>
        <v>511.58</v>
      </c>
      <c r="Y65" s="2"/>
      <c r="Z65" s="5">
        <f t="shared" si="19"/>
        <v>0</v>
      </c>
    </row>
    <row r="66" spans="1:26" s="69" customFormat="1" ht="15" hidden="1" customHeight="1" outlineLevel="2" x14ac:dyDescent="0.3">
      <c r="A66" s="21"/>
      <c r="B66" s="9" t="str">
        <f>CONCATENATE("          ","6336"," - ","PROFESSIONAL SERVICES")</f>
        <v xml:space="preserve">          6336 - PROFESSIONAL SERVICES</v>
      </c>
      <c r="C66" s="9"/>
      <c r="D66" s="6"/>
      <c r="E66" s="3"/>
      <c r="F66" s="7">
        <f t="shared" si="12"/>
        <v>0</v>
      </c>
      <c r="G66" s="3"/>
      <c r="H66" s="6"/>
      <c r="I66" s="3"/>
      <c r="J66" s="7">
        <f t="shared" si="13"/>
        <v>0</v>
      </c>
      <c r="K66" s="3"/>
      <c r="L66" s="6">
        <f t="shared" si="14"/>
        <v>0</v>
      </c>
      <c r="M66" s="3"/>
      <c r="N66" s="7">
        <f t="shared" si="15"/>
        <v>0</v>
      </c>
      <c r="O66" s="9"/>
      <c r="P66" s="6">
        <v>511.58</v>
      </c>
      <c r="Q66" s="3"/>
      <c r="R66" s="7">
        <f t="shared" si="16"/>
        <v>3.2790484736919652E-4</v>
      </c>
      <c r="S66" s="3"/>
      <c r="T66" s="6"/>
      <c r="U66" s="3"/>
      <c r="V66" s="7">
        <f t="shared" si="17"/>
        <v>0</v>
      </c>
      <c r="W66" s="3"/>
      <c r="X66" s="6">
        <f t="shared" si="18"/>
        <v>511.58</v>
      </c>
      <c r="Y66" s="3"/>
      <c r="Z66" s="7">
        <f t="shared" si="19"/>
        <v>0</v>
      </c>
    </row>
    <row r="67" spans="1:26" s="68" customFormat="1" ht="15" customHeight="1" outlineLevel="1" collapsed="1" x14ac:dyDescent="0.3">
      <c r="A67" s="20"/>
      <c r="B67" s="11" t="str">
        <f>CONCATENATE("     ","Rent                                              ")</f>
        <v xml:space="preserve">     Rent                                              </v>
      </c>
      <c r="C67" s="11"/>
      <c r="D67" s="2">
        <f>SUM(OSRRefD22_13x_0)</f>
        <v>1850</v>
      </c>
      <c r="E67" s="2"/>
      <c r="F67" s="5">
        <f t="shared" si="12"/>
        <v>3.6512852820242886E-2</v>
      </c>
      <c r="G67" s="2"/>
      <c r="H67" s="2">
        <f>SUM(OSRRefH22_13x_0)</f>
        <v>7400</v>
      </c>
      <c r="I67" s="2"/>
      <c r="J67" s="5">
        <f t="shared" si="13"/>
        <v>0.11095349384305568</v>
      </c>
      <c r="K67" s="2"/>
      <c r="L67" s="2">
        <f t="shared" si="14"/>
        <v>-5550</v>
      </c>
      <c r="M67" s="2"/>
      <c r="N67" s="5">
        <f t="shared" si="15"/>
        <v>-0.75</v>
      </c>
      <c r="O67" s="11"/>
      <c r="P67" s="2">
        <f>SUM(OSRRefP22_13x_0)</f>
        <v>22200</v>
      </c>
      <c r="Q67" s="2"/>
      <c r="R67" s="5">
        <f t="shared" si="16"/>
        <v>1.4229421813980538E-2</v>
      </c>
      <c r="S67" s="2"/>
      <c r="T67" s="2">
        <f>SUM(OSRRefT22_13x_0)</f>
        <v>22200</v>
      </c>
      <c r="U67" s="2"/>
      <c r="V67" s="5">
        <f t="shared" si="17"/>
        <v>3.7944199021631042E-2</v>
      </c>
      <c r="W67" s="2"/>
      <c r="X67" s="2">
        <f t="shared" si="18"/>
        <v>0</v>
      </c>
      <c r="Y67" s="2"/>
      <c r="Z67" s="5">
        <f t="shared" si="19"/>
        <v>0</v>
      </c>
    </row>
    <row r="68" spans="1:26" s="69" customFormat="1" ht="15" hidden="1" customHeight="1" outlineLevel="2" x14ac:dyDescent="0.3">
      <c r="A68" s="21"/>
      <c r="B68" s="9" t="str">
        <f>CONCATENATE("          ","6273"," - ","RENT")</f>
        <v xml:space="preserve">          6273 - RENT</v>
      </c>
      <c r="C68" s="9"/>
      <c r="D68" s="6">
        <v>1850</v>
      </c>
      <c r="E68" s="3"/>
      <c r="F68" s="7">
        <f t="shared" si="12"/>
        <v>3.6512852820242886E-2</v>
      </c>
      <c r="G68" s="3"/>
      <c r="H68" s="6">
        <v>7400</v>
      </c>
      <c r="I68" s="3"/>
      <c r="J68" s="7">
        <f t="shared" si="13"/>
        <v>0.11095349384305568</v>
      </c>
      <c r="K68" s="3"/>
      <c r="L68" s="6">
        <f t="shared" si="14"/>
        <v>-5550</v>
      </c>
      <c r="M68" s="3"/>
      <c r="N68" s="7">
        <f t="shared" si="15"/>
        <v>-0.75</v>
      </c>
      <c r="O68" s="9"/>
      <c r="P68" s="6">
        <v>22200</v>
      </c>
      <c r="Q68" s="3"/>
      <c r="R68" s="7">
        <f t="shared" si="16"/>
        <v>1.4229421813980538E-2</v>
      </c>
      <c r="S68" s="3"/>
      <c r="T68" s="6">
        <v>22200</v>
      </c>
      <c r="U68" s="3"/>
      <c r="V68" s="7">
        <f t="shared" si="17"/>
        <v>3.7944199021631042E-2</v>
      </c>
      <c r="W68" s="3"/>
      <c r="X68" s="6">
        <f t="shared" si="18"/>
        <v>0</v>
      </c>
      <c r="Y68" s="3"/>
      <c r="Z68" s="7">
        <f t="shared" si="19"/>
        <v>0</v>
      </c>
    </row>
    <row r="69" spans="1:26" s="68" customFormat="1" ht="15" customHeight="1" outlineLevel="1" collapsed="1" x14ac:dyDescent="0.3">
      <c r="A69" s="20"/>
      <c r="B69" s="11" t="str">
        <f>CONCATENATE("     ","Repair and Maintenance                            ")</f>
        <v xml:space="preserve">     Repair and Maintenance                            </v>
      </c>
      <c r="C69" s="11"/>
      <c r="D69" s="2">
        <f>SUM(OSRRefD22_14x_0)</f>
        <v>38600.060000000005</v>
      </c>
      <c r="E69" s="2"/>
      <c r="F69" s="5">
        <f t="shared" si="12"/>
        <v>0.76183692412569992</v>
      </c>
      <c r="G69" s="2"/>
      <c r="H69" s="2">
        <f>SUM(OSRRefH22_14x_0)</f>
        <v>29388.65</v>
      </c>
      <c r="I69" s="2"/>
      <c r="J69" s="5">
        <f t="shared" si="13"/>
        <v>0.44064505362577278</v>
      </c>
      <c r="K69" s="2"/>
      <c r="L69" s="2">
        <f t="shared" si="14"/>
        <v>9211.4100000000035</v>
      </c>
      <c r="M69" s="2"/>
      <c r="N69" s="5">
        <f t="shared" si="15"/>
        <v>0.31343426799121438</v>
      </c>
      <c r="O69" s="11"/>
      <c r="P69" s="2">
        <f>SUM(OSRRefP22_14x_0)</f>
        <v>130747.35999999999</v>
      </c>
      <c r="Q69" s="2"/>
      <c r="R69" s="5">
        <f t="shared" si="16"/>
        <v>8.3804474617313787E-2</v>
      </c>
      <c r="S69" s="2"/>
      <c r="T69" s="2">
        <f>SUM(OSRRefT22_14x_0)</f>
        <v>81706.36</v>
      </c>
      <c r="U69" s="2"/>
      <c r="V69" s="5">
        <f t="shared" si="17"/>
        <v>0.13965235969247899</v>
      </c>
      <c r="W69" s="2"/>
      <c r="X69" s="2">
        <f t="shared" si="18"/>
        <v>49040.999999999985</v>
      </c>
      <c r="Y69" s="2"/>
      <c r="Z69" s="5">
        <f t="shared" si="19"/>
        <v>0.60021031410529102</v>
      </c>
    </row>
    <row r="70" spans="1:26" s="69" customFormat="1" ht="15" hidden="1" customHeight="1" outlineLevel="2" x14ac:dyDescent="0.3">
      <c r="A70" s="21"/>
      <c r="B70" s="9" t="str">
        <f>CONCATENATE("          ","6371"," - ","COMPUTER SOFTWARE MAINTENANCE")</f>
        <v xml:space="preserve">          6371 - COMPUTER SOFTWARE MAINTENANCE</v>
      </c>
      <c r="C70" s="9"/>
      <c r="D70" s="6">
        <v>30321</v>
      </c>
      <c r="E70" s="3"/>
      <c r="F70" s="7">
        <f t="shared" si="12"/>
        <v>0.59843578938518083</v>
      </c>
      <c r="G70" s="3"/>
      <c r="H70" s="6">
        <v>30321</v>
      </c>
      <c r="I70" s="3"/>
      <c r="J70" s="7">
        <f t="shared" si="13"/>
        <v>0.45462444416422854</v>
      </c>
      <c r="K70" s="3"/>
      <c r="L70" s="6">
        <f t="shared" si="14"/>
        <v>0</v>
      </c>
      <c r="M70" s="3"/>
      <c r="N70" s="7">
        <f t="shared" si="15"/>
        <v>0</v>
      </c>
      <c r="O70" s="9"/>
      <c r="P70" s="6">
        <v>46888.06</v>
      </c>
      <c r="Q70" s="3"/>
      <c r="R70" s="7">
        <f t="shared" si="16"/>
        <v>3.005360287293821E-2</v>
      </c>
      <c r="S70" s="3"/>
      <c r="T70" s="6">
        <v>39280.47</v>
      </c>
      <c r="U70" s="3"/>
      <c r="V70" s="7">
        <f t="shared" si="17"/>
        <v>6.7138106817261609E-2</v>
      </c>
      <c r="W70" s="3"/>
      <c r="X70" s="6">
        <f t="shared" si="18"/>
        <v>7607.5899999999965</v>
      </c>
      <c r="Y70" s="3"/>
      <c r="Z70" s="7">
        <f t="shared" si="19"/>
        <v>0.19367359911935872</v>
      </c>
    </row>
    <row r="71" spans="1:26" s="69" customFormat="1" ht="15" hidden="1" customHeight="1" outlineLevel="2" x14ac:dyDescent="0.3">
      <c r="A71" s="21"/>
      <c r="B71" s="9" t="str">
        <f>CONCATENATE("          ","6372"," - ","COMPUTER HARDWARE MAINTENANCE")</f>
        <v xml:space="preserve">          6372 - COMPUTER HARDWARE MAINTENANCE</v>
      </c>
      <c r="C71" s="9"/>
      <c r="D71" s="6"/>
      <c r="E71" s="3"/>
      <c r="F71" s="7">
        <f t="shared" si="12"/>
        <v>0</v>
      </c>
      <c r="G71" s="3"/>
      <c r="H71" s="6">
        <v>10.039999999999999</v>
      </c>
      <c r="I71" s="3"/>
      <c r="J71" s="7">
        <f t="shared" si="13"/>
        <v>1.5053690245733499E-4</v>
      </c>
      <c r="K71" s="3"/>
      <c r="L71" s="6">
        <f t="shared" si="14"/>
        <v>-10.039999999999999</v>
      </c>
      <c r="M71" s="3"/>
      <c r="N71" s="7">
        <f t="shared" si="15"/>
        <v>-1</v>
      </c>
      <c r="O71" s="9"/>
      <c r="P71" s="6"/>
      <c r="Q71" s="3"/>
      <c r="R71" s="7">
        <f t="shared" si="16"/>
        <v>0</v>
      </c>
      <c r="S71" s="3"/>
      <c r="T71" s="6">
        <v>110.04</v>
      </c>
      <c r="U71" s="3"/>
      <c r="V71" s="7">
        <f t="shared" si="17"/>
        <v>1.8808016488019281E-4</v>
      </c>
      <c r="W71" s="3"/>
      <c r="X71" s="6">
        <f t="shared" si="18"/>
        <v>-110.04</v>
      </c>
      <c r="Y71" s="3"/>
      <c r="Z71" s="7">
        <f t="shared" si="19"/>
        <v>-1</v>
      </c>
    </row>
    <row r="72" spans="1:26" s="69" customFormat="1" ht="15" hidden="1" customHeight="1" outlineLevel="2" x14ac:dyDescent="0.3">
      <c r="A72" s="21"/>
      <c r="B72" s="9" t="str">
        <f>CONCATENATE("          ","6373"," - ","MAINTENANCE CONTRACTS")</f>
        <v xml:space="preserve">          6373 - MAINTENANCE CONTRACTS</v>
      </c>
      <c r="C72" s="9"/>
      <c r="D72" s="6">
        <v>4730.9399999999996</v>
      </c>
      <c r="E72" s="3"/>
      <c r="F72" s="7">
        <f t="shared" si="12"/>
        <v>9.3373035633189119E-2</v>
      </c>
      <c r="G72" s="3"/>
      <c r="H72" s="6">
        <v>-4664.09</v>
      </c>
      <c r="I72" s="3"/>
      <c r="J72" s="7">
        <f t="shared" si="13"/>
        <v>-6.9932037986278048E-2</v>
      </c>
      <c r="K72" s="3"/>
      <c r="L72" s="6">
        <f t="shared" si="14"/>
        <v>9395.0299999999988</v>
      </c>
      <c r="M72" s="3"/>
      <c r="N72" s="7">
        <f t="shared" si="15"/>
        <v>-2.0143329138159851</v>
      </c>
      <c r="O72" s="9"/>
      <c r="P72" s="6">
        <v>25837.01</v>
      </c>
      <c r="Q72" s="3"/>
      <c r="R72" s="7">
        <f t="shared" si="16"/>
        <v>1.6560617734325822E-2</v>
      </c>
      <c r="S72" s="3"/>
      <c r="T72" s="6">
        <v>13559.71</v>
      </c>
      <c r="U72" s="3"/>
      <c r="V72" s="7">
        <f t="shared" si="17"/>
        <v>2.3176231302504534E-2</v>
      </c>
      <c r="W72" s="3"/>
      <c r="X72" s="6">
        <f t="shared" si="18"/>
        <v>12277.3</v>
      </c>
      <c r="Y72" s="3"/>
      <c r="Z72" s="7">
        <f t="shared" si="19"/>
        <v>0.90542496852808796</v>
      </c>
    </row>
    <row r="73" spans="1:26" s="69" customFormat="1" ht="15" hidden="1" customHeight="1" outlineLevel="2" x14ac:dyDescent="0.3">
      <c r="A73" s="21"/>
      <c r="B73" s="9" t="str">
        <f>CONCATENATE("          ","6375"," - ","OUTSIDE REPAIRS &amp; MAINTENANCE")</f>
        <v xml:space="preserve">          6375 - OUTSIDE REPAIRS &amp; MAINTENANCE</v>
      </c>
      <c r="C73" s="9"/>
      <c r="D73" s="6">
        <v>3548.12</v>
      </c>
      <c r="E73" s="3"/>
      <c r="F73" s="7">
        <f t="shared" si="12"/>
        <v>7.0028099107329836E-2</v>
      </c>
      <c r="G73" s="3"/>
      <c r="H73" s="6">
        <v>3721.7</v>
      </c>
      <c r="I73" s="3"/>
      <c r="J73" s="7">
        <f t="shared" si="13"/>
        <v>5.5802110545364908E-2</v>
      </c>
      <c r="K73" s="3"/>
      <c r="L73" s="6">
        <f t="shared" si="14"/>
        <v>-173.57999999999993</v>
      </c>
      <c r="M73" s="3"/>
      <c r="N73" s="7">
        <f t="shared" si="15"/>
        <v>-4.6639976354891567E-2</v>
      </c>
      <c r="O73" s="9"/>
      <c r="P73" s="6">
        <v>58022.29</v>
      </c>
      <c r="Q73" s="3"/>
      <c r="R73" s="7">
        <f t="shared" si="16"/>
        <v>3.7190254010049766E-2</v>
      </c>
      <c r="S73" s="3"/>
      <c r="T73" s="6">
        <v>28756.14</v>
      </c>
      <c r="U73" s="3"/>
      <c r="V73" s="7">
        <f t="shared" si="17"/>
        <v>4.9149941407832673E-2</v>
      </c>
      <c r="W73" s="3"/>
      <c r="X73" s="6">
        <f t="shared" si="18"/>
        <v>29266.15</v>
      </c>
      <c r="Y73" s="3"/>
      <c r="Z73" s="7">
        <f t="shared" si="19"/>
        <v>1.0177356905342652</v>
      </c>
    </row>
    <row r="74" spans="1:26" s="68" customFormat="1" ht="15" customHeight="1" outlineLevel="1" collapsed="1" x14ac:dyDescent="0.3">
      <c r="A74" s="20"/>
      <c r="B74" s="11" t="str">
        <f>CONCATENATE("     ","Royalty &amp; Commissions                             ")</f>
        <v xml:space="preserve">     Royalty &amp; Commissions                             </v>
      </c>
      <c r="C74" s="11"/>
      <c r="D74" s="2">
        <f>SUM(OSRRefD22_15x_0)</f>
        <v>2013.15</v>
      </c>
      <c r="E74" s="2"/>
      <c r="F74" s="5">
        <f t="shared" si="12"/>
        <v>3.9732891705444306E-2</v>
      </c>
      <c r="G74" s="2"/>
      <c r="H74" s="2">
        <f>SUM(OSRRefH22_15x_0)</f>
        <v>0</v>
      </c>
      <c r="I74" s="2"/>
      <c r="J74" s="5">
        <f t="shared" si="13"/>
        <v>0</v>
      </c>
      <c r="K74" s="2"/>
      <c r="L74" s="2">
        <f t="shared" si="14"/>
        <v>2013.15</v>
      </c>
      <c r="M74" s="2"/>
      <c r="N74" s="5">
        <f t="shared" si="15"/>
        <v>0</v>
      </c>
      <c r="O74" s="11"/>
      <c r="P74" s="2">
        <f>SUM(OSRRefP22_15x_0)</f>
        <v>8199.57</v>
      </c>
      <c r="Q74" s="2"/>
      <c r="R74" s="5">
        <f t="shared" si="16"/>
        <v>5.2556369469937119E-3</v>
      </c>
      <c r="S74" s="2"/>
      <c r="T74" s="2">
        <f>SUM(OSRRefT22_15x_0)</f>
        <v>0</v>
      </c>
      <c r="U74" s="2"/>
      <c r="V74" s="5">
        <f t="shared" si="17"/>
        <v>0</v>
      </c>
      <c r="W74" s="2"/>
      <c r="X74" s="2">
        <f t="shared" si="18"/>
        <v>8199.57</v>
      </c>
      <c r="Y74" s="2"/>
      <c r="Z74" s="5">
        <f t="shared" si="19"/>
        <v>0</v>
      </c>
    </row>
    <row r="75" spans="1:26" s="69" customFormat="1" ht="15" hidden="1" customHeight="1" outlineLevel="2" x14ac:dyDescent="0.3">
      <c r="A75" s="21"/>
      <c r="B75" s="9" t="str">
        <f>CONCATENATE("          ","6254"," - ","ROYALTY &amp; COMMISSIONS")</f>
        <v xml:space="preserve">          6254 - ROYALTY &amp; COMMISSIONS</v>
      </c>
      <c r="C75" s="9"/>
      <c r="D75" s="6">
        <v>2013.15</v>
      </c>
      <c r="E75" s="3"/>
      <c r="F75" s="7">
        <f t="shared" si="12"/>
        <v>3.9732891705444306E-2</v>
      </c>
      <c r="G75" s="3"/>
      <c r="H75" s="6"/>
      <c r="I75" s="3"/>
      <c r="J75" s="7">
        <f t="shared" si="13"/>
        <v>0</v>
      </c>
      <c r="K75" s="3"/>
      <c r="L75" s="6">
        <f t="shared" si="14"/>
        <v>2013.15</v>
      </c>
      <c r="M75" s="3"/>
      <c r="N75" s="7">
        <f t="shared" si="15"/>
        <v>0</v>
      </c>
      <c r="O75" s="9"/>
      <c r="P75" s="6">
        <v>8199.57</v>
      </c>
      <c r="Q75" s="3"/>
      <c r="R75" s="7">
        <f t="shared" si="16"/>
        <v>5.2556369469937119E-3</v>
      </c>
      <c r="S75" s="3"/>
      <c r="T75" s="6"/>
      <c r="U75" s="3"/>
      <c r="V75" s="7">
        <f t="shared" si="17"/>
        <v>0</v>
      </c>
      <c r="W75" s="3"/>
      <c r="X75" s="6">
        <f t="shared" si="18"/>
        <v>8199.57</v>
      </c>
      <c r="Y75" s="3"/>
      <c r="Z75" s="7">
        <f t="shared" si="19"/>
        <v>0</v>
      </c>
    </row>
    <row r="76" spans="1:26" s="68" customFormat="1" ht="15" customHeight="1" outlineLevel="1" collapsed="1" x14ac:dyDescent="0.3">
      <c r="A76" s="20"/>
      <c r="B76" s="11" t="str">
        <f>CONCATENATE("     ","Services                                          ")</f>
        <v xml:space="preserve">     Services                                          </v>
      </c>
      <c r="C76" s="11"/>
      <c r="D76" s="2">
        <f>SUM(OSRRefD22_16x_0)</f>
        <v>39879.530000000006</v>
      </c>
      <c r="E76" s="2"/>
      <c r="F76" s="5">
        <f t="shared" si="12"/>
        <v>0.78708941050295189</v>
      </c>
      <c r="G76" s="2"/>
      <c r="H76" s="2">
        <f>SUM(OSRRefH22_16x_0)</f>
        <v>1038.5799999999997</v>
      </c>
      <c r="I76" s="2"/>
      <c r="J76" s="5">
        <f t="shared" si="13"/>
        <v>1.5572172923719018E-2</v>
      </c>
      <c r="K76" s="2"/>
      <c r="L76" s="2">
        <f t="shared" si="14"/>
        <v>38840.950000000004</v>
      </c>
      <c r="M76" s="2"/>
      <c r="N76" s="5">
        <f t="shared" si="15"/>
        <v>37.398130139228577</v>
      </c>
      <c r="O76" s="11"/>
      <c r="P76" s="2">
        <f>SUM(OSRRefP22_16x_0)</f>
        <v>113525.86</v>
      </c>
      <c r="Q76" s="2"/>
      <c r="R76" s="5">
        <f t="shared" si="16"/>
        <v>7.2766096789860388E-2</v>
      </c>
      <c r="S76" s="2"/>
      <c r="T76" s="2">
        <f>SUM(OSRRefT22_16x_0)</f>
        <v>65085.43</v>
      </c>
      <c r="U76" s="2"/>
      <c r="V76" s="5">
        <f t="shared" si="17"/>
        <v>0.11124389681659622</v>
      </c>
      <c r="W76" s="2"/>
      <c r="X76" s="2">
        <f t="shared" si="18"/>
        <v>48440.43</v>
      </c>
      <c r="Y76" s="2"/>
      <c r="Z76" s="5">
        <f t="shared" si="19"/>
        <v>0.74425919902503523</v>
      </c>
    </row>
    <row r="77" spans="1:26" s="69" customFormat="1" ht="15" hidden="1" customHeight="1" outlineLevel="2" x14ac:dyDescent="0.3">
      <c r="A77" s="21"/>
      <c r="B77" s="9" t="str">
        <f>CONCATENATE("          ","6282"," - ","JANITORIAL/EXTERMINATOR EXPENS")</f>
        <v xml:space="preserve">          6282 - JANITORIAL/EXTERMINATOR EXPENS</v>
      </c>
      <c r="C77" s="9"/>
      <c r="D77" s="6">
        <v>1605.65</v>
      </c>
      <c r="E77" s="3"/>
      <c r="F77" s="7">
        <f t="shared" si="12"/>
        <v>3.1690195746390808E-2</v>
      </c>
      <c r="G77" s="3"/>
      <c r="H77" s="6">
        <v>1393.2</v>
      </c>
      <c r="I77" s="3"/>
      <c r="J77" s="7">
        <f t="shared" si="13"/>
        <v>2.0889244273262862E-2</v>
      </c>
      <c r="K77" s="3"/>
      <c r="L77" s="6">
        <f t="shared" si="14"/>
        <v>212.45000000000005</v>
      </c>
      <c r="M77" s="3"/>
      <c r="N77" s="7">
        <f t="shared" si="15"/>
        <v>0.15249066896353722</v>
      </c>
      <c r="O77" s="9"/>
      <c r="P77" s="6">
        <v>13461.56</v>
      </c>
      <c r="Q77" s="3"/>
      <c r="R77" s="7">
        <f t="shared" si="16"/>
        <v>8.6283880862255777E-3</v>
      </c>
      <c r="S77" s="3"/>
      <c r="T77" s="6">
        <v>12158.73</v>
      </c>
      <c r="U77" s="3"/>
      <c r="V77" s="7">
        <f t="shared" si="17"/>
        <v>2.0781678872534955E-2</v>
      </c>
      <c r="W77" s="3"/>
      <c r="X77" s="6">
        <f t="shared" si="18"/>
        <v>1302.83</v>
      </c>
      <c r="Y77" s="3"/>
      <c r="Z77" s="7">
        <f t="shared" si="19"/>
        <v>0.10715181602025869</v>
      </c>
    </row>
    <row r="78" spans="1:26" s="69" customFormat="1" ht="15" hidden="1" customHeight="1" outlineLevel="2" x14ac:dyDescent="0.3">
      <c r="A78" s="21"/>
      <c r="B78" s="9" t="str">
        <f>CONCATENATE("          ","6284"," - ","TRASH REMOVAL EXPENSE")</f>
        <v xml:space="preserve">          6284 - TRASH REMOVAL EXPENSE</v>
      </c>
      <c r="C78" s="9"/>
      <c r="D78" s="6"/>
      <c r="E78" s="3"/>
      <c r="F78" s="7">
        <f t="shared" si="12"/>
        <v>0</v>
      </c>
      <c r="G78" s="3"/>
      <c r="H78" s="6">
        <v>-3859</v>
      </c>
      <c r="I78" s="3"/>
      <c r="J78" s="7">
        <f t="shared" si="13"/>
        <v>-5.786074766761512E-2</v>
      </c>
      <c r="K78" s="3"/>
      <c r="L78" s="6">
        <f t="shared" si="14"/>
        <v>3859</v>
      </c>
      <c r="M78" s="3"/>
      <c r="N78" s="7">
        <f t="shared" si="15"/>
        <v>-1</v>
      </c>
      <c r="O78" s="9"/>
      <c r="P78" s="6"/>
      <c r="Q78" s="3"/>
      <c r="R78" s="7">
        <f t="shared" si="16"/>
        <v>0</v>
      </c>
      <c r="S78" s="3"/>
      <c r="T78" s="6">
        <v>27283</v>
      </c>
      <c r="U78" s="3"/>
      <c r="V78" s="7">
        <f t="shared" si="17"/>
        <v>4.663205323906125E-2</v>
      </c>
      <c r="W78" s="3"/>
      <c r="X78" s="6">
        <f t="shared" si="18"/>
        <v>-27283</v>
      </c>
      <c r="Y78" s="3"/>
      <c r="Z78" s="7">
        <f t="shared" si="19"/>
        <v>-1</v>
      </c>
    </row>
    <row r="79" spans="1:26" s="69" customFormat="1" ht="15" hidden="1" customHeight="1" outlineLevel="2" x14ac:dyDescent="0.3">
      <c r="A79" s="21"/>
      <c r="B79" s="9" t="str">
        <f>CONCATENATE("          ","6285"," - ","JANITORIAL SERVICES")</f>
        <v xml:space="preserve">          6285 - JANITORIAL SERVICES</v>
      </c>
      <c r="C79" s="9"/>
      <c r="D79" s="6">
        <v>36736.550000000003</v>
      </c>
      <c r="E79" s="3"/>
      <c r="F79" s="7">
        <f t="shared" si="12"/>
        <v>0.72505742879648316</v>
      </c>
      <c r="G79" s="3"/>
      <c r="H79" s="6">
        <v>3385.52</v>
      </c>
      <c r="I79" s="3"/>
      <c r="J79" s="7">
        <f t="shared" si="13"/>
        <v>5.0761523307505656E-2</v>
      </c>
      <c r="K79" s="3"/>
      <c r="L79" s="6">
        <f t="shared" si="14"/>
        <v>33351.030000000006</v>
      </c>
      <c r="M79" s="3"/>
      <c r="N79" s="7">
        <f t="shared" si="15"/>
        <v>9.8510804839433845</v>
      </c>
      <c r="O79" s="9"/>
      <c r="P79" s="6">
        <v>92031.45</v>
      </c>
      <c r="Q79" s="3"/>
      <c r="R79" s="7">
        <f t="shared" si="16"/>
        <v>5.8988933432534196E-2</v>
      </c>
      <c r="S79" s="3"/>
      <c r="T79" s="6">
        <v>24620.13</v>
      </c>
      <c r="U79" s="3"/>
      <c r="V79" s="7">
        <f t="shared" si="17"/>
        <v>4.2080680750379691E-2</v>
      </c>
      <c r="W79" s="3"/>
      <c r="X79" s="6">
        <f t="shared" si="18"/>
        <v>67411.319999999992</v>
      </c>
      <c r="Y79" s="3"/>
      <c r="Z79" s="7">
        <f t="shared" si="19"/>
        <v>2.7380570289433885</v>
      </c>
    </row>
    <row r="80" spans="1:26" s="69" customFormat="1" ht="15" hidden="1" customHeight="1" outlineLevel="2" x14ac:dyDescent="0.3">
      <c r="A80" s="21"/>
      <c r="B80" s="9" t="str">
        <f>CONCATENATE("          ","6286"," - ","LAUNDRY EXPENSE")</f>
        <v xml:space="preserve">          6286 - LAUNDRY EXPENSE</v>
      </c>
      <c r="C80" s="9"/>
      <c r="D80" s="6">
        <v>1537.33</v>
      </c>
      <c r="E80" s="3"/>
      <c r="F80" s="7">
        <f t="shared" si="12"/>
        <v>3.0341785960077833E-2</v>
      </c>
      <c r="G80" s="3"/>
      <c r="H80" s="6">
        <v>118.86</v>
      </c>
      <c r="I80" s="3"/>
      <c r="J80" s="7">
        <f t="shared" si="13"/>
        <v>1.7821530105656214E-3</v>
      </c>
      <c r="K80" s="3"/>
      <c r="L80" s="6">
        <f t="shared" si="14"/>
        <v>1418.47</v>
      </c>
      <c r="M80" s="3"/>
      <c r="N80" s="7">
        <f t="shared" si="15"/>
        <v>11.933955914521286</v>
      </c>
      <c r="O80" s="9"/>
      <c r="P80" s="6">
        <v>8032.85</v>
      </c>
      <c r="Q80" s="3"/>
      <c r="R80" s="7">
        <f t="shared" si="16"/>
        <v>5.1487752711006111E-3</v>
      </c>
      <c r="S80" s="3"/>
      <c r="T80" s="6">
        <v>1023.57</v>
      </c>
      <c r="U80" s="3"/>
      <c r="V80" s="7">
        <f t="shared" si="17"/>
        <v>1.7494839546203103E-3</v>
      </c>
      <c r="W80" s="3"/>
      <c r="X80" s="6">
        <f t="shared" si="18"/>
        <v>7009.2800000000007</v>
      </c>
      <c r="Y80" s="3"/>
      <c r="Z80" s="7">
        <f t="shared" si="19"/>
        <v>6.8478755727502767</v>
      </c>
    </row>
    <row r="81" spans="1:26" s="68" customFormat="1" ht="15" customHeight="1" outlineLevel="1" collapsed="1" x14ac:dyDescent="0.3">
      <c r="A81" s="20"/>
      <c r="B81" s="11" t="str">
        <f>CONCATENATE("     ","Subscriptions &amp; Dues                              ")</f>
        <v xml:space="preserve">     Subscriptions &amp; Dues                              </v>
      </c>
      <c r="C81" s="11"/>
      <c r="D81" s="2">
        <f>SUM(OSRRefD22_17x_0)</f>
        <v>560.5</v>
      </c>
      <c r="E81" s="2"/>
      <c r="F81" s="5">
        <f t="shared" si="12"/>
        <v>1.1062407570673588E-2</v>
      </c>
      <c r="G81" s="2"/>
      <c r="H81" s="2">
        <f>SUM(OSRRefH22_17x_0)</f>
        <v>130.66999999999999</v>
      </c>
      <c r="I81" s="2"/>
      <c r="J81" s="5">
        <f t="shared" si="13"/>
        <v>1.9592287892529845E-3</v>
      </c>
      <c r="K81" s="2"/>
      <c r="L81" s="2">
        <f t="shared" si="14"/>
        <v>429.83000000000004</v>
      </c>
      <c r="M81" s="2"/>
      <c r="N81" s="5">
        <f t="shared" si="15"/>
        <v>3.2894313920563256</v>
      </c>
      <c r="O81" s="11"/>
      <c r="P81" s="2">
        <f>SUM(OSRRefP22_17x_0)</f>
        <v>7528.4</v>
      </c>
      <c r="Q81" s="2"/>
      <c r="R81" s="5">
        <f t="shared" si="16"/>
        <v>4.825440503800499E-3</v>
      </c>
      <c r="S81" s="2"/>
      <c r="T81" s="2">
        <f>SUM(OSRRefT22_17x_0)</f>
        <v>1178.92</v>
      </c>
      <c r="U81" s="2"/>
      <c r="V81" s="5">
        <f t="shared" si="17"/>
        <v>2.0150078878640215E-3</v>
      </c>
      <c r="W81" s="2"/>
      <c r="X81" s="2">
        <f t="shared" si="18"/>
        <v>6349.48</v>
      </c>
      <c r="Y81" s="2"/>
      <c r="Z81" s="5">
        <f t="shared" si="19"/>
        <v>5.3858446713941568</v>
      </c>
    </row>
    <row r="82" spans="1:26" s="69" customFormat="1" ht="15" hidden="1" customHeight="1" outlineLevel="2" x14ac:dyDescent="0.3">
      <c r="A82" s="21"/>
      <c r="B82" s="9" t="str">
        <f>CONCATENATE("          ","6275"," - ","SUBSCRIPTIONS")</f>
        <v xml:space="preserve">          6275 - SUBSCRIPTIONS</v>
      </c>
      <c r="C82" s="9"/>
      <c r="D82" s="6">
        <v>560.5</v>
      </c>
      <c r="E82" s="3"/>
      <c r="F82" s="7">
        <f t="shared" si="12"/>
        <v>1.1062407570673588E-2</v>
      </c>
      <c r="G82" s="3"/>
      <c r="H82" s="6">
        <v>130.66999999999999</v>
      </c>
      <c r="I82" s="3"/>
      <c r="J82" s="7">
        <f t="shared" si="13"/>
        <v>1.9592287892529845E-3</v>
      </c>
      <c r="K82" s="3"/>
      <c r="L82" s="6">
        <f t="shared" si="14"/>
        <v>429.83000000000004</v>
      </c>
      <c r="M82" s="3"/>
      <c r="N82" s="7">
        <f t="shared" si="15"/>
        <v>3.2894313920563256</v>
      </c>
      <c r="O82" s="9"/>
      <c r="P82" s="6">
        <v>7528.4</v>
      </c>
      <c r="Q82" s="3"/>
      <c r="R82" s="7">
        <f t="shared" si="16"/>
        <v>4.825440503800499E-3</v>
      </c>
      <c r="S82" s="3"/>
      <c r="T82" s="6">
        <v>1178.92</v>
      </c>
      <c r="U82" s="3"/>
      <c r="V82" s="7">
        <f t="shared" si="17"/>
        <v>2.0150078878640215E-3</v>
      </c>
      <c r="W82" s="3"/>
      <c r="X82" s="6">
        <f t="shared" si="18"/>
        <v>6349.48</v>
      </c>
      <c r="Y82" s="3"/>
      <c r="Z82" s="7">
        <f t="shared" si="19"/>
        <v>5.3858446713941568</v>
      </c>
    </row>
    <row r="83" spans="1:26" s="68" customFormat="1" ht="15" customHeight="1" outlineLevel="1" collapsed="1" x14ac:dyDescent="0.3">
      <c r="A83" s="20"/>
      <c r="B83" s="11" t="str">
        <f>CONCATENATE("     ","Supplies                                          ")</f>
        <v xml:space="preserve">     Supplies                                          </v>
      </c>
      <c r="C83" s="11"/>
      <c r="D83" s="2">
        <f>SUM(OSRRefD22_18x_0)</f>
        <v>2191.59</v>
      </c>
      <c r="E83" s="2"/>
      <c r="F83" s="5">
        <f t="shared" si="12"/>
        <v>4.3254704385035737E-2</v>
      </c>
      <c r="G83" s="2"/>
      <c r="H83" s="2">
        <f>SUM(OSRRefH22_18x_0)</f>
        <v>1113.68</v>
      </c>
      <c r="I83" s="2"/>
      <c r="J83" s="5">
        <f t="shared" si="13"/>
        <v>1.6698200949072196E-2</v>
      </c>
      <c r="K83" s="2"/>
      <c r="L83" s="2">
        <f t="shared" si="14"/>
        <v>1077.9100000000001</v>
      </c>
      <c r="M83" s="2"/>
      <c r="N83" s="5">
        <f t="shared" si="15"/>
        <v>0.96788125853027807</v>
      </c>
      <c r="O83" s="11"/>
      <c r="P83" s="2">
        <f>SUM(OSRRefP22_18x_0)</f>
        <v>38359.39</v>
      </c>
      <c r="Q83" s="2"/>
      <c r="R83" s="5">
        <f t="shared" si="16"/>
        <v>2.4587024362026436E-2</v>
      </c>
      <c r="S83" s="2"/>
      <c r="T83" s="2">
        <f>SUM(OSRRefT22_18x_0)</f>
        <v>-19538.71</v>
      </c>
      <c r="U83" s="2"/>
      <c r="V83" s="5">
        <f t="shared" si="17"/>
        <v>-3.3395527066033007E-2</v>
      </c>
      <c r="W83" s="2"/>
      <c r="X83" s="2">
        <f t="shared" si="18"/>
        <v>57898.1</v>
      </c>
      <c r="Y83" s="2"/>
      <c r="Z83" s="5">
        <f t="shared" si="19"/>
        <v>-2.9632509003920937</v>
      </c>
    </row>
    <row r="84" spans="1:26" s="69" customFormat="1" ht="15" hidden="1" customHeight="1" outlineLevel="2" x14ac:dyDescent="0.3">
      <c r="A84" s="21"/>
      <c r="B84" s="9" t="str">
        <f>CONCATENATE("          ","6234"," - ","EXPENDABLE SUPPLIES &amp; EQUIPMEN")</f>
        <v xml:space="preserve">          6234 - EXPENDABLE SUPPLIES &amp; EQUIPMEN</v>
      </c>
      <c r="C84" s="9"/>
      <c r="D84" s="6"/>
      <c r="E84" s="3"/>
      <c r="F84" s="7">
        <f t="shared" si="12"/>
        <v>0</v>
      </c>
      <c r="G84" s="3"/>
      <c r="H84" s="6">
        <v>-1048.8</v>
      </c>
      <c r="I84" s="3"/>
      <c r="J84" s="7">
        <f t="shared" si="13"/>
        <v>-1.5725408694945514E-2</v>
      </c>
      <c r="K84" s="3"/>
      <c r="L84" s="6">
        <f t="shared" si="14"/>
        <v>1048.8</v>
      </c>
      <c r="M84" s="3"/>
      <c r="N84" s="7">
        <f t="shared" si="15"/>
        <v>-1</v>
      </c>
      <c r="O84" s="9"/>
      <c r="P84" s="6">
        <v>341.84</v>
      </c>
      <c r="Q84" s="3"/>
      <c r="R84" s="7">
        <f t="shared" si="16"/>
        <v>2.1910745733743725E-4</v>
      </c>
      <c r="S84" s="3"/>
      <c r="T84" s="6">
        <v>-711.64</v>
      </c>
      <c r="U84" s="3"/>
      <c r="V84" s="7">
        <f t="shared" si="17"/>
        <v>-1.2163337744033117E-3</v>
      </c>
      <c r="W84" s="3"/>
      <c r="X84" s="6">
        <f t="shared" si="18"/>
        <v>1053.48</v>
      </c>
      <c r="Y84" s="3"/>
      <c r="Z84" s="7">
        <f t="shared" si="19"/>
        <v>-1.4803552357933787</v>
      </c>
    </row>
    <row r="85" spans="1:26" s="69" customFormat="1" ht="15" hidden="1" customHeight="1" outlineLevel="2" x14ac:dyDescent="0.3">
      <c r="A85" s="21"/>
      <c r="B85" s="9" t="str">
        <f>CONCATENATE("          ","6235"," - ","COVID-19 EXPENSES")</f>
        <v xml:space="preserve">          6235 - COVID-19 EXPENSES</v>
      </c>
      <c r="C85" s="9"/>
      <c r="D85" s="6"/>
      <c r="E85" s="3"/>
      <c r="F85" s="7">
        <f t="shared" si="12"/>
        <v>0</v>
      </c>
      <c r="G85" s="3"/>
      <c r="H85" s="6"/>
      <c r="I85" s="3"/>
      <c r="J85" s="7">
        <f t="shared" si="13"/>
        <v>0</v>
      </c>
      <c r="K85" s="3"/>
      <c r="L85" s="6">
        <f t="shared" si="14"/>
        <v>0</v>
      </c>
      <c r="M85" s="3"/>
      <c r="N85" s="7">
        <f t="shared" si="15"/>
        <v>0</v>
      </c>
      <c r="O85" s="9"/>
      <c r="P85" s="6">
        <v>619.08000000000004</v>
      </c>
      <c r="Q85" s="3"/>
      <c r="R85" s="7">
        <f t="shared" si="16"/>
        <v>3.9680857912608434E-4</v>
      </c>
      <c r="S85" s="3"/>
      <c r="T85" s="6">
        <v>6947.31</v>
      </c>
      <c r="U85" s="3"/>
      <c r="V85" s="7">
        <f t="shared" si="17"/>
        <v>1.1874329428151694E-2</v>
      </c>
      <c r="W85" s="3"/>
      <c r="X85" s="6">
        <f t="shared" si="18"/>
        <v>-6328.2300000000005</v>
      </c>
      <c r="Y85" s="3"/>
      <c r="Z85" s="7">
        <f t="shared" si="19"/>
        <v>-0.9108892506596078</v>
      </c>
    </row>
    <row r="86" spans="1:26" s="69" customFormat="1" ht="15" hidden="1" customHeight="1" outlineLevel="2" x14ac:dyDescent="0.3">
      <c r="A86" s="21"/>
      <c r="B86" s="9" t="str">
        <f>CONCATENATE("          ","6237"," - ","JANITORIAL SUPPLIES")</f>
        <v xml:space="preserve">          6237 - JANITORIAL SUPPLIES</v>
      </c>
      <c r="C86" s="9"/>
      <c r="D86" s="6">
        <v>721.05</v>
      </c>
      <c r="E86" s="3"/>
      <c r="F86" s="7">
        <f t="shared" si="12"/>
        <v>1.4231131095154666E-2</v>
      </c>
      <c r="G86" s="3"/>
      <c r="H86" s="6">
        <v>363.7</v>
      </c>
      <c r="I86" s="3"/>
      <c r="J86" s="7">
        <f t="shared" si="13"/>
        <v>5.4532142852323443E-3</v>
      </c>
      <c r="K86" s="3"/>
      <c r="L86" s="6">
        <f t="shared" si="14"/>
        <v>357.34999999999997</v>
      </c>
      <c r="M86" s="3"/>
      <c r="N86" s="7">
        <f t="shared" si="15"/>
        <v>0.98254055540280449</v>
      </c>
      <c r="O86" s="9"/>
      <c r="P86" s="6">
        <v>9504.7800000000007</v>
      </c>
      <c r="Q86" s="3"/>
      <c r="R86" s="7">
        <f t="shared" si="16"/>
        <v>6.0922308049137812E-3</v>
      </c>
      <c r="S86" s="3"/>
      <c r="T86" s="6">
        <v>692.61</v>
      </c>
      <c r="U86" s="3"/>
      <c r="V86" s="7">
        <f t="shared" si="17"/>
        <v>1.1838077335302648E-3</v>
      </c>
      <c r="W86" s="3"/>
      <c r="X86" s="6">
        <f t="shared" si="18"/>
        <v>8812.17</v>
      </c>
      <c r="Y86" s="3"/>
      <c r="Z86" s="7">
        <f t="shared" si="19"/>
        <v>12.723134231385629</v>
      </c>
    </row>
    <row r="87" spans="1:26" s="69" customFormat="1" ht="15" hidden="1" customHeight="1" outlineLevel="2" x14ac:dyDescent="0.3">
      <c r="A87" s="21"/>
      <c r="B87" s="9" t="str">
        <f>CONCATENATE("          ","6239"," - ","KITCHEN SUPPLIES")</f>
        <v xml:space="preserve">          6239 - KITCHEN SUPPLIES</v>
      </c>
      <c r="C87" s="9"/>
      <c r="D87" s="6">
        <v>434.43</v>
      </c>
      <c r="E87" s="3"/>
      <c r="F87" s="7">
        <f t="shared" si="12"/>
        <v>8.5742046760530367E-3</v>
      </c>
      <c r="G87" s="3"/>
      <c r="H87" s="6">
        <v>1798.78</v>
      </c>
      <c r="I87" s="3"/>
      <c r="J87" s="7">
        <f t="shared" si="13"/>
        <v>2.6970395358785364E-2</v>
      </c>
      <c r="K87" s="3"/>
      <c r="L87" s="6">
        <f t="shared" si="14"/>
        <v>-1364.35</v>
      </c>
      <c r="M87" s="3"/>
      <c r="N87" s="7">
        <f t="shared" si="15"/>
        <v>-0.75848630738611722</v>
      </c>
      <c r="O87" s="9"/>
      <c r="P87" s="6">
        <v>9860.92</v>
      </c>
      <c r="Q87" s="3"/>
      <c r="R87" s="7">
        <f t="shared" si="16"/>
        <v>6.3205040609872511E-3</v>
      </c>
      <c r="S87" s="3"/>
      <c r="T87" s="6">
        <v>1818.61</v>
      </c>
      <c r="U87" s="3"/>
      <c r="V87" s="7">
        <f t="shared" si="17"/>
        <v>3.1083648550778572E-3</v>
      </c>
      <c r="W87" s="3"/>
      <c r="X87" s="6">
        <f t="shared" si="18"/>
        <v>8042.31</v>
      </c>
      <c r="Y87" s="3"/>
      <c r="Z87" s="7">
        <f t="shared" si="19"/>
        <v>4.4222290650551797</v>
      </c>
    </row>
    <row r="88" spans="1:26" s="69" customFormat="1" ht="15" hidden="1" customHeight="1" outlineLevel="2" x14ac:dyDescent="0.3">
      <c r="A88" s="21"/>
      <c r="B88" s="9" t="str">
        <f>CONCATENATE("          ","6241"," - ","OFFICE EXPENSE")</f>
        <v xml:space="preserve">          6241 - OFFICE EXPENSE</v>
      </c>
      <c r="C88" s="9"/>
      <c r="D88" s="6">
        <v>96.56</v>
      </c>
      <c r="E88" s="3"/>
      <c r="F88" s="7">
        <f t="shared" si="12"/>
        <v>1.9057735504446774E-3</v>
      </c>
      <c r="G88" s="3"/>
      <c r="H88" s="6"/>
      <c r="I88" s="3"/>
      <c r="J88" s="7">
        <f t="shared" si="13"/>
        <v>0</v>
      </c>
      <c r="K88" s="3"/>
      <c r="L88" s="6">
        <f t="shared" si="14"/>
        <v>96.56</v>
      </c>
      <c r="M88" s="3"/>
      <c r="N88" s="7">
        <f t="shared" si="15"/>
        <v>0</v>
      </c>
      <c r="O88" s="9"/>
      <c r="P88" s="6">
        <v>7709.96</v>
      </c>
      <c r="Q88" s="3"/>
      <c r="R88" s="7">
        <f t="shared" si="16"/>
        <v>4.9418140995007836E-3</v>
      </c>
      <c r="S88" s="3"/>
      <c r="T88" s="6">
        <v>-28540.93</v>
      </c>
      <c r="U88" s="3"/>
      <c r="V88" s="7">
        <f t="shared" si="17"/>
        <v>-4.878210487308289E-2</v>
      </c>
      <c r="W88" s="3"/>
      <c r="X88" s="6">
        <f t="shared" si="18"/>
        <v>36250.89</v>
      </c>
      <c r="Y88" s="3"/>
      <c r="Z88" s="7">
        <f t="shared" si="19"/>
        <v>-1.270136957695492</v>
      </c>
    </row>
    <row r="89" spans="1:26" s="69" customFormat="1" ht="15" hidden="1" customHeight="1" outlineLevel="2" x14ac:dyDescent="0.3">
      <c r="A89" s="21"/>
      <c r="B89" s="9" t="str">
        <f>CONCATENATE("          ","6243"," - ","PAPER SUPPLIES")</f>
        <v xml:space="preserve">          6243 - PAPER SUPPLIES</v>
      </c>
      <c r="C89" s="9"/>
      <c r="D89" s="6">
        <v>430.91</v>
      </c>
      <c r="E89" s="3"/>
      <c r="F89" s="7">
        <f t="shared" si="12"/>
        <v>8.5047315723085753E-3</v>
      </c>
      <c r="G89" s="3"/>
      <c r="H89" s="6"/>
      <c r="I89" s="3"/>
      <c r="J89" s="7">
        <f t="shared" si="13"/>
        <v>0</v>
      </c>
      <c r="K89" s="3"/>
      <c r="L89" s="6">
        <f t="shared" si="14"/>
        <v>430.91</v>
      </c>
      <c r="M89" s="3"/>
      <c r="N89" s="7">
        <f t="shared" si="15"/>
        <v>0</v>
      </c>
      <c r="O89" s="9"/>
      <c r="P89" s="6">
        <v>3913.13</v>
      </c>
      <c r="Q89" s="3"/>
      <c r="R89" s="7">
        <f t="shared" si="16"/>
        <v>2.5081791613937687E-3</v>
      </c>
      <c r="S89" s="3"/>
      <c r="T89" s="6">
        <v>255.33</v>
      </c>
      <c r="U89" s="3"/>
      <c r="V89" s="7">
        <f t="shared" si="17"/>
        <v>4.3640956469338088E-4</v>
      </c>
      <c r="W89" s="3"/>
      <c r="X89" s="6">
        <f t="shared" si="18"/>
        <v>3657.8</v>
      </c>
      <c r="Y89" s="3"/>
      <c r="Z89" s="7">
        <f t="shared" si="19"/>
        <v>14.325774487917597</v>
      </c>
    </row>
    <row r="90" spans="1:26" s="69" customFormat="1" ht="15" hidden="1" customHeight="1" outlineLevel="2" x14ac:dyDescent="0.3">
      <c r="A90" s="21"/>
      <c r="B90" s="9" t="str">
        <f>CONCATENATE("          ","6245"," - ","PRINTING")</f>
        <v xml:space="preserve">          6245 - PRINTING</v>
      </c>
      <c r="C90" s="9"/>
      <c r="D90" s="6">
        <v>598.64</v>
      </c>
      <c r="E90" s="3"/>
      <c r="F90" s="7">
        <f t="shared" ref="F90:F101" si="20">IF(D$12=0,0,D90/D$12)</f>
        <v>1.1815164439086595E-2</v>
      </c>
      <c r="G90" s="3"/>
      <c r="H90" s="6"/>
      <c r="I90" s="3"/>
      <c r="J90" s="7">
        <f t="shared" ref="J90:J101" si="21">IF(H$12=0,0,H90/H$12)</f>
        <v>0</v>
      </c>
      <c r="K90" s="3"/>
      <c r="L90" s="6">
        <f t="shared" ref="L90:L101" si="22">+D90-H90</f>
        <v>598.64</v>
      </c>
      <c r="M90" s="3"/>
      <c r="N90" s="7">
        <f t="shared" ref="N90:N101" si="23">IF(H90=0,0,L90/H90)</f>
        <v>0</v>
      </c>
      <c r="O90" s="9"/>
      <c r="P90" s="6">
        <v>1669.64</v>
      </c>
      <c r="Q90" s="3"/>
      <c r="R90" s="7">
        <f t="shared" ref="R90:R101" si="24">IF(P$12=0,0,P90/P$12)</f>
        <v>1.0701807134006517E-3</v>
      </c>
      <c r="S90" s="3"/>
      <c r="T90" s="6"/>
      <c r="U90" s="3"/>
      <c r="V90" s="7">
        <f t="shared" ref="V90:V101" si="25">IF(T$12=0,0,T90/T$12)</f>
        <v>0</v>
      </c>
      <c r="W90" s="3"/>
      <c r="X90" s="6">
        <f t="shared" ref="X90:X101" si="26">+P90-T90</f>
        <v>1669.64</v>
      </c>
      <c r="Y90" s="3"/>
      <c r="Z90" s="7">
        <f t="shared" ref="Z90:Z101" si="27">IF(T90=0,0,X90/T90)</f>
        <v>0</v>
      </c>
    </row>
    <row r="91" spans="1:26" s="69" customFormat="1" ht="15" hidden="1" customHeight="1" outlineLevel="2" x14ac:dyDescent="0.3">
      <c r="A91" s="21"/>
      <c r="B91" s="9" t="str">
        <f>CONCATENATE("          ","6247"," - ","STORE SUPPLIES")</f>
        <v xml:space="preserve">          6247 - STORE SUPPLIES</v>
      </c>
      <c r="C91" s="9"/>
      <c r="D91" s="6">
        <v>-90</v>
      </c>
      <c r="E91" s="3"/>
      <c r="F91" s="7">
        <f t="shared" si="20"/>
        <v>-1.7763009480118162E-3</v>
      </c>
      <c r="G91" s="3"/>
      <c r="H91" s="6"/>
      <c r="I91" s="3"/>
      <c r="J91" s="7">
        <f t="shared" si="21"/>
        <v>0</v>
      </c>
      <c r="K91" s="3"/>
      <c r="L91" s="6">
        <f t="shared" si="22"/>
        <v>-90</v>
      </c>
      <c r="M91" s="3"/>
      <c r="N91" s="7">
        <f t="shared" si="23"/>
        <v>0</v>
      </c>
      <c r="O91" s="9"/>
      <c r="P91" s="6">
        <v>1751.59</v>
      </c>
      <c r="Q91" s="3"/>
      <c r="R91" s="7">
        <f t="shared" si="24"/>
        <v>1.1227077907725301E-3</v>
      </c>
      <c r="S91" s="3"/>
      <c r="T91" s="6"/>
      <c r="U91" s="3"/>
      <c r="V91" s="7">
        <f t="shared" si="25"/>
        <v>0</v>
      </c>
      <c r="W91" s="3"/>
      <c r="X91" s="6">
        <f t="shared" si="26"/>
        <v>1751.59</v>
      </c>
      <c r="Y91" s="3"/>
      <c r="Z91" s="7">
        <f t="shared" si="27"/>
        <v>0</v>
      </c>
    </row>
    <row r="92" spans="1:26" s="69" customFormat="1" ht="15" hidden="1" customHeight="1" outlineLevel="2" x14ac:dyDescent="0.3">
      <c r="A92" s="21"/>
      <c r="B92" s="9" t="str">
        <f>CONCATENATE("          ","6248"," - ","UNIFORMS")</f>
        <v xml:space="preserve">          6248 - UNIFORMS</v>
      </c>
      <c r="C92" s="9"/>
      <c r="D92" s="6"/>
      <c r="E92" s="3"/>
      <c r="F92" s="7">
        <f t="shared" si="20"/>
        <v>0</v>
      </c>
      <c r="G92" s="3"/>
      <c r="H92" s="6"/>
      <c r="I92" s="3"/>
      <c r="J92" s="7">
        <f t="shared" si="21"/>
        <v>0</v>
      </c>
      <c r="K92" s="3"/>
      <c r="L92" s="6">
        <f t="shared" si="22"/>
        <v>0</v>
      </c>
      <c r="M92" s="3"/>
      <c r="N92" s="7">
        <f t="shared" si="23"/>
        <v>0</v>
      </c>
      <c r="O92" s="9"/>
      <c r="P92" s="6">
        <v>2988.45</v>
      </c>
      <c r="Q92" s="3"/>
      <c r="R92" s="7">
        <f t="shared" si="24"/>
        <v>1.9154916945941503E-3</v>
      </c>
      <c r="S92" s="3"/>
      <c r="T92" s="6"/>
      <c r="U92" s="3"/>
      <c r="V92" s="7">
        <f t="shared" si="25"/>
        <v>0</v>
      </c>
      <c r="W92" s="3"/>
      <c r="X92" s="6">
        <f t="shared" si="26"/>
        <v>2988.45</v>
      </c>
      <c r="Y92" s="3"/>
      <c r="Z92" s="7">
        <f t="shared" si="27"/>
        <v>0</v>
      </c>
    </row>
    <row r="93" spans="1:26" s="68" customFormat="1" ht="15" customHeight="1" outlineLevel="1" collapsed="1" x14ac:dyDescent="0.3">
      <c r="A93" s="20"/>
      <c r="B93" s="11" t="str">
        <f>CONCATENATE("     ","Telephone/Data Lines                              ")</f>
        <v xml:space="preserve">     Telephone/Data Lines                              </v>
      </c>
      <c r="C93" s="11"/>
      <c r="D93" s="2">
        <f>SUM(OSRRefD22_19x_0)</f>
        <v>287.35000000000002</v>
      </c>
      <c r="E93" s="2"/>
      <c r="F93" s="5">
        <f t="shared" si="20"/>
        <v>5.6713341934577265E-3</v>
      </c>
      <c r="G93" s="2"/>
      <c r="H93" s="2">
        <f>SUM(OSRRefH22_19x_0)</f>
        <v>999.5</v>
      </c>
      <c r="I93" s="2"/>
      <c r="J93" s="5">
        <f t="shared" si="21"/>
        <v>1.4986218526504615E-2</v>
      </c>
      <c r="K93" s="2"/>
      <c r="L93" s="2">
        <f t="shared" si="22"/>
        <v>-712.15</v>
      </c>
      <c r="M93" s="2"/>
      <c r="N93" s="5">
        <f t="shared" si="23"/>
        <v>-0.71250625312656324</v>
      </c>
      <c r="O93" s="11"/>
      <c r="P93" s="2">
        <f>SUM(OSRRefP22_19x_0)</f>
        <v>7875.74</v>
      </c>
      <c r="Q93" s="2"/>
      <c r="R93" s="5">
        <f t="shared" si="24"/>
        <v>5.0480732683441023E-3</v>
      </c>
      <c r="S93" s="2"/>
      <c r="T93" s="2">
        <f>SUM(OSRRefT22_19x_0)</f>
        <v>7244.61</v>
      </c>
      <c r="U93" s="2"/>
      <c r="V93" s="5">
        <f t="shared" si="25"/>
        <v>1.2382474039373806E-2</v>
      </c>
      <c r="W93" s="2"/>
      <c r="X93" s="2">
        <f t="shared" si="26"/>
        <v>631.13000000000011</v>
      </c>
      <c r="Y93" s="2"/>
      <c r="Z93" s="5">
        <f t="shared" si="27"/>
        <v>8.7117180911049752E-2</v>
      </c>
    </row>
    <row r="94" spans="1:26" s="69" customFormat="1" ht="15" hidden="1" customHeight="1" outlineLevel="2" x14ac:dyDescent="0.3">
      <c r="A94" s="21"/>
      <c r="B94" s="9" t="str">
        <f>CONCATENATE("          ","6309"," - ","TELEPHONE")</f>
        <v xml:space="preserve">          6309 - TELEPHONE</v>
      </c>
      <c r="C94" s="9"/>
      <c r="D94" s="6">
        <v>287.35000000000002</v>
      </c>
      <c r="E94" s="3"/>
      <c r="F94" s="7">
        <f t="shared" si="20"/>
        <v>5.6713341934577265E-3</v>
      </c>
      <c r="G94" s="3"/>
      <c r="H94" s="6">
        <v>999.5</v>
      </c>
      <c r="I94" s="3"/>
      <c r="J94" s="7">
        <f t="shared" si="21"/>
        <v>1.4986218526504615E-2</v>
      </c>
      <c r="K94" s="3"/>
      <c r="L94" s="6">
        <f t="shared" si="22"/>
        <v>-712.15</v>
      </c>
      <c r="M94" s="3"/>
      <c r="N94" s="7">
        <f t="shared" si="23"/>
        <v>-0.71250625312656324</v>
      </c>
      <c r="O94" s="9"/>
      <c r="P94" s="6">
        <v>7875.74</v>
      </c>
      <c r="Q94" s="3"/>
      <c r="R94" s="7">
        <f t="shared" si="24"/>
        <v>5.0480732683441023E-3</v>
      </c>
      <c r="S94" s="3"/>
      <c r="T94" s="6">
        <v>7244.61</v>
      </c>
      <c r="U94" s="3"/>
      <c r="V94" s="7">
        <f t="shared" si="25"/>
        <v>1.2382474039373806E-2</v>
      </c>
      <c r="W94" s="3"/>
      <c r="X94" s="6">
        <f t="shared" si="26"/>
        <v>631.13000000000011</v>
      </c>
      <c r="Y94" s="3"/>
      <c r="Z94" s="7">
        <f t="shared" si="27"/>
        <v>8.7117180911049752E-2</v>
      </c>
    </row>
    <row r="95" spans="1:26" s="68" customFormat="1" ht="15" customHeight="1" outlineLevel="1" collapsed="1" x14ac:dyDescent="0.3">
      <c r="A95" s="20"/>
      <c r="B95" s="11" t="str">
        <f>CONCATENATE("     ","Training                                          ")</f>
        <v xml:space="preserve">     Training                                          </v>
      </c>
      <c r="C95" s="11"/>
      <c r="D95" s="2">
        <f>SUM(OSRRefD22_20x_0)</f>
        <v>14.95</v>
      </c>
      <c r="E95" s="2"/>
      <c r="F95" s="5">
        <f t="shared" si="20"/>
        <v>2.9506332414196276E-4</v>
      </c>
      <c r="G95" s="2"/>
      <c r="H95" s="2">
        <f>SUM(OSRRefH22_20x_0)</f>
        <v>12.99</v>
      </c>
      <c r="I95" s="2"/>
      <c r="J95" s="5">
        <f t="shared" si="21"/>
        <v>1.9476836284071532E-4</v>
      </c>
      <c r="K95" s="2"/>
      <c r="L95" s="2">
        <f t="shared" si="22"/>
        <v>1.9599999999999991</v>
      </c>
      <c r="M95" s="2"/>
      <c r="N95" s="5">
        <f t="shared" si="23"/>
        <v>0.1508852963818321</v>
      </c>
      <c r="O95" s="11"/>
      <c r="P95" s="2">
        <f>SUM(OSRRefP22_20x_0)</f>
        <v>510.9</v>
      </c>
      <c r="Q95" s="2"/>
      <c r="R95" s="5">
        <f t="shared" si="24"/>
        <v>3.2746899120552508E-4</v>
      </c>
      <c r="S95" s="2"/>
      <c r="T95" s="2">
        <f>SUM(OSRRefT22_20x_0)</f>
        <v>412.99</v>
      </c>
      <c r="U95" s="2"/>
      <c r="V95" s="5">
        <f t="shared" si="25"/>
        <v>7.0588174567312633E-4</v>
      </c>
      <c r="W95" s="2"/>
      <c r="X95" s="2">
        <f t="shared" si="26"/>
        <v>97.909999999999968</v>
      </c>
      <c r="Y95" s="2"/>
      <c r="Z95" s="5">
        <f t="shared" si="27"/>
        <v>0.23707595825564776</v>
      </c>
    </row>
    <row r="96" spans="1:26" s="69" customFormat="1" ht="15" hidden="1" customHeight="1" outlineLevel="2" x14ac:dyDescent="0.3">
      <c r="A96" s="21"/>
      <c r="B96" s="9" t="str">
        <f>CONCATENATE("          ","6376"," - ","TRAINING")</f>
        <v xml:space="preserve">          6376 - TRAINING</v>
      </c>
      <c r="C96" s="9"/>
      <c r="D96" s="6">
        <v>14.95</v>
      </c>
      <c r="E96" s="3"/>
      <c r="F96" s="7">
        <f t="shared" si="20"/>
        <v>2.9506332414196276E-4</v>
      </c>
      <c r="G96" s="3"/>
      <c r="H96" s="6">
        <v>12.99</v>
      </c>
      <c r="I96" s="3"/>
      <c r="J96" s="7">
        <f t="shared" si="21"/>
        <v>1.9476836284071532E-4</v>
      </c>
      <c r="K96" s="3"/>
      <c r="L96" s="6">
        <f t="shared" si="22"/>
        <v>1.9599999999999991</v>
      </c>
      <c r="M96" s="3"/>
      <c r="N96" s="7">
        <f t="shared" si="23"/>
        <v>0.1508852963818321</v>
      </c>
      <c r="O96" s="9"/>
      <c r="P96" s="6">
        <v>510.9</v>
      </c>
      <c r="Q96" s="3"/>
      <c r="R96" s="7">
        <f t="shared" si="24"/>
        <v>3.2746899120552508E-4</v>
      </c>
      <c r="S96" s="3"/>
      <c r="T96" s="6">
        <v>412.99</v>
      </c>
      <c r="U96" s="3"/>
      <c r="V96" s="7">
        <f t="shared" si="25"/>
        <v>7.0588174567312633E-4</v>
      </c>
      <c r="W96" s="3"/>
      <c r="X96" s="6">
        <f t="shared" si="26"/>
        <v>97.909999999999968</v>
      </c>
      <c r="Y96" s="3"/>
      <c r="Z96" s="7">
        <f t="shared" si="27"/>
        <v>0.23707595825564776</v>
      </c>
    </row>
    <row r="97" spans="1:26" s="68" customFormat="1" ht="15" customHeight="1" outlineLevel="1" collapsed="1" x14ac:dyDescent="0.3">
      <c r="A97" s="20"/>
      <c r="B97" s="11" t="str">
        <f>CONCATENATE("     ","Travel                                            ")</f>
        <v xml:space="preserve">     Travel                                            </v>
      </c>
      <c r="C97" s="11"/>
      <c r="D97" s="2">
        <f>SUM(OSRRefD22_21x_0)</f>
        <v>0</v>
      </c>
      <c r="E97" s="2"/>
      <c r="F97" s="5">
        <f t="shared" si="20"/>
        <v>0</v>
      </c>
      <c r="G97" s="2"/>
      <c r="H97" s="2">
        <f>SUM(OSRRefH22_21x_0)</f>
        <v>0</v>
      </c>
      <c r="I97" s="2"/>
      <c r="J97" s="5">
        <f t="shared" si="21"/>
        <v>0</v>
      </c>
      <c r="K97" s="2"/>
      <c r="L97" s="2">
        <f t="shared" si="22"/>
        <v>0</v>
      </c>
      <c r="M97" s="2"/>
      <c r="N97" s="5">
        <f t="shared" si="23"/>
        <v>0</v>
      </c>
      <c r="O97" s="11"/>
      <c r="P97" s="2">
        <f>SUM(OSRRefP22_21x_0)</f>
        <v>141.24</v>
      </c>
      <c r="Q97" s="2"/>
      <c r="R97" s="5">
        <f t="shared" si="24"/>
        <v>9.0529889054351867E-5</v>
      </c>
      <c r="S97" s="2"/>
      <c r="T97" s="2">
        <f>SUM(OSRRefT22_21x_0)</f>
        <v>332.21</v>
      </c>
      <c r="U97" s="2"/>
      <c r="V97" s="5">
        <f t="shared" si="25"/>
        <v>5.6781271878270491E-4</v>
      </c>
      <c r="W97" s="2"/>
      <c r="X97" s="2">
        <f t="shared" si="26"/>
        <v>-190.96999999999997</v>
      </c>
      <c r="Y97" s="2"/>
      <c r="Z97" s="5">
        <f t="shared" si="27"/>
        <v>-0.5748472351825652</v>
      </c>
    </row>
    <row r="98" spans="1:26" s="69" customFormat="1" ht="15" hidden="1" customHeight="1" outlineLevel="2" x14ac:dyDescent="0.3">
      <c r="A98" s="21"/>
      <c r="B98" s="9" t="str">
        <f>CONCATENATE("          ","6292"," - ","TRAVEL/CONFERENCE")</f>
        <v xml:space="preserve">          6292 - TRAVEL/CONFERENCE</v>
      </c>
      <c r="C98" s="9"/>
      <c r="D98" s="6"/>
      <c r="E98" s="3"/>
      <c r="F98" s="7">
        <f t="shared" si="20"/>
        <v>0</v>
      </c>
      <c r="G98" s="3"/>
      <c r="H98" s="6"/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>
        <v>18.59</v>
      </c>
      <c r="Q98" s="3"/>
      <c r="R98" s="7">
        <f t="shared" si="24"/>
        <v>1.1915538356842262E-5</v>
      </c>
      <c r="S98" s="3"/>
      <c r="T98" s="6"/>
      <c r="U98" s="3"/>
      <c r="V98" s="7">
        <f t="shared" si="25"/>
        <v>0</v>
      </c>
      <c r="W98" s="3"/>
      <c r="X98" s="6">
        <f t="shared" si="26"/>
        <v>18.59</v>
      </c>
      <c r="Y98" s="3"/>
      <c r="Z98" s="7">
        <f t="shared" si="27"/>
        <v>0</v>
      </c>
    </row>
    <row r="99" spans="1:26" s="69" customFormat="1" ht="15" hidden="1" customHeight="1" outlineLevel="2" x14ac:dyDescent="0.3">
      <c r="A99" s="21"/>
      <c r="B99" s="9" t="str">
        <f>CONCATENATE("          ","6298"," - ","VEHICLE MILEAGE")</f>
        <v xml:space="preserve">          6298 - VEHICLE MILEAGE</v>
      </c>
      <c r="C99" s="9"/>
      <c r="D99" s="6"/>
      <c r="E99" s="3"/>
      <c r="F99" s="7">
        <f t="shared" si="20"/>
        <v>0</v>
      </c>
      <c r="G99" s="3"/>
      <c r="H99" s="6"/>
      <c r="I99" s="3"/>
      <c r="J99" s="7">
        <f t="shared" si="21"/>
        <v>0</v>
      </c>
      <c r="K99" s="3"/>
      <c r="L99" s="6">
        <f t="shared" si="22"/>
        <v>0</v>
      </c>
      <c r="M99" s="3"/>
      <c r="N99" s="7">
        <f t="shared" si="23"/>
        <v>0</v>
      </c>
      <c r="O99" s="9"/>
      <c r="P99" s="6">
        <v>122.65</v>
      </c>
      <c r="Q99" s="3"/>
      <c r="R99" s="7">
        <f t="shared" si="24"/>
        <v>7.8614350697509596E-5</v>
      </c>
      <c r="S99" s="3"/>
      <c r="T99" s="6">
        <v>332.21</v>
      </c>
      <c r="U99" s="3"/>
      <c r="V99" s="7">
        <f t="shared" si="25"/>
        <v>5.6781271878270491E-4</v>
      </c>
      <c r="W99" s="3"/>
      <c r="X99" s="6">
        <f t="shared" si="26"/>
        <v>-209.55999999999997</v>
      </c>
      <c r="Y99" s="3"/>
      <c r="Z99" s="7">
        <f t="shared" si="27"/>
        <v>-0.63080581559856708</v>
      </c>
    </row>
    <row r="100" spans="1:26" s="68" customFormat="1" ht="15" customHeight="1" outlineLevel="1" collapsed="1" x14ac:dyDescent="0.3">
      <c r="A100" s="20"/>
      <c r="B100" s="11" t="str">
        <f>CONCATENATE("     ","Utilities                                         ")</f>
        <v xml:space="preserve">     Utilities                                         </v>
      </c>
      <c r="C100" s="11"/>
      <c r="D100" s="2">
        <f>SUM(OSRRefD22_22x_0)</f>
        <v>13976.85</v>
      </c>
      <c r="E100" s="2"/>
      <c r="F100" s="5">
        <f t="shared" si="20"/>
        <v>0.27585657672465502</v>
      </c>
      <c r="G100" s="2"/>
      <c r="H100" s="2">
        <f>SUM(OSRRefH22_22x_0)</f>
        <v>40208</v>
      </c>
      <c r="I100" s="2"/>
      <c r="J100" s="5">
        <f t="shared" si="21"/>
        <v>0.60286730816778145</v>
      </c>
      <c r="K100" s="2"/>
      <c r="L100" s="2">
        <f t="shared" si="22"/>
        <v>-26231.15</v>
      </c>
      <c r="M100" s="2"/>
      <c r="N100" s="5">
        <f t="shared" si="23"/>
        <v>-0.65238634102666138</v>
      </c>
      <c r="O100" s="11"/>
      <c r="P100" s="2">
        <f>SUM(OSRRefP22_22x_0)</f>
        <v>122238.53</v>
      </c>
      <c r="Q100" s="2"/>
      <c r="R100" s="5">
        <f t="shared" si="24"/>
        <v>7.8350612850942095E-2</v>
      </c>
      <c r="S100" s="2"/>
      <c r="T100" s="2">
        <f>SUM(OSRRefT22_22x_0)</f>
        <v>46044</v>
      </c>
      <c r="U100" s="2"/>
      <c r="V100" s="5">
        <f t="shared" si="25"/>
        <v>7.8698319808647735E-2</v>
      </c>
      <c r="W100" s="2"/>
      <c r="X100" s="2">
        <f t="shared" si="26"/>
        <v>76194.53</v>
      </c>
      <c r="Y100" s="2"/>
      <c r="Z100" s="5">
        <f t="shared" si="27"/>
        <v>1.6548199548258187</v>
      </c>
    </row>
    <row r="101" spans="1:26" s="69" customFormat="1" ht="15" hidden="1" customHeight="1" outlineLevel="2" x14ac:dyDescent="0.3">
      <c r="A101" s="21"/>
      <c r="B101" s="9" t="str">
        <f>CONCATENATE("          ","6274"," - ","UTILITIES")</f>
        <v xml:space="preserve">          6274 - UTILITIES</v>
      </c>
      <c r="C101" s="9"/>
      <c r="D101" s="6">
        <v>13976.85</v>
      </c>
      <c r="E101" s="3"/>
      <c r="F101" s="7">
        <f t="shared" si="20"/>
        <v>0.27585657672465502</v>
      </c>
      <c r="G101" s="3"/>
      <c r="H101" s="6">
        <v>40208</v>
      </c>
      <c r="I101" s="3"/>
      <c r="J101" s="7">
        <f t="shared" si="21"/>
        <v>0.60286730816778145</v>
      </c>
      <c r="K101" s="3"/>
      <c r="L101" s="6">
        <f t="shared" si="22"/>
        <v>-26231.15</v>
      </c>
      <c r="M101" s="3"/>
      <c r="N101" s="7">
        <f t="shared" si="23"/>
        <v>-0.65238634102666138</v>
      </c>
      <c r="O101" s="9"/>
      <c r="P101" s="6">
        <v>122238.53</v>
      </c>
      <c r="Q101" s="3"/>
      <c r="R101" s="7">
        <f t="shared" si="24"/>
        <v>7.8350612850942095E-2</v>
      </c>
      <c r="S101" s="3"/>
      <c r="T101" s="6">
        <v>46044</v>
      </c>
      <c r="U101" s="3"/>
      <c r="V101" s="7">
        <f t="shared" si="25"/>
        <v>7.8698319808647735E-2</v>
      </c>
      <c r="W101" s="3"/>
      <c r="X101" s="6">
        <f t="shared" si="26"/>
        <v>76194.53</v>
      </c>
      <c r="Y101" s="3"/>
      <c r="Z101" s="7">
        <f t="shared" si="27"/>
        <v>1.6548199548258187</v>
      </c>
    </row>
    <row r="102" spans="1:26" s="64" customFormat="1" ht="15" customHeight="1" x14ac:dyDescent="0.3">
      <c r="A102" s="37"/>
      <c r="B102" s="37"/>
      <c r="C102" s="37"/>
      <c r="D102" s="2"/>
      <c r="E102" s="2"/>
      <c r="F102" s="5"/>
      <c r="G102" s="2"/>
      <c r="H102" s="2"/>
      <c r="I102" s="2"/>
      <c r="J102" s="5"/>
      <c r="K102" s="2"/>
      <c r="L102" s="2"/>
      <c r="M102" s="2"/>
      <c r="N102" s="5"/>
      <c r="O102" s="37"/>
      <c r="P102" s="2"/>
      <c r="Q102" s="2"/>
      <c r="R102" s="5"/>
      <c r="S102" s="2"/>
      <c r="T102" s="2"/>
      <c r="U102" s="2"/>
      <c r="V102" s="5"/>
      <c r="W102" s="2"/>
      <c r="X102" s="2"/>
      <c r="Y102" s="2"/>
      <c r="Z102" s="5"/>
    </row>
    <row r="103" spans="1:26" s="62" customFormat="1" ht="15" customHeight="1" collapsed="1" x14ac:dyDescent="0.3">
      <c r="A103" s="13"/>
      <c r="B103" s="27" t="s">
        <v>290</v>
      </c>
      <c r="C103" s="13"/>
      <c r="D103" s="8">
        <f>SUM(OSRRefD25x_0)</f>
        <v>20761.61</v>
      </c>
      <c r="E103" s="8"/>
      <c r="F103" s="14">
        <f>IF(D$12=0,0,D103/D$12)</f>
        <v>0.40976519472501782</v>
      </c>
      <c r="G103" s="8"/>
      <c r="H103" s="8">
        <f>SUM(OSRRefH25x_0)</f>
        <v>1026.5</v>
      </c>
      <c r="I103" s="8"/>
      <c r="J103" s="14">
        <f>IF(H$12=0,0,H103/H$12)</f>
        <v>1.5391048841877926E-2</v>
      </c>
      <c r="K103" s="8"/>
      <c r="L103" s="8">
        <f>+D103-H103</f>
        <v>19735.11</v>
      </c>
      <c r="M103" s="8"/>
      <c r="N103" s="14">
        <f>IF(H103=0,0,L103/H103)</f>
        <v>19.225630784218218</v>
      </c>
      <c r="O103" s="13"/>
      <c r="P103" s="8">
        <f>SUM(OSRRefP25x_0)</f>
        <v>228646.99</v>
      </c>
      <c r="Q103" s="8"/>
      <c r="R103" s="14">
        <f>IF(P$12=0,0,P103/P$12)</f>
        <v>0.14655470573004459</v>
      </c>
      <c r="S103" s="8"/>
      <c r="T103" s="8">
        <f>SUM(OSRRefT25x_0)</f>
        <v>23513.16</v>
      </c>
      <c r="U103" s="8"/>
      <c r="V103" s="14">
        <f>IF(T$12=0,0,T103/T$12)</f>
        <v>4.0188649669705145E-2</v>
      </c>
      <c r="W103" s="8"/>
      <c r="X103" s="8">
        <f>+P103-T103</f>
        <v>205133.83</v>
      </c>
      <c r="Y103" s="8"/>
      <c r="Z103" s="14">
        <f>IF(T103=0,0,X103/T103)</f>
        <v>8.7242135893261477</v>
      </c>
    </row>
    <row r="104" spans="1:26" s="69" customFormat="1" ht="15" hidden="1" customHeight="1" outlineLevel="1" x14ac:dyDescent="0.3">
      <c r="A104" s="47"/>
      <c r="B104" s="9" t="str">
        <f>CONCATENATE("          ","9150"," - ","MISC. INCOME")</f>
        <v xml:space="preserve">          9150 - MISC. INCOME</v>
      </c>
      <c r="C104" s="9"/>
      <c r="D104" s="3">
        <f>--20761.61</f>
        <v>20761.61</v>
      </c>
      <c r="E104" s="3"/>
      <c r="F104" s="26">
        <f>IF(D$12=0,0,D104/D$12)</f>
        <v>0.40976519472501782</v>
      </c>
      <c r="G104" s="3"/>
      <c r="H104" s="3">
        <f>--449.64</f>
        <v>449.64</v>
      </c>
      <c r="I104" s="3"/>
      <c r="J104" s="26">
        <f>IF(H$12=0,0,H104/H$12)</f>
        <v>6.7417741853502099E-3</v>
      </c>
      <c r="K104" s="3"/>
      <c r="L104" s="3">
        <f>+D104-H104</f>
        <v>20311.97</v>
      </c>
      <c r="M104" s="3"/>
      <c r="N104" s="26">
        <f>IF(H104=0,0,L104/H104)</f>
        <v>45.17385019126413</v>
      </c>
      <c r="O104" s="9"/>
      <c r="P104" s="3">
        <f>--228646.99</f>
        <v>228646.99</v>
      </c>
      <c r="Q104" s="3"/>
      <c r="R104" s="26">
        <f>IF(P$12=0,0,P104/P$12)</f>
        <v>0.14655470573004459</v>
      </c>
      <c r="S104" s="3"/>
      <c r="T104" s="3">
        <f>--5799.56</f>
        <v>5799.56</v>
      </c>
      <c r="U104" s="3"/>
      <c r="V104" s="26">
        <f>IF(T$12=0,0,T104/T$12)</f>
        <v>9.9125972467518277E-3</v>
      </c>
      <c r="W104" s="3"/>
      <c r="X104" s="3">
        <f>+P104-T104</f>
        <v>222847.43</v>
      </c>
      <c r="Y104" s="3"/>
      <c r="Z104" s="26">
        <f>IF(T104=0,0,X104/T104)</f>
        <v>38.42488568098269</v>
      </c>
    </row>
    <row r="105" spans="1:26" s="69" customFormat="1" ht="15" hidden="1" customHeight="1" outlineLevel="1" x14ac:dyDescent="0.3">
      <c r="A105" s="47"/>
      <c r="B105" s="9" t="str">
        <f>CONCATENATE("          ","9160"," - ","MISC. INCOME")</f>
        <v xml:space="preserve">          9160 - MISC. INCOME</v>
      </c>
      <c r="C105" s="9"/>
      <c r="D105" s="3">
        <f>0</f>
        <v>0</v>
      </c>
      <c r="E105" s="3"/>
      <c r="F105" s="26">
        <f>IF(D$12=0,0,D105/D$12)</f>
        <v>0</v>
      </c>
      <c r="G105" s="3"/>
      <c r="H105" s="3">
        <f>0</f>
        <v>0</v>
      </c>
      <c r="I105" s="3"/>
      <c r="J105" s="26">
        <f>IF(H$12=0,0,H105/H$12)</f>
        <v>0</v>
      </c>
      <c r="K105" s="3"/>
      <c r="L105" s="3">
        <f>+D105-H105</f>
        <v>0</v>
      </c>
      <c r="M105" s="3"/>
      <c r="N105" s="26">
        <f>IF(H105=0,0,L105/H105)</f>
        <v>0</v>
      </c>
      <c r="O105" s="9"/>
      <c r="P105" s="3">
        <f>0</f>
        <v>0</v>
      </c>
      <c r="Q105" s="3"/>
      <c r="R105" s="26">
        <f>IF(P$12=0,0,P105/P$12)</f>
        <v>0</v>
      </c>
      <c r="S105" s="3"/>
      <c r="T105" s="3">
        <f>--13615.06</f>
        <v>13615.06</v>
      </c>
      <c r="U105" s="3"/>
      <c r="V105" s="26">
        <f>IF(T$12=0,0,T105/T$12)</f>
        <v>2.3270835420335492E-2</v>
      </c>
      <c r="W105" s="3"/>
      <c r="X105" s="3">
        <f>+P105-T105</f>
        <v>-13615.06</v>
      </c>
      <c r="Y105" s="3"/>
      <c r="Z105" s="26">
        <f>IF(T105=0,0,X105/T105)</f>
        <v>-1</v>
      </c>
    </row>
    <row r="106" spans="1:26" s="69" customFormat="1" ht="15" hidden="1" customHeight="1" outlineLevel="1" x14ac:dyDescent="0.3">
      <c r="A106" s="47"/>
      <c r="B106" s="9" t="str">
        <f>CONCATENATE("          ","9165"," - ","OTHER INCOME")</f>
        <v xml:space="preserve">          9165 - OTHER INCOME</v>
      </c>
      <c r="C106" s="9"/>
      <c r="D106" s="3">
        <f>0</f>
        <v>0</v>
      </c>
      <c r="E106" s="3"/>
      <c r="F106" s="26">
        <f>IF(D$12=0,0,D106/D$12)</f>
        <v>0</v>
      </c>
      <c r="G106" s="3"/>
      <c r="H106" s="3">
        <f>--576.86</f>
        <v>576.86</v>
      </c>
      <c r="I106" s="3"/>
      <c r="J106" s="26">
        <f>IF(H$12=0,0,H106/H$12)</f>
        <v>8.6492746565277161E-3</v>
      </c>
      <c r="K106" s="3"/>
      <c r="L106" s="3">
        <f>+D106-H106</f>
        <v>-576.86</v>
      </c>
      <c r="M106" s="3"/>
      <c r="N106" s="26">
        <f>IF(H106=0,0,L106/H106)</f>
        <v>-1</v>
      </c>
      <c r="O106" s="9"/>
      <c r="P106" s="3">
        <f>0</f>
        <v>0</v>
      </c>
      <c r="Q106" s="3"/>
      <c r="R106" s="26">
        <f>IF(P$12=0,0,P106/P$12)</f>
        <v>0</v>
      </c>
      <c r="S106" s="3"/>
      <c r="T106" s="3">
        <f>--4098.54</f>
        <v>4098.54</v>
      </c>
      <c r="U106" s="3"/>
      <c r="V106" s="26">
        <f>IF(T$12=0,0,T106/T$12)</f>
        <v>7.0052170026178246E-3</v>
      </c>
      <c r="W106" s="3"/>
      <c r="X106" s="3">
        <f>+P106-T106</f>
        <v>-4098.54</v>
      </c>
      <c r="Y106" s="3"/>
      <c r="Z106" s="26">
        <f>IF(T106=0,0,X106/T106)</f>
        <v>-1</v>
      </c>
    </row>
    <row r="107" spans="1:26" ht="15" customHeight="1" x14ac:dyDescent="0.3">
      <c r="A107" s="12"/>
      <c r="B107" s="13"/>
      <c r="C107" s="13"/>
      <c r="D107" s="4"/>
      <c r="E107" s="4"/>
      <c r="F107" s="10"/>
      <c r="G107" s="4"/>
      <c r="H107" s="4"/>
      <c r="I107" s="4"/>
      <c r="J107" s="10"/>
      <c r="K107" s="4"/>
      <c r="L107" s="4"/>
      <c r="M107" s="4"/>
      <c r="N107" s="10"/>
      <c r="O107" s="13"/>
      <c r="P107" s="4"/>
      <c r="Q107" s="4"/>
      <c r="R107" s="10"/>
      <c r="S107" s="4"/>
      <c r="T107" s="4"/>
      <c r="U107" s="4"/>
      <c r="V107" s="10"/>
      <c r="W107" s="4"/>
      <c r="X107" s="4"/>
      <c r="Y107" s="4"/>
      <c r="Z107" s="10"/>
    </row>
    <row r="108" spans="1:26" s="62" customFormat="1" ht="15" customHeight="1" x14ac:dyDescent="0.3">
      <c r="A108" s="13"/>
      <c r="B108" s="28" t="s">
        <v>291</v>
      </c>
      <c r="C108" s="28"/>
      <c r="D108" s="22">
        <f>+D24-D26+D103</f>
        <v>-166545.43</v>
      </c>
      <c r="E108" s="15"/>
      <c r="F108" s="24">
        <f>IF(D$12=0,0,D108/D$12)</f>
        <v>-3.2870533910670616</v>
      </c>
      <c r="G108" s="15"/>
      <c r="H108" s="22">
        <f>+H24-H26+H103</f>
        <v>-110054.39000000001</v>
      </c>
      <c r="I108" s="15"/>
      <c r="J108" s="24">
        <f>IF(H$12=0,0,H108/H$12)</f>
        <v>-1.6501242004413852</v>
      </c>
      <c r="K108" s="17"/>
      <c r="L108" s="22">
        <f>+D108-H108</f>
        <v>-56491.039999999979</v>
      </c>
      <c r="M108" s="17"/>
      <c r="N108" s="24">
        <f>IF(H108=0,0,L108/H108)</f>
        <v>0.51330110502634174</v>
      </c>
      <c r="O108" s="27"/>
      <c r="P108" s="22">
        <f>+P24-P26+P103</f>
        <v>-1158383.3399999996</v>
      </c>
      <c r="Q108" s="15"/>
      <c r="R108" s="24">
        <f>IF(P$12=0,0,P108/P$12)</f>
        <v>-0.74248311563728053</v>
      </c>
      <c r="S108" s="15"/>
      <c r="T108" s="22">
        <f>+T24-T26+T103</f>
        <v>-820687.25000000012</v>
      </c>
      <c r="U108" s="15"/>
      <c r="V108" s="24">
        <f>IF(T$12=0,0,T108/T$12)</f>
        <v>-1.4027171328159944</v>
      </c>
      <c r="W108" s="17"/>
      <c r="X108" s="22">
        <f>+P108-T108</f>
        <v>-337696.0899999995</v>
      </c>
      <c r="Y108" s="17"/>
      <c r="Z108" s="24">
        <f>IF(T108=0,0,X108/T108)</f>
        <v>0.41147963490355122</v>
      </c>
    </row>
    <row r="109" spans="1:26" ht="15" customHeight="1" x14ac:dyDescent="0.3">
      <c r="A109" s="12"/>
      <c r="B109" s="13"/>
      <c r="C109" s="12"/>
      <c r="D109" s="4"/>
      <c r="E109" s="4"/>
      <c r="F109" s="10"/>
      <c r="G109" s="4"/>
      <c r="H109" s="4"/>
      <c r="I109" s="4"/>
      <c r="J109" s="10"/>
      <c r="K109" s="4"/>
      <c r="L109" s="4"/>
      <c r="M109" s="4"/>
      <c r="N109" s="10"/>
      <c r="P109" s="4"/>
      <c r="Q109" s="4"/>
      <c r="R109" s="10"/>
      <c r="S109" s="4"/>
      <c r="T109" s="4"/>
      <c r="U109" s="4"/>
      <c r="V109" s="10"/>
      <c r="W109" s="4"/>
      <c r="X109" s="4"/>
      <c r="Y109" s="4"/>
      <c r="Z109" s="10"/>
    </row>
    <row r="110" spans="1:26" s="62" customFormat="1" ht="15" customHeight="1" x14ac:dyDescent="0.3">
      <c r="A110" s="48"/>
      <c r="B110" s="13" t="s">
        <v>292</v>
      </c>
      <c r="C110" s="13"/>
      <c r="D110" s="8">
        <v>-349571.33</v>
      </c>
      <c r="E110" s="8"/>
      <c r="F110" s="14">
        <f>IF(D$12=0,0,D110/D$12)</f>
        <v>-6.8993764986305717</v>
      </c>
      <c r="G110" s="8"/>
      <c r="H110" s="8">
        <v>51172.32</v>
      </c>
      <c r="I110" s="8"/>
      <c r="J110" s="14">
        <f>IF(H$12=0,0,H110/H$12)</f>
        <v>0.76726320162903716</v>
      </c>
      <c r="K110" s="8"/>
      <c r="L110" s="8">
        <f>+D110-H110</f>
        <v>-400743.65</v>
      </c>
      <c r="M110" s="8"/>
      <c r="N110" s="14">
        <f>IF(H110=0,0,L110/H110)</f>
        <v>-7.8312581880203993</v>
      </c>
      <c r="O110" s="13"/>
      <c r="P110" s="8">
        <v>-179867.44</v>
      </c>
      <c r="Q110" s="8"/>
      <c r="R110" s="14">
        <f>IF(P$12=0,0,P110/P$12)</f>
        <v>-0.11528872407030791</v>
      </c>
      <c r="S110" s="8"/>
      <c r="T110" s="8">
        <v>161944.15</v>
      </c>
      <c r="U110" s="8"/>
      <c r="V110" s="14">
        <f>IF(T$12=0,0,T110/T$12)</f>
        <v>0.27679464225175093</v>
      </c>
      <c r="W110" s="8"/>
      <c r="X110" s="8">
        <f>+P110-T110</f>
        <v>-341811.58999999997</v>
      </c>
      <c r="Y110" s="8"/>
      <c r="Z110" s="14">
        <f>IF(T110=0,0,X110/T110)</f>
        <v>-2.1106757483984446</v>
      </c>
    </row>
    <row r="111" spans="1:26" ht="15" customHeight="1" x14ac:dyDescent="0.3">
      <c r="A111" s="12"/>
      <c r="B111" s="13"/>
      <c r="C111" s="13"/>
      <c r="D111" s="4"/>
      <c r="E111" s="4"/>
      <c r="F111" s="10"/>
      <c r="G111" s="4"/>
      <c r="H111" s="4"/>
      <c r="I111" s="4"/>
      <c r="J111" s="10"/>
      <c r="K111" s="4"/>
      <c r="L111" s="4"/>
      <c r="M111" s="4"/>
      <c r="N111" s="10"/>
      <c r="O111" s="13"/>
      <c r="P111" s="4"/>
      <c r="Q111" s="4"/>
      <c r="R111" s="10"/>
      <c r="S111" s="4"/>
      <c r="T111" s="4"/>
      <c r="U111" s="4"/>
      <c r="V111" s="10"/>
      <c r="W111" s="4"/>
      <c r="X111" s="4"/>
      <c r="Y111" s="4"/>
      <c r="Z111" s="10"/>
    </row>
    <row r="112" spans="1:26" s="62" customFormat="1" ht="15" customHeight="1" x14ac:dyDescent="0.3">
      <c r="A112" s="13"/>
      <c r="B112" s="28" t="s">
        <v>293</v>
      </c>
      <c r="C112" s="28"/>
      <c r="D112" s="29">
        <f>+D108-D110</f>
        <v>183025.90000000002</v>
      </c>
      <c r="E112" s="15"/>
      <c r="F112" s="31">
        <f>IF(D$12=0,0,D112/D$12)</f>
        <v>3.61232310756351</v>
      </c>
      <c r="G112" s="15"/>
      <c r="H112" s="29">
        <f>+H108-H110</f>
        <v>-161226.71000000002</v>
      </c>
      <c r="I112" s="15"/>
      <c r="J112" s="31">
        <f>IF(H$12=0,0,H112/H$12)</f>
        <v>-2.4173874020704225</v>
      </c>
      <c r="K112" s="17"/>
      <c r="L112" s="29">
        <f>D112-H112</f>
        <v>344252.61000000004</v>
      </c>
      <c r="M112" s="17"/>
      <c r="N112" s="31">
        <f>IF(H112=0,0,L112/H112)</f>
        <v>-2.1352083038846357</v>
      </c>
      <c r="O112" s="27"/>
      <c r="P112" s="29">
        <f>+P108-P110</f>
        <v>-978515.89999999967</v>
      </c>
      <c r="Q112" s="15"/>
      <c r="R112" s="31">
        <f>IF(P$12=0,0,P112/P$12)</f>
        <v>-0.62719439156697265</v>
      </c>
      <c r="S112" s="15"/>
      <c r="T112" s="29">
        <f>+T108-T110</f>
        <v>-982631.40000000014</v>
      </c>
      <c r="U112" s="15"/>
      <c r="V112" s="31">
        <f>IF(T$12=0,0,T112/T$12)</f>
        <v>-1.6795117750677455</v>
      </c>
      <c r="W112" s="17"/>
      <c r="X112" s="29">
        <f>P112-T112</f>
        <v>4115.5000000004657</v>
      </c>
      <c r="Y112" s="17"/>
      <c r="Z112" s="31">
        <f>IF(T112=0,0,X112/T112)</f>
        <v>-4.1882439335853353E-3</v>
      </c>
    </row>
    <row r="113" spans="1:26" ht="15" customHeight="1" x14ac:dyDescent="0.3">
      <c r="A113" s="12"/>
      <c r="B113" s="12"/>
      <c r="C113" s="12"/>
      <c r="D113" s="4"/>
      <c r="E113" s="4"/>
      <c r="F113" s="10"/>
      <c r="G113" s="4"/>
      <c r="H113" s="4"/>
      <c r="I113" s="4"/>
      <c r="J113" s="10"/>
      <c r="K113" s="4"/>
      <c r="L113" s="4"/>
      <c r="M113" s="4"/>
      <c r="N113" s="10"/>
      <c r="P113" s="4"/>
      <c r="Q113" s="4"/>
      <c r="R113" s="10"/>
      <c r="S113" s="4"/>
      <c r="T113" s="4"/>
      <c r="U113" s="4"/>
      <c r="V113" s="10"/>
      <c r="W113" s="4"/>
      <c r="X113" s="4"/>
      <c r="Y113" s="4"/>
      <c r="Z113" s="10"/>
    </row>
    <row r="114" spans="1:26" ht="15" customHeight="1" x14ac:dyDescent="0.3">
      <c r="A114" s="12"/>
      <c r="B114" s="12"/>
      <c r="C114" s="12"/>
      <c r="D114" s="4"/>
      <c r="E114" s="4"/>
      <c r="F114" s="10"/>
      <c r="G114" s="4"/>
      <c r="H114" s="4"/>
      <c r="I114" s="4"/>
      <c r="J114" s="10"/>
      <c r="K114" s="4"/>
      <c r="L114" s="4"/>
      <c r="M114" s="4"/>
      <c r="N114" s="10"/>
      <c r="P114" s="4"/>
      <c r="Q114" s="4"/>
      <c r="R114" s="10"/>
      <c r="S114" s="4"/>
      <c r="T114" s="4"/>
      <c r="U114" s="4"/>
      <c r="V114" s="10"/>
      <c r="W114" s="4"/>
      <c r="X114" s="4"/>
      <c r="Y114" s="4"/>
      <c r="Z114" s="10"/>
    </row>
    <row r="115" spans="1:26" s="62" customFormat="1" ht="15" customHeight="1" x14ac:dyDescent="0.3">
      <c r="A115" s="13"/>
      <c r="B115" s="28" t="s">
        <v>296</v>
      </c>
      <c r="C115" s="28"/>
      <c r="D115" s="30">
        <f>SUM(D112:D114)</f>
        <v>183025.90000000002</v>
      </c>
      <c r="E115" s="15"/>
      <c r="F115" s="35">
        <f>IF(D$12=0,0,D115/D$12)</f>
        <v>3.61232310756351</v>
      </c>
      <c r="G115" s="15"/>
      <c r="H115" s="30">
        <f>SUM(H112:H114)</f>
        <v>-161226.71000000002</v>
      </c>
      <c r="I115" s="15"/>
      <c r="J115" s="35">
        <f>IF(H$12=0,0,H115/H$12)</f>
        <v>-2.4173874020704225</v>
      </c>
      <c r="K115" s="17"/>
      <c r="L115" s="30">
        <f>+D115-H115</f>
        <v>344252.61000000004</v>
      </c>
      <c r="M115" s="17"/>
      <c r="N115" s="35">
        <f>IF(H115=0,0,L115/H115)</f>
        <v>-2.1352083038846357</v>
      </c>
      <c r="O115" s="27"/>
      <c r="P115" s="30">
        <f>SUM(P112:P114)</f>
        <v>-978515.89999999967</v>
      </c>
      <c r="Q115" s="15"/>
      <c r="R115" s="35">
        <f>IF(P$12=0,0,P115/P$12)</f>
        <v>-0.62719439156697265</v>
      </c>
      <c r="S115" s="15"/>
      <c r="T115" s="30">
        <f>SUM(T112:T114)</f>
        <v>-982631.40000000014</v>
      </c>
      <c r="U115" s="15"/>
      <c r="V115" s="35">
        <f>IF(T$12=0,0,T115/T$12)</f>
        <v>-1.6795117750677455</v>
      </c>
      <c r="W115" s="17"/>
      <c r="X115" s="30">
        <f>+P115-T115</f>
        <v>4115.5000000004657</v>
      </c>
      <c r="Y115" s="17"/>
      <c r="Z115" s="35">
        <f>IF(T115=0,0,X115/T115)</f>
        <v>-4.1882439335853353E-3</v>
      </c>
    </row>
    <row r="116" spans="1:26" ht="15" customHeight="1" x14ac:dyDescent="0.3">
      <c r="A116" s="12"/>
      <c r="C116" s="12"/>
      <c r="D116" s="19"/>
      <c r="E116" s="19"/>
      <c r="G116" s="19"/>
      <c r="H116" s="19"/>
      <c r="I116" s="19"/>
      <c r="J116" s="41"/>
      <c r="K116" s="19"/>
      <c r="L116" s="19"/>
      <c r="M116" s="19"/>
      <c r="P116" s="19"/>
      <c r="Q116" s="19"/>
      <c r="R116" s="41"/>
      <c r="S116" s="19"/>
      <c r="T116" s="19"/>
      <c r="U116" s="19"/>
      <c r="V116" s="41"/>
      <c r="W116" s="19"/>
      <c r="X116" s="19"/>
    </row>
    <row r="117" spans="1:26" ht="15" customHeight="1" x14ac:dyDescent="0.3">
      <c r="A117" s="12"/>
      <c r="B117" s="54">
        <v>44767.815849918981</v>
      </c>
      <c r="D117" s="19"/>
      <c r="E117" s="19"/>
      <c r="G117" s="19"/>
      <c r="H117" s="19"/>
      <c r="I117" s="19"/>
      <c r="J117" s="41"/>
      <c r="K117" s="19"/>
      <c r="L117" s="19"/>
      <c r="M117" s="19"/>
      <c r="P117" s="19"/>
      <c r="Q117" s="19"/>
      <c r="R117" s="41"/>
      <c r="S117" s="19"/>
      <c r="T117" s="19"/>
      <c r="U117" s="19"/>
      <c r="V117" s="41"/>
      <c r="W117" s="19"/>
      <c r="X117" s="19"/>
    </row>
    <row r="118" spans="1:26" ht="15" customHeight="1" x14ac:dyDescent="0.3">
      <c r="A118" s="12"/>
      <c r="B118" s="53" t="s">
        <v>297</v>
      </c>
      <c r="D118" s="19"/>
      <c r="E118" s="19"/>
      <c r="G118" s="19"/>
      <c r="H118" s="19"/>
      <c r="I118" s="19"/>
      <c r="J118" s="41"/>
      <c r="K118" s="19"/>
      <c r="L118" s="19"/>
      <c r="M118" s="19"/>
      <c r="P118" s="19"/>
      <c r="Q118" s="19"/>
      <c r="R118" s="41"/>
      <c r="S118" s="19"/>
      <c r="T118" s="19"/>
      <c r="U118" s="19"/>
      <c r="V118" s="41"/>
      <c r="W118" s="19"/>
      <c r="X118" s="19"/>
    </row>
    <row r="119" spans="1:26" ht="15" customHeight="1" x14ac:dyDescent="0.3">
      <c r="A119" s="12"/>
      <c r="B119" s="51"/>
      <c r="D119" s="19"/>
      <c r="E119" s="19"/>
      <c r="G119" s="19"/>
      <c r="H119" s="19"/>
      <c r="I119" s="19"/>
      <c r="J119" s="41"/>
      <c r="K119" s="19"/>
      <c r="L119" s="19"/>
      <c r="M119" s="19"/>
      <c r="P119" s="19"/>
      <c r="Q119" s="19"/>
      <c r="R119" s="41"/>
      <c r="S119" s="19"/>
      <c r="T119" s="19"/>
      <c r="U119" s="19"/>
      <c r="V119" s="41"/>
      <c r="W119" s="19"/>
      <c r="X119" s="19"/>
    </row>
    <row r="120" spans="1:26" ht="15" customHeight="1" x14ac:dyDescent="0.3">
      <c r="D120" s="19"/>
      <c r="E120" s="19"/>
      <c r="G120" s="19"/>
      <c r="H120" s="19"/>
      <c r="I120" s="19"/>
      <c r="J120" s="41"/>
      <c r="K120" s="19"/>
      <c r="L120" s="19"/>
      <c r="M120" s="19"/>
      <c r="P120" s="19"/>
      <c r="Q120" s="19"/>
      <c r="R120" s="41"/>
      <c r="S120" s="19"/>
      <c r="T120" s="19"/>
      <c r="U120" s="19"/>
      <c r="V120" s="41"/>
      <c r="W120" s="19"/>
      <c r="X12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80F9F-3544-B3BA-4CE7-3C9D24759AD5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","405"," - ","Caffeine Lab")</f>
        <v>Department 405 - Caffeine Lab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7412.63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7412.63</v>
      </c>
      <c r="M12" s="8"/>
      <c r="N12" s="14">
        <f>IF(H12=0,0,L12/H12)</f>
        <v>0</v>
      </c>
      <c r="O12" s="13"/>
      <c r="P12" s="8">
        <f>SUM(OSRRefP13x_0)</f>
        <v>680983.08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680983.08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","4051"," - ","TAXABLE SALES-FOOD")</f>
        <v xml:space="preserve">          4051 - TAXABLE SALES-FOOD</v>
      </c>
      <c r="C13" s="9"/>
      <c r="D13" s="3">
        <f>--616.78</f>
        <v>616.78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616.78</v>
      </c>
      <c r="M13" s="3"/>
      <c r="N13" s="26">
        <f>IF(H13=0,0,L13/H13)</f>
        <v>0</v>
      </c>
      <c r="O13" s="9"/>
      <c r="P13" s="3">
        <f>--65018.71</f>
        <v>65018.71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65018.71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","4151"," - ","NON-TAXABLE SALES-FOOD")</f>
        <v xml:space="preserve">          4151 - NON-TAXABLE SALES-FOOD</v>
      </c>
      <c r="C14" s="9"/>
      <c r="D14" s="3">
        <f>--6795.85</f>
        <v>6795.85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6795.85</v>
      </c>
      <c r="M14" s="3"/>
      <c r="N14" s="26">
        <f>IF(H14=0,0,L14/H14)</f>
        <v>0</v>
      </c>
      <c r="O14" s="9"/>
      <c r="P14" s="3">
        <f>--615964.37</f>
        <v>615964.37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615964.37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collapsed="1" x14ac:dyDescent="0.3">
      <c r="A16" s="13"/>
      <c r="B16" s="27" t="s">
        <v>287</v>
      </c>
      <c r="C16" s="13"/>
      <c r="D16" s="8">
        <f>SUM(OSRRefD16x_0)</f>
        <v>9038.17</v>
      </c>
      <c r="E16" s="8"/>
      <c r="F16" s="14">
        <f>IF(D$12=0,0,D16/D$12)</f>
        <v>1.2192932872678117</v>
      </c>
      <c r="G16" s="8"/>
      <c r="H16" s="8">
        <f>SUM(OSRRefH16x_0)</f>
        <v>0</v>
      </c>
      <c r="I16" s="8"/>
      <c r="J16" s="14">
        <f>IF(H$12=0,0,H16/H$12)</f>
        <v>0</v>
      </c>
      <c r="K16" s="8"/>
      <c r="L16" s="8">
        <f>+D16-H16</f>
        <v>9038.17</v>
      </c>
      <c r="M16" s="8"/>
      <c r="N16" s="14">
        <f>IF(H16=0,0,L16/H16)</f>
        <v>0</v>
      </c>
      <c r="O16" s="13"/>
      <c r="P16" s="8">
        <f>SUM(OSRRefP16x_0)</f>
        <v>304095.15999999997</v>
      </c>
      <c r="Q16" s="8"/>
      <c r="R16" s="14">
        <f>IF(P$12=0,0,P16/P$12)</f>
        <v>0.44655318014656104</v>
      </c>
      <c r="S16" s="8"/>
      <c r="T16" s="8">
        <f>SUM(OSRRefT16x_0)</f>
        <v>-2369.5500000000002</v>
      </c>
      <c r="U16" s="8"/>
      <c r="V16" s="14">
        <f>IF(T$12=0,0,T16/T$12)</f>
        <v>0</v>
      </c>
      <c r="W16" s="8"/>
      <c r="X16" s="8">
        <f>+P16-T16</f>
        <v>306464.70999999996</v>
      </c>
      <c r="Y16" s="8"/>
      <c r="Z16" s="14">
        <f>IF(T16=0,0,X16/T16)</f>
        <v>-129.33456141461457</v>
      </c>
    </row>
    <row r="17" spans="1:26" s="69" customFormat="1" ht="15" hidden="1" customHeight="1" outlineLevel="1" x14ac:dyDescent="0.3">
      <c r="A17" s="47"/>
      <c r="B17" s="9" t="str">
        <f>CONCATENATE("          ","5053"," - ","PURCHASES @ COST-FOOD")</f>
        <v xml:space="preserve">          5053 - PURCHASES @ COST-FOOD</v>
      </c>
      <c r="C17" s="9"/>
      <c r="D17" s="3">
        <v>1961.27</v>
      </c>
      <c r="E17" s="3"/>
      <c r="F17" s="26">
        <f>IF(D$12=0,0,D17/D$12)</f>
        <v>0.26458490441314353</v>
      </c>
      <c r="G17" s="3"/>
      <c r="H17" s="3"/>
      <c r="I17" s="3"/>
      <c r="J17" s="26">
        <f>IF(H$12=0,0,H17/H$12)</f>
        <v>0</v>
      </c>
      <c r="K17" s="3"/>
      <c r="L17" s="3">
        <f>+D17-H17</f>
        <v>1961.27</v>
      </c>
      <c r="M17" s="3"/>
      <c r="N17" s="26">
        <f>IF(H17=0,0,L17/H17)</f>
        <v>0</v>
      </c>
      <c r="O17" s="9"/>
      <c r="P17" s="3">
        <v>212457.61</v>
      </c>
      <c r="Q17" s="3"/>
      <c r="R17" s="26">
        <f>IF(P$12=0,0,P17/P$12)</f>
        <v>0.31198662087169626</v>
      </c>
      <c r="S17" s="3"/>
      <c r="T17" s="3">
        <v>-2369.5500000000002</v>
      </c>
      <c r="U17" s="3"/>
      <c r="V17" s="26">
        <f>IF(T$12=0,0,T17/T$12)</f>
        <v>0</v>
      </c>
      <c r="W17" s="3"/>
      <c r="X17" s="3">
        <f>+P17-T17</f>
        <v>214827.15999999997</v>
      </c>
      <c r="Y17" s="3"/>
      <c r="Z17" s="26">
        <f>IF(T17=0,0,X17/T17)</f>
        <v>-90.661585533118085</v>
      </c>
    </row>
    <row r="18" spans="1:26" s="69" customFormat="1" ht="15" hidden="1" customHeight="1" outlineLevel="1" x14ac:dyDescent="0.3">
      <c r="A18" s="47"/>
      <c r="B18" s="9" t="str">
        <f>CONCATENATE("          ","5059"," - ","PURCHASES @ COST-FOOD")</f>
        <v xml:space="preserve">          5059 - PURCHASES @ COST-FOOD</v>
      </c>
      <c r="C18" s="9"/>
      <c r="D18" s="3">
        <v>7076.9</v>
      </c>
      <c r="E18" s="3"/>
      <c r="F18" s="26">
        <f>IF(D$12=0,0,D18/D$12)</f>
        <v>0.9547083828546683</v>
      </c>
      <c r="G18" s="3"/>
      <c r="H18" s="3"/>
      <c r="I18" s="3"/>
      <c r="J18" s="26">
        <f>IF(H$12=0,0,H18/H$12)</f>
        <v>0</v>
      </c>
      <c r="K18" s="3"/>
      <c r="L18" s="3">
        <f>+D18-H18</f>
        <v>7076.9</v>
      </c>
      <c r="M18" s="3"/>
      <c r="N18" s="26">
        <f>IF(H18=0,0,L18/H18)</f>
        <v>0</v>
      </c>
      <c r="O18" s="9"/>
      <c r="P18" s="3">
        <v>91637.55</v>
      </c>
      <c r="Q18" s="3"/>
      <c r="R18" s="26">
        <f>IF(P$12=0,0,P18/P$12)</f>
        <v>0.13456655927486483</v>
      </c>
      <c r="S18" s="3"/>
      <c r="T18" s="3"/>
      <c r="U18" s="3"/>
      <c r="V18" s="26">
        <f>IF(T$12=0,0,T18/T$12)</f>
        <v>0</v>
      </c>
      <c r="W18" s="3"/>
      <c r="X18" s="3">
        <f>+P18-T18</f>
        <v>91637.55</v>
      </c>
      <c r="Y18" s="3"/>
      <c r="Z18" s="26">
        <f>IF(T18=0,0,X18/T18)</f>
        <v>0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2" customFormat="1" ht="15" customHeight="1" x14ac:dyDescent="0.3">
      <c r="A20" s="13"/>
      <c r="B20" s="28" t="s">
        <v>288</v>
      </c>
      <c r="C20" s="28"/>
      <c r="D20" s="22">
        <f>D12-D16</f>
        <v>-1625.54</v>
      </c>
      <c r="E20" s="15"/>
      <c r="F20" s="24">
        <f>IF(D$12=0,0,D20/D$12)</f>
        <v>-0.21929328726781183</v>
      </c>
      <c r="G20" s="15"/>
      <c r="H20" s="22">
        <f>H12-H16</f>
        <v>0</v>
      </c>
      <c r="I20" s="15"/>
      <c r="J20" s="24">
        <f>IF(H$12=0,0,H20/H$12)</f>
        <v>0</v>
      </c>
      <c r="K20" s="17"/>
      <c r="L20" s="22">
        <f>+D20-H20</f>
        <v>-1625.54</v>
      </c>
      <c r="M20" s="17"/>
      <c r="N20" s="24">
        <f>IF(H20=0,0,L20/H20)</f>
        <v>0</v>
      </c>
      <c r="O20" s="27"/>
      <c r="P20" s="22">
        <f>P12-P16</f>
        <v>376887.92</v>
      </c>
      <c r="Q20" s="15"/>
      <c r="R20" s="24">
        <f>IF(P$12=0,0,P20/P$12)</f>
        <v>0.55344681985343891</v>
      </c>
      <c r="S20" s="15"/>
      <c r="T20" s="22">
        <f>T12-T16</f>
        <v>2369.5500000000002</v>
      </c>
      <c r="U20" s="15"/>
      <c r="V20" s="24">
        <f>IF(T$12=0,0,T20/T$12)</f>
        <v>0</v>
      </c>
      <c r="W20" s="17"/>
      <c r="X20" s="22">
        <f>+P20-T20</f>
        <v>374518.37</v>
      </c>
      <c r="Y20" s="17"/>
      <c r="Z20" s="24">
        <f>IF(T20=0,0,X20/T20)</f>
        <v>158.05463906648941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7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2" customFormat="1" ht="15" customHeight="1" x14ac:dyDescent="0.3">
      <c r="A22" s="13"/>
      <c r="B22" s="27" t="s">
        <v>289</v>
      </c>
      <c r="C22" s="13"/>
      <c r="D22" s="23" cm="1">
        <f t="array" ref="D22">SUM(OSRRefD22x_0)</f>
        <v>51631.38</v>
      </c>
      <c r="E22" s="23"/>
      <c r="F22" s="34">
        <f t="shared" ref="F22:F53" si="0">IF(D$12=0,0,D22/D$12)</f>
        <v>6.9653253973286127</v>
      </c>
      <c r="G22" s="23"/>
      <c r="H22" s="23" cm="1">
        <f t="array" ref="H22">SUM(OSRRefH22x_0)</f>
        <v>6378.7999999999993</v>
      </c>
      <c r="I22" s="23"/>
      <c r="J22" s="34">
        <f t="shared" ref="J22:J53" si="1">IF(H$12=0,0,H22/H$12)</f>
        <v>0</v>
      </c>
      <c r="K22" s="8"/>
      <c r="L22" s="23">
        <f t="shared" ref="L22:L53" si="2">+D22-H22</f>
        <v>45252.58</v>
      </c>
      <c r="M22" s="8"/>
      <c r="N22" s="34">
        <f t="shared" ref="N22:N53" si="3">IF(H22=0,0,L22/H22)</f>
        <v>7.0942152128927081</v>
      </c>
      <c r="O22" s="13"/>
      <c r="P22" s="23" cm="1">
        <f t="array" ref="P22">SUM(OSRRefP22x_0)</f>
        <v>462881.17000000004</v>
      </c>
      <c r="Q22" s="23"/>
      <c r="R22" s="34">
        <f t="shared" ref="R22:R53" si="4">IF(P$12=0,0,P22/P$12)</f>
        <v>0.67972492062504708</v>
      </c>
      <c r="S22" s="23"/>
      <c r="T22" s="23" cm="1">
        <f t="array" ref="T22">SUM(OSRRefT22x_0)</f>
        <v>88309.239999999991</v>
      </c>
      <c r="U22" s="23"/>
      <c r="V22" s="34">
        <f t="shared" ref="V22:V53" si="5">IF(T$12=0,0,T22/T$12)</f>
        <v>0</v>
      </c>
      <c r="W22" s="8"/>
      <c r="X22" s="23">
        <f t="shared" ref="X22:X53" si="6">+P22-T22</f>
        <v>374571.93000000005</v>
      </c>
      <c r="Y22" s="8"/>
      <c r="Z22" s="34">
        <f t="shared" ref="Z22:Z53" si="7">IF(T22=0,0,X22/T22)</f>
        <v>4.2415938581285504</v>
      </c>
    </row>
    <row r="23" spans="1:26" s="68" customFormat="1" ht="15" customHeight="1" outlineLevel="1" collapsed="1" x14ac:dyDescent="0.3">
      <c r="A23" s="20"/>
      <c r="B23" s="11" t="str">
        <f>CONCATENATE("     ","*Benefits                                         ")</f>
        <v xml:space="preserve">     *Benefits                                         </v>
      </c>
      <c r="C23" s="11"/>
      <c r="D23" s="2">
        <f>SUM(OSRRefD22_0x_0)</f>
        <v>4394.4399999999996</v>
      </c>
      <c r="E23" s="2"/>
      <c r="F23" s="5">
        <f t="shared" si="0"/>
        <v>0.59283142420436463</v>
      </c>
      <c r="G23" s="2"/>
      <c r="H23" s="2">
        <f>SUM(OSRRefH22_0x_0)</f>
        <v>0</v>
      </c>
      <c r="I23" s="2"/>
      <c r="J23" s="5">
        <f t="shared" si="1"/>
        <v>0</v>
      </c>
      <c r="K23" s="2"/>
      <c r="L23" s="2">
        <f t="shared" si="2"/>
        <v>4394.4399999999996</v>
      </c>
      <c r="M23" s="2"/>
      <c r="N23" s="5">
        <f t="shared" si="3"/>
        <v>0</v>
      </c>
      <c r="O23" s="11"/>
      <c r="P23" s="2">
        <f>SUM(OSRRefP22_0x_0)</f>
        <v>57539.210000000006</v>
      </c>
      <c r="Q23" s="2"/>
      <c r="R23" s="5">
        <f t="shared" si="4"/>
        <v>8.4494331342270662E-2</v>
      </c>
      <c r="S23" s="2"/>
      <c r="T23" s="2">
        <f>SUM(OSRRefT22_0x_0)</f>
        <v>0.83</v>
      </c>
      <c r="U23" s="2"/>
      <c r="V23" s="5">
        <f t="shared" si="5"/>
        <v>0</v>
      </c>
      <c r="W23" s="2"/>
      <c r="X23" s="2">
        <f t="shared" si="6"/>
        <v>57538.380000000005</v>
      </c>
      <c r="Y23" s="2"/>
      <c r="Z23" s="5">
        <f t="shared" si="7"/>
        <v>69323.349397590369</v>
      </c>
    </row>
    <row r="24" spans="1:26" s="69" customFormat="1" ht="15" hidden="1" customHeight="1" outlineLevel="2" x14ac:dyDescent="0.3">
      <c r="A24" s="21"/>
      <c r="B24" s="9" t="str">
        <f>CONCATENATE("          ","6111"," - ","F.I.C.A.")</f>
        <v xml:space="preserve">          6111 - F.I.C.A.</v>
      </c>
      <c r="C24" s="9"/>
      <c r="D24" s="6">
        <v>853.46</v>
      </c>
      <c r="E24" s="3"/>
      <c r="F24" s="7">
        <f t="shared" si="0"/>
        <v>0.11513592341719471</v>
      </c>
      <c r="G24" s="3"/>
      <c r="H24" s="6"/>
      <c r="I24" s="3"/>
      <c r="J24" s="7">
        <f t="shared" si="1"/>
        <v>0</v>
      </c>
      <c r="K24" s="3"/>
      <c r="L24" s="6">
        <f t="shared" si="2"/>
        <v>853.46</v>
      </c>
      <c r="M24" s="3"/>
      <c r="N24" s="7">
        <f t="shared" si="3"/>
        <v>0</v>
      </c>
      <c r="O24" s="9"/>
      <c r="P24" s="6">
        <v>10244.15</v>
      </c>
      <c r="Q24" s="3"/>
      <c r="R24" s="7">
        <f t="shared" si="4"/>
        <v>1.5043178459000774E-2</v>
      </c>
      <c r="S24" s="3"/>
      <c r="T24" s="6">
        <v>0.83</v>
      </c>
      <c r="U24" s="3"/>
      <c r="V24" s="7">
        <f t="shared" si="5"/>
        <v>0</v>
      </c>
      <c r="W24" s="3"/>
      <c r="X24" s="6">
        <f t="shared" si="6"/>
        <v>10243.32</v>
      </c>
      <c r="Y24" s="3"/>
      <c r="Z24" s="7">
        <f t="shared" si="7"/>
        <v>12341.349397590362</v>
      </c>
    </row>
    <row r="25" spans="1:26" s="69" customFormat="1" ht="15" hidden="1" customHeight="1" outlineLevel="2" x14ac:dyDescent="0.3">
      <c r="A25" s="21"/>
      <c r="B25" s="9" t="str">
        <f>CONCATENATE("          ","6112"," - ","COMPENSATION INSURANCE")</f>
        <v xml:space="preserve">          6112 - COMPENSATION INSURANCE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>
        <v>8314.1</v>
      </c>
      <c r="Q25" s="3"/>
      <c r="R25" s="7">
        <f t="shared" si="4"/>
        <v>1.2208967071546038E-2</v>
      </c>
      <c r="S25" s="3"/>
      <c r="T25" s="6"/>
      <c r="U25" s="3"/>
      <c r="V25" s="7">
        <f t="shared" si="5"/>
        <v>0</v>
      </c>
      <c r="W25" s="3"/>
      <c r="X25" s="6">
        <f t="shared" si="6"/>
        <v>8314.1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1"/>
      <c r="B26" s="9" t="str">
        <f>CONCATENATE("          ","6113"," - ","GROUP INSURANCE")</f>
        <v xml:space="preserve">          6113 - GROUP INSURANCE</v>
      </c>
      <c r="C26" s="9"/>
      <c r="D26" s="6">
        <v>2033.2</v>
      </c>
      <c r="E26" s="3"/>
      <c r="F26" s="7">
        <f t="shared" si="0"/>
        <v>0.27428861281353584</v>
      </c>
      <c r="G26" s="3"/>
      <c r="H26" s="6"/>
      <c r="I26" s="3"/>
      <c r="J26" s="7">
        <f t="shared" si="1"/>
        <v>0</v>
      </c>
      <c r="K26" s="3"/>
      <c r="L26" s="6">
        <f t="shared" si="2"/>
        <v>2033.2</v>
      </c>
      <c r="M26" s="3"/>
      <c r="N26" s="7">
        <f t="shared" si="3"/>
        <v>0</v>
      </c>
      <c r="O26" s="9"/>
      <c r="P26" s="6">
        <v>19799.03</v>
      </c>
      <c r="Q26" s="3"/>
      <c r="R26" s="7">
        <f t="shared" si="4"/>
        <v>2.907418786381594E-2</v>
      </c>
      <c r="S26" s="3"/>
      <c r="T26" s="6"/>
      <c r="U26" s="3"/>
      <c r="V26" s="7">
        <f t="shared" si="5"/>
        <v>0</v>
      </c>
      <c r="W26" s="3"/>
      <c r="X26" s="6">
        <f t="shared" si="6"/>
        <v>19799.03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600.47</v>
      </c>
      <c r="Q27" s="3"/>
      <c r="R27" s="7">
        <f t="shared" si="4"/>
        <v>8.8176933852747127E-4</v>
      </c>
      <c r="S27" s="3"/>
      <c r="T27" s="6"/>
      <c r="U27" s="3"/>
      <c r="V27" s="7">
        <f t="shared" si="5"/>
        <v>0</v>
      </c>
      <c r="W27" s="3"/>
      <c r="X27" s="6">
        <f t="shared" si="6"/>
        <v>600.47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","6115"," - ","P.E.R.S.")</f>
        <v xml:space="preserve">          6115 - P.E.R.S.</v>
      </c>
      <c r="C28" s="9"/>
      <c r="D28" s="6">
        <v>293.76</v>
      </c>
      <c r="E28" s="3"/>
      <c r="F28" s="7">
        <f t="shared" si="0"/>
        <v>3.9629659108845305E-2</v>
      </c>
      <c r="G28" s="3"/>
      <c r="H28" s="6">
        <v>0</v>
      </c>
      <c r="I28" s="3"/>
      <c r="J28" s="7">
        <f t="shared" si="1"/>
        <v>0</v>
      </c>
      <c r="K28" s="3"/>
      <c r="L28" s="6">
        <f t="shared" si="2"/>
        <v>293.76</v>
      </c>
      <c r="M28" s="3"/>
      <c r="N28" s="7">
        <f t="shared" si="3"/>
        <v>0</v>
      </c>
      <c r="O28" s="9"/>
      <c r="P28" s="6">
        <v>4876.22</v>
      </c>
      <c r="Q28" s="3"/>
      <c r="R28" s="7">
        <f t="shared" si="4"/>
        <v>7.1605597014245941E-3</v>
      </c>
      <c r="S28" s="3"/>
      <c r="T28" s="6">
        <v>0</v>
      </c>
      <c r="U28" s="3"/>
      <c r="V28" s="7">
        <f t="shared" si="5"/>
        <v>0</v>
      </c>
      <c r="W28" s="3"/>
      <c r="X28" s="6">
        <f t="shared" si="6"/>
        <v>4876.22</v>
      </c>
      <c r="Y28" s="3"/>
      <c r="Z28" s="7">
        <f t="shared" si="7"/>
        <v>0</v>
      </c>
    </row>
    <row r="29" spans="1:26" s="69" customFormat="1" ht="15" hidden="1" customHeight="1" outlineLevel="2" x14ac:dyDescent="0.3">
      <c r="A29" s="21"/>
      <c r="B29" s="9" t="str">
        <f>CONCATENATE("          ","6118"," - ","VACATION")</f>
        <v xml:space="preserve">          6118 - VACATION</v>
      </c>
      <c r="C29" s="9"/>
      <c r="D29" s="6">
        <v>339.74</v>
      </c>
      <c r="E29" s="3"/>
      <c r="F29" s="7">
        <f t="shared" si="0"/>
        <v>4.5832585735427235E-2</v>
      </c>
      <c r="G29" s="3"/>
      <c r="H29" s="6"/>
      <c r="I29" s="3"/>
      <c r="J29" s="7">
        <f t="shared" si="1"/>
        <v>0</v>
      </c>
      <c r="K29" s="3"/>
      <c r="L29" s="6">
        <f t="shared" si="2"/>
        <v>339.74</v>
      </c>
      <c r="M29" s="3"/>
      <c r="N29" s="7">
        <f t="shared" si="3"/>
        <v>0</v>
      </c>
      <c r="O29" s="9"/>
      <c r="P29" s="6">
        <v>4141.9399999999996</v>
      </c>
      <c r="Q29" s="3"/>
      <c r="R29" s="7">
        <f t="shared" si="4"/>
        <v>6.082295025597405E-3</v>
      </c>
      <c r="S29" s="3"/>
      <c r="T29" s="6"/>
      <c r="U29" s="3"/>
      <c r="V29" s="7">
        <f t="shared" si="5"/>
        <v>0</v>
      </c>
      <c r="W29" s="3"/>
      <c r="X29" s="6">
        <f t="shared" si="6"/>
        <v>4141.9399999999996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","6119"," - ","SICK LEAVE")</f>
        <v xml:space="preserve">          6119 - SICK LEAVE</v>
      </c>
      <c r="C30" s="9"/>
      <c r="D30" s="6">
        <v>407.04</v>
      </c>
      <c r="E30" s="3"/>
      <c r="F30" s="7">
        <f t="shared" si="0"/>
        <v>5.4911684516831413E-2</v>
      </c>
      <c r="G30" s="3"/>
      <c r="H30" s="6"/>
      <c r="I30" s="3"/>
      <c r="J30" s="7">
        <f t="shared" si="1"/>
        <v>0</v>
      </c>
      <c r="K30" s="3"/>
      <c r="L30" s="6">
        <f t="shared" si="2"/>
        <v>407.04</v>
      </c>
      <c r="M30" s="3"/>
      <c r="N30" s="7">
        <f t="shared" si="3"/>
        <v>0</v>
      </c>
      <c r="O30" s="9"/>
      <c r="P30" s="6">
        <v>4871.97</v>
      </c>
      <c r="Q30" s="3"/>
      <c r="R30" s="7">
        <f t="shared" si="4"/>
        <v>7.1543187240423077E-3</v>
      </c>
      <c r="S30" s="3"/>
      <c r="T30" s="6"/>
      <c r="U30" s="3"/>
      <c r="V30" s="7">
        <f t="shared" si="5"/>
        <v>0</v>
      </c>
      <c r="W30" s="3"/>
      <c r="X30" s="6">
        <f t="shared" si="6"/>
        <v>4871.97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1"/>
      <c r="B31" s="9" t="str">
        <f>CONCATENATE("          ","6156"," - ","EMPLOYEE MEALS")</f>
        <v xml:space="preserve">          6156 - EMPLOYEE MEALS</v>
      </c>
      <c r="C31" s="9"/>
      <c r="D31" s="6">
        <v>467.24</v>
      </c>
      <c r="E31" s="3"/>
      <c r="F31" s="7">
        <f t="shared" si="0"/>
        <v>6.3032958612530235E-2</v>
      </c>
      <c r="G31" s="3"/>
      <c r="H31" s="6"/>
      <c r="I31" s="3"/>
      <c r="J31" s="7">
        <f t="shared" si="1"/>
        <v>0</v>
      </c>
      <c r="K31" s="3"/>
      <c r="L31" s="6">
        <f t="shared" si="2"/>
        <v>467.24</v>
      </c>
      <c r="M31" s="3"/>
      <c r="N31" s="7">
        <f t="shared" si="3"/>
        <v>0</v>
      </c>
      <c r="O31" s="9"/>
      <c r="P31" s="6">
        <v>4691.33</v>
      </c>
      <c r="Q31" s="3"/>
      <c r="R31" s="7">
        <f t="shared" si="4"/>
        <v>6.8890551583161222E-3</v>
      </c>
      <c r="S31" s="3"/>
      <c r="T31" s="6"/>
      <c r="U31" s="3"/>
      <c r="V31" s="7">
        <f t="shared" si="5"/>
        <v>0</v>
      </c>
      <c r="W31" s="3"/>
      <c r="X31" s="6">
        <f t="shared" si="6"/>
        <v>4691.33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0"/>
      <c r="B32" s="11" t="str">
        <f>CONCATENATE("     ","*Payroll                                          ")</f>
        <v xml:space="preserve">     *Payroll                                          </v>
      </c>
      <c r="C32" s="11"/>
      <c r="D32" s="2">
        <f>SUM(OSRRefD22_1x_0)</f>
        <v>10304.67</v>
      </c>
      <c r="E32" s="2"/>
      <c r="F32" s="5">
        <f t="shared" si="0"/>
        <v>1.3901503245137017</v>
      </c>
      <c r="G32" s="2"/>
      <c r="H32" s="2">
        <f>SUM(OSRRefH22_1x_0)</f>
        <v>0</v>
      </c>
      <c r="I32" s="2"/>
      <c r="J32" s="5">
        <f t="shared" si="1"/>
        <v>0</v>
      </c>
      <c r="K32" s="2"/>
      <c r="L32" s="2">
        <f t="shared" si="2"/>
        <v>10304.67</v>
      </c>
      <c r="M32" s="2"/>
      <c r="N32" s="5">
        <f t="shared" si="3"/>
        <v>0</v>
      </c>
      <c r="O32" s="11"/>
      <c r="P32" s="2">
        <f>SUM(OSRRefP22_1x_0)</f>
        <v>236581</v>
      </c>
      <c r="Q32" s="2"/>
      <c r="R32" s="5">
        <f t="shared" si="4"/>
        <v>0.34741098119501002</v>
      </c>
      <c r="S32" s="2"/>
      <c r="T32" s="2">
        <f>SUM(OSRRefT22_1x_0)</f>
        <v>0</v>
      </c>
      <c r="U32" s="2"/>
      <c r="V32" s="5">
        <f t="shared" si="5"/>
        <v>0</v>
      </c>
      <c r="W32" s="2"/>
      <c r="X32" s="2">
        <f t="shared" si="6"/>
        <v>236581</v>
      </c>
      <c r="Y32" s="2"/>
      <c r="Z32" s="5">
        <f t="shared" si="7"/>
        <v>0</v>
      </c>
    </row>
    <row r="33" spans="1:26" s="69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4677.8900000000003</v>
      </c>
      <c r="E33" s="3"/>
      <c r="F33" s="7">
        <f t="shared" si="0"/>
        <v>0.63107021394565765</v>
      </c>
      <c r="G33" s="3"/>
      <c r="H33" s="6"/>
      <c r="I33" s="3"/>
      <c r="J33" s="7">
        <f t="shared" si="1"/>
        <v>0</v>
      </c>
      <c r="K33" s="3"/>
      <c r="L33" s="6">
        <f t="shared" si="2"/>
        <v>4677.8900000000003</v>
      </c>
      <c r="M33" s="3"/>
      <c r="N33" s="7">
        <f t="shared" si="3"/>
        <v>0</v>
      </c>
      <c r="O33" s="9"/>
      <c r="P33" s="6">
        <v>64245.25</v>
      </c>
      <c r="Q33" s="3"/>
      <c r="R33" s="7">
        <f t="shared" si="4"/>
        <v>9.4341918157496665E-2</v>
      </c>
      <c r="S33" s="3"/>
      <c r="T33" s="6"/>
      <c r="U33" s="3"/>
      <c r="V33" s="7">
        <f t="shared" si="5"/>
        <v>0</v>
      </c>
      <c r="W33" s="3"/>
      <c r="X33" s="6">
        <f t="shared" si="6"/>
        <v>64245.25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1"/>
      <c r="B34" s="9" t="str">
        <f>CONCATENATE("          ","6004"," - ","STAFF HOURLY")</f>
        <v xml:space="preserve">          6004 - STAFF HOURLY</v>
      </c>
      <c r="C34" s="9"/>
      <c r="D34" s="6">
        <v>1767.95</v>
      </c>
      <c r="E34" s="3"/>
      <c r="F34" s="7">
        <f t="shared" si="0"/>
        <v>0.23850509198489606</v>
      </c>
      <c r="G34" s="3"/>
      <c r="H34" s="6"/>
      <c r="I34" s="3"/>
      <c r="J34" s="7">
        <f t="shared" si="1"/>
        <v>0</v>
      </c>
      <c r="K34" s="3"/>
      <c r="L34" s="6">
        <f t="shared" si="2"/>
        <v>1767.95</v>
      </c>
      <c r="M34" s="3"/>
      <c r="N34" s="7">
        <f t="shared" si="3"/>
        <v>0</v>
      </c>
      <c r="O34" s="9"/>
      <c r="P34" s="6">
        <v>28226.89</v>
      </c>
      <c r="Q34" s="3"/>
      <c r="R34" s="7">
        <f t="shared" si="4"/>
        <v>4.1450207544069965E-2</v>
      </c>
      <c r="S34" s="3"/>
      <c r="T34" s="6"/>
      <c r="U34" s="3"/>
      <c r="V34" s="7">
        <f t="shared" si="5"/>
        <v>0</v>
      </c>
      <c r="W34" s="3"/>
      <c r="X34" s="6">
        <f t="shared" si="6"/>
        <v>28226.89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1"/>
      <c r="B35" s="9" t="str">
        <f>CONCATENATE("          ","6005"," - ","TEMPORARY WAGES-HOURLY")</f>
        <v xml:space="preserve">          6005 - TEMPORARY WAGES-HOURLY</v>
      </c>
      <c r="C35" s="9"/>
      <c r="D35" s="6">
        <v>1111.1400000000001</v>
      </c>
      <c r="E35" s="3"/>
      <c r="F35" s="7">
        <f t="shared" si="0"/>
        <v>0.14989821426403316</v>
      </c>
      <c r="G35" s="3"/>
      <c r="H35" s="6"/>
      <c r="I35" s="3"/>
      <c r="J35" s="7">
        <f t="shared" si="1"/>
        <v>0</v>
      </c>
      <c r="K35" s="3"/>
      <c r="L35" s="6">
        <f t="shared" si="2"/>
        <v>1111.1400000000001</v>
      </c>
      <c r="M35" s="3"/>
      <c r="N35" s="7">
        <f t="shared" si="3"/>
        <v>0</v>
      </c>
      <c r="O35" s="9"/>
      <c r="P35" s="6">
        <v>27742.37</v>
      </c>
      <c r="Q35" s="3"/>
      <c r="R35" s="7">
        <f t="shared" si="4"/>
        <v>4.0738706753183945E-2</v>
      </c>
      <c r="S35" s="3"/>
      <c r="T35" s="6"/>
      <c r="U35" s="3"/>
      <c r="V35" s="7">
        <f t="shared" si="5"/>
        <v>0</v>
      </c>
      <c r="W35" s="3"/>
      <c r="X35" s="6">
        <f t="shared" si="6"/>
        <v>27742.37</v>
      </c>
      <c r="Y35" s="3"/>
      <c r="Z35" s="7">
        <f t="shared" si="7"/>
        <v>0</v>
      </c>
    </row>
    <row r="36" spans="1:26" s="69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>
        <v>2747.69</v>
      </c>
      <c r="E36" s="3"/>
      <c r="F36" s="7">
        <f t="shared" si="0"/>
        <v>0.37067680431911482</v>
      </c>
      <c r="G36" s="3"/>
      <c r="H36" s="6"/>
      <c r="I36" s="3"/>
      <c r="J36" s="7">
        <f t="shared" si="1"/>
        <v>0</v>
      </c>
      <c r="K36" s="3"/>
      <c r="L36" s="6">
        <f t="shared" si="2"/>
        <v>2747.69</v>
      </c>
      <c r="M36" s="3"/>
      <c r="N36" s="7">
        <f t="shared" si="3"/>
        <v>0</v>
      </c>
      <c r="O36" s="9"/>
      <c r="P36" s="6">
        <v>116366.49</v>
      </c>
      <c r="Q36" s="3"/>
      <c r="R36" s="7">
        <f t="shared" si="4"/>
        <v>0.17088014874025947</v>
      </c>
      <c r="S36" s="3"/>
      <c r="T36" s="6"/>
      <c r="U36" s="3"/>
      <c r="V36" s="7">
        <f t="shared" si="5"/>
        <v>0</v>
      </c>
      <c r="W36" s="3"/>
      <c r="X36" s="6">
        <f t="shared" si="6"/>
        <v>116366.49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0"/>
      <c r="B37" s="11" t="str">
        <f>CONCATENATE("     ","Advertising/Promo                                 ")</f>
        <v xml:space="preserve">     Advertising/Promo                                 </v>
      </c>
      <c r="C37" s="11"/>
      <c r="D37" s="2">
        <f>SUM(OSRRefD22_2x_0)</f>
        <v>696.78</v>
      </c>
      <c r="E37" s="2"/>
      <c r="F37" s="5">
        <f t="shared" si="0"/>
        <v>9.3999025986728046E-2</v>
      </c>
      <c r="G37" s="2"/>
      <c r="H37" s="2">
        <f>SUM(OSRRefH22_2x_0)</f>
        <v>0</v>
      </c>
      <c r="I37" s="2"/>
      <c r="J37" s="5">
        <f t="shared" si="1"/>
        <v>0</v>
      </c>
      <c r="K37" s="2"/>
      <c r="L37" s="2">
        <f t="shared" si="2"/>
        <v>696.78</v>
      </c>
      <c r="M37" s="2"/>
      <c r="N37" s="5">
        <f t="shared" si="3"/>
        <v>0</v>
      </c>
      <c r="O37" s="11"/>
      <c r="P37" s="2">
        <f>SUM(OSRRefP22_2x_0)</f>
        <v>1009.63</v>
      </c>
      <c r="Q37" s="2"/>
      <c r="R37" s="5">
        <f t="shared" si="4"/>
        <v>1.4826065869360514E-3</v>
      </c>
      <c r="S37" s="2"/>
      <c r="T37" s="2">
        <f>SUM(OSRRefT22_2x_0)</f>
        <v>0</v>
      </c>
      <c r="U37" s="2"/>
      <c r="V37" s="5">
        <f t="shared" si="5"/>
        <v>0</v>
      </c>
      <c r="W37" s="2"/>
      <c r="X37" s="2">
        <f t="shared" si="6"/>
        <v>1009.63</v>
      </c>
      <c r="Y37" s="2"/>
      <c r="Z37" s="5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","6362"," - ","ADVERTISING EXPENSE")</f>
        <v xml:space="preserve">          6362 - ADVERTISING EXPENSE</v>
      </c>
      <c r="C38" s="9"/>
      <c r="D38" s="6">
        <v>696.78</v>
      </c>
      <c r="E38" s="3"/>
      <c r="F38" s="7">
        <f t="shared" si="0"/>
        <v>9.3999025986728046E-2</v>
      </c>
      <c r="G38" s="3"/>
      <c r="H38" s="6"/>
      <c r="I38" s="3"/>
      <c r="J38" s="7">
        <f t="shared" si="1"/>
        <v>0</v>
      </c>
      <c r="K38" s="3"/>
      <c r="L38" s="6">
        <f t="shared" si="2"/>
        <v>696.78</v>
      </c>
      <c r="M38" s="3"/>
      <c r="N38" s="7">
        <f t="shared" si="3"/>
        <v>0</v>
      </c>
      <c r="O38" s="9"/>
      <c r="P38" s="6">
        <v>1009.63</v>
      </c>
      <c r="Q38" s="3"/>
      <c r="R38" s="7">
        <f t="shared" si="4"/>
        <v>1.4826065869360514E-3</v>
      </c>
      <c r="S38" s="3"/>
      <c r="T38" s="6"/>
      <c r="U38" s="3"/>
      <c r="V38" s="7">
        <f t="shared" si="5"/>
        <v>0</v>
      </c>
      <c r="W38" s="3"/>
      <c r="X38" s="6">
        <f t="shared" si="6"/>
        <v>1009.63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0"/>
      <c r="B39" s="11" t="str">
        <f>CONCATENATE("     ","Bad Debts/Over/Short                              ")</f>
        <v xml:space="preserve">     Bad Debts/Over/Short                              </v>
      </c>
      <c r="C39" s="11"/>
      <c r="D39" s="2">
        <f>SUM(OSRRefD22_3x_0)</f>
        <v>-12.03</v>
      </c>
      <c r="E39" s="2"/>
      <c r="F39" s="5">
        <f t="shared" si="0"/>
        <v>-1.6229057702866593E-3</v>
      </c>
      <c r="G39" s="2"/>
      <c r="H39" s="2">
        <f>SUM(OSRRefH22_3x_0)</f>
        <v>0</v>
      </c>
      <c r="I39" s="2"/>
      <c r="J39" s="5">
        <f t="shared" si="1"/>
        <v>0</v>
      </c>
      <c r="K39" s="2"/>
      <c r="L39" s="2">
        <f t="shared" si="2"/>
        <v>-12.03</v>
      </c>
      <c r="M39" s="2"/>
      <c r="N39" s="5">
        <f t="shared" si="3"/>
        <v>0</v>
      </c>
      <c r="O39" s="11"/>
      <c r="P39" s="2">
        <f>SUM(OSRRefP22_3x_0)</f>
        <v>-22.2</v>
      </c>
      <c r="Q39" s="2"/>
      <c r="R39" s="5">
        <f t="shared" si="4"/>
        <v>-3.2599928914533385E-5</v>
      </c>
      <c r="S39" s="2"/>
      <c r="T39" s="2">
        <f>SUM(OSRRefT22_3x_0)</f>
        <v>0</v>
      </c>
      <c r="U39" s="2"/>
      <c r="V39" s="5">
        <f t="shared" si="5"/>
        <v>0</v>
      </c>
      <c r="W39" s="2"/>
      <c r="X39" s="2">
        <f t="shared" si="6"/>
        <v>-22.2</v>
      </c>
      <c r="Y39" s="2"/>
      <c r="Z39" s="5">
        <f t="shared" si="7"/>
        <v>0</v>
      </c>
    </row>
    <row r="40" spans="1:26" s="69" customFormat="1" ht="15" hidden="1" customHeight="1" outlineLevel="2" x14ac:dyDescent="0.3">
      <c r="A40" s="21"/>
      <c r="B40" s="9" t="str">
        <f>CONCATENATE("          ","6272"," - ","CASH (OVER/SHORT)")</f>
        <v xml:space="preserve">          6272 - CASH (OVER/SHORT)</v>
      </c>
      <c r="C40" s="9"/>
      <c r="D40" s="6">
        <v>-12.03</v>
      </c>
      <c r="E40" s="3"/>
      <c r="F40" s="7">
        <f t="shared" si="0"/>
        <v>-1.6229057702866593E-3</v>
      </c>
      <c r="G40" s="3"/>
      <c r="H40" s="6"/>
      <c r="I40" s="3"/>
      <c r="J40" s="7">
        <f t="shared" si="1"/>
        <v>0</v>
      </c>
      <c r="K40" s="3"/>
      <c r="L40" s="6">
        <f t="shared" si="2"/>
        <v>-12.03</v>
      </c>
      <c r="M40" s="3"/>
      <c r="N40" s="7">
        <f t="shared" si="3"/>
        <v>0</v>
      </c>
      <c r="O40" s="9"/>
      <c r="P40" s="6">
        <v>-22.2</v>
      </c>
      <c r="Q40" s="3"/>
      <c r="R40" s="7">
        <f t="shared" si="4"/>
        <v>-3.2599928914533385E-5</v>
      </c>
      <c r="S40" s="3"/>
      <c r="T40" s="6"/>
      <c r="U40" s="3"/>
      <c r="V40" s="7">
        <f t="shared" si="5"/>
        <v>0</v>
      </c>
      <c r="W40" s="3"/>
      <c r="X40" s="6">
        <f t="shared" si="6"/>
        <v>-22.2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0"/>
      <c r="B41" s="11" t="str">
        <f>CONCATENATE("     ","Bank/card Fees                                    ")</f>
        <v xml:space="preserve">     Bank/card Fees                                    </v>
      </c>
      <c r="C41" s="11"/>
      <c r="D41" s="2">
        <f>SUM(OSRRefD22_4x_0)</f>
        <v>483.95</v>
      </c>
      <c r="E41" s="2"/>
      <c r="F41" s="5">
        <f t="shared" si="0"/>
        <v>6.528721924607056E-2</v>
      </c>
      <c r="G41" s="2"/>
      <c r="H41" s="2">
        <f>SUM(OSRRefH22_4x_0)</f>
        <v>0</v>
      </c>
      <c r="I41" s="2"/>
      <c r="J41" s="5">
        <f t="shared" si="1"/>
        <v>0</v>
      </c>
      <c r="K41" s="2"/>
      <c r="L41" s="2">
        <f t="shared" si="2"/>
        <v>483.95</v>
      </c>
      <c r="M41" s="2"/>
      <c r="N41" s="5">
        <f t="shared" si="3"/>
        <v>0</v>
      </c>
      <c r="O41" s="11"/>
      <c r="P41" s="2">
        <f>SUM(OSRRefP22_4x_0)</f>
        <v>23852.34</v>
      </c>
      <c r="Q41" s="2"/>
      <c r="R41" s="5">
        <f t="shared" si="4"/>
        <v>3.5026332812850509E-2</v>
      </c>
      <c r="S41" s="2"/>
      <c r="T41" s="2">
        <f>SUM(OSRRefT22_4x_0)</f>
        <v>0</v>
      </c>
      <c r="U41" s="2"/>
      <c r="V41" s="5">
        <f t="shared" si="5"/>
        <v>0</v>
      </c>
      <c r="W41" s="2"/>
      <c r="X41" s="2">
        <f t="shared" si="6"/>
        <v>23852.34</v>
      </c>
      <c r="Y41" s="2"/>
      <c r="Z41" s="5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","6381"," - ","BANK/CREDIT CARD FEES")</f>
        <v xml:space="preserve">          6381 - BANK/CREDIT CARD FEES</v>
      </c>
      <c r="C42" s="9"/>
      <c r="D42" s="6">
        <v>483.95</v>
      </c>
      <c r="E42" s="3"/>
      <c r="F42" s="7">
        <f t="shared" si="0"/>
        <v>6.528721924607056E-2</v>
      </c>
      <c r="G42" s="3"/>
      <c r="H42" s="6"/>
      <c r="I42" s="3"/>
      <c r="J42" s="7">
        <f t="shared" si="1"/>
        <v>0</v>
      </c>
      <c r="K42" s="3"/>
      <c r="L42" s="6">
        <f t="shared" si="2"/>
        <v>483.95</v>
      </c>
      <c r="M42" s="3"/>
      <c r="N42" s="7">
        <f t="shared" si="3"/>
        <v>0</v>
      </c>
      <c r="O42" s="9"/>
      <c r="P42" s="6">
        <v>23852.34</v>
      </c>
      <c r="Q42" s="3"/>
      <c r="R42" s="7">
        <f t="shared" si="4"/>
        <v>3.5026332812850509E-2</v>
      </c>
      <c r="S42" s="3"/>
      <c r="T42" s="6"/>
      <c r="U42" s="3"/>
      <c r="V42" s="7">
        <f t="shared" si="5"/>
        <v>0</v>
      </c>
      <c r="W42" s="3"/>
      <c r="X42" s="6">
        <f t="shared" si="6"/>
        <v>23852.34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0"/>
      <c r="B43" s="11" t="str">
        <f>CONCATENATE("     ","Depreciation                                      ")</f>
        <v xml:space="preserve">     Depreciation                                      </v>
      </c>
      <c r="C43" s="11"/>
      <c r="D43" s="2">
        <f>SUM(OSRRefD22_5x_0)</f>
        <v>5231.49</v>
      </c>
      <c r="E43" s="2"/>
      <c r="F43" s="5">
        <f t="shared" si="0"/>
        <v>0.70575355845361221</v>
      </c>
      <c r="G43" s="2"/>
      <c r="H43" s="2">
        <f>SUM(OSRRefH22_5x_0)</f>
        <v>4002.66</v>
      </c>
      <c r="I43" s="2"/>
      <c r="J43" s="5">
        <f t="shared" si="1"/>
        <v>0</v>
      </c>
      <c r="K43" s="2"/>
      <c r="L43" s="2">
        <f t="shared" si="2"/>
        <v>1228.83</v>
      </c>
      <c r="M43" s="2"/>
      <c r="N43" s="5">
        <f t="shared" si="3"/>
        <v>0.30700334277705327</v>
      </c>
      <c r="O43" s="11"/>
      <c r="P43" s="2">
        <f>SUM(OSRRefP22_5x_0)</f>
        <v>57246.559999999998</v>
      </c>
      <c r="Q43" s="2"/>
      <c r="R43" s="5">
        <f t="shared" si="4"/>
        <v>8.4064584982052715E-2</v>
      </c>
      <c r="S43" s="2"/>
      <c r="T43" s="2">
        <f>SUM(OSRRefT22_5x_0)</f>
        <v>61856.89</v>
      </c>
      <c r="U43" s="2"/>
      <c r="V43" s="5">
        <f t="shared" si="5"/>
        <v>0</v>
      </c>
      <c r="W43" s="2"/>
      <c r="X43" s="2">
        <f t="shared" si="6"/>
        <v>-4610.3300000000017</v>
      </c>
      <c r="Y43" s="2"/>
      <c r="Z43" s="5">
        <f t="shared" si="7"/>
        <v>-7.453219843415991E-2</v>
      </c>
    </row>
    <row r="44" spans="1:26" s="69" customFormat="1" ht="15" hidden="1" customHeight="1" outlineLevel="2" x14ac:dyDescent="0.3">
      <c r="A44" s="21"/>
      <c r="B44" s="9" t="str">
        <f>CONCATENATE("          ","6321"," - ","BUILDING DEPRECIATION")</f>
        <v xml:space="preserve">          6321 - BUILDING DEPRECIATION</v>
      </c>
      <c r="C44" s="9"/>
      <c r="D44" s="6">
        <v>4626.5</v>
      </c>
      <c r="E44" s="3"/>
      <c r="F44" s="7">
        <f t="shared" si="0"/>
        <v>0.62413745188954528</v>
      </c>
      <c r="G44" s="3"/>
      <c r="H44" s="6">
        <v>4626.5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55518</v>
      </c>
      <c r="Q44" s="3"/>
      <c r="R44" s="7">
        <f t="shared" si="4"/>
        <v>8.1526254661129033E-2</v>
      </c>
      <c r="S44" s="3"/>
      <c r="T44" s="6">
        <v>55518</v>
      </c>
      <c r="U44" s="3"/>
      <c r="V44" s="7">
        <f t="shared" si="5"/>
        <v>0</v>
      </c>
      <c r="W44" s="3"/>
      <c r="X44" s="6">
        <f t="shared" si="6"/>
        <v>0</v>
      </c>
      <c r="Y44" s="3"/>
      <c r="Z44" s="7">
        <f t="shared" si="7"/>
        <v>0</v>
      </c>
    </row>
    <row r="45" spans="1:26" s="69" customFormat="1" ht="15" hidden="1" customHeight="1" outlineLevel="2" x14ac:dyDescent="0.3">
      <c r="A45" s="21"/>
      <c r="B45" s="9" t="str">
        <f>CONCATENATE("          ","6322"," - ","EQUIPMENT DEPRECIATION EXPENSE")</f>
        <v xml:space="preserve">          6322 - EQUIPMENT DEPRECIATION EXPENSE</v>
      </c>
      <c r="C45" s="9"/>
      <c r="D45" s="6">
        <v>604.99</v>
      </c>
      <c r="E45" s="3"/>
      <c r="F45" s="7">
        <f t="shared" si="0"/>
        <v>8.1616106564067009E-2</v>
      </c>
      <c r="G45" s="3"/>
      <c r="H45" s="6">
        <v>-623.84</v>
      </c>
      <c r="I45" s="3"/>
      <c r="J45" s="7">
        <f t="shared" si="1"/>
        <v>0</v>
      </c>
      <c r="K45" s="3"/>
      <c r="L45" s="6">
        <f t="shared" si="2"/>
        <v>1228.83</v>
      </c>
      <c r="M45" s="3"/>
      <c r="N45" s="7">
        <f t="shared" si="3"/>
        <v>-1.9697839189535775</v>
      </c>
      <c r="O45" s="9"/>
      <c r="P45" s="6">
        <v>1728.56</v>
      </c>
      <c r="Q45" s="3"/>
      <c r="R45" s="7">
        <f t="shared" si="4"/>
        <v>2.5383303209236857E-3</v>
      </c>
      <c r="S45" s="3"/>
      <c r="T45" s="6">
        <v>6338.89</v>
      </c>
      <c r="U45" s="3"/>
      <c r="V45" s="7">
        <f t="shared" si="5"/>
        <v>0</v>
      </c>
      <c r="W45" s="3"/>
      <c r="X45" s="6">
        <f t="shared" si="6"/>
        <v>-4610.33</v>
      </c>
      <c r="Y45" s="3"/>
      <c r="Z45" s="7">
        <f t="shared" si="7"/>
        <v>-0.72730872439812011</v>
      </c>
    </row>
    <row r="46" spans="1:26" s="68" customFormat="1" ht="15" customHeight="1" outlineLevel="1" collapsed="1" x14ac:dyDescent="0.3">
      <c r="A46" s="20"/>
      <c r="B46" s="11" t="str">
        <f>CONCATENATE("     ","Employees' Appreciation                           ")</f>
        <v xml:space="preserve">     Employees' Appreciation                           </v>
      </c>
      <c r="C46" s="11"/>
      <c r="D46" s="2">
        <f>SUM(OSRRefD22_6x_0)</f>
        <v>0</v>
      </c>
      <c r="E46" s="2"/>
      <c r="F46" s="5">
        <f t="shared" si="0"/>
        <v>0</v>
      </c>
      <c r="G46" s="2"/>
      <c r="H46" s="2">
        <f>SUM(OSRRefH22_6x_0)</f>
        <v>0</v>
      </c>
      <c r="I46" s="2"/>
      <c r="J46" s="5">
        <f t="shared" si="1"/>
        <v>0</v>
      </c>
      <c r="K46" s="2"/>
      <c r="L46" s="2">
        <f t="shared" si="2"/>
        <v>0</v>
      </c>
      <c r="M46" s="2"/>
      <c r="N46" s="5">
        <f t="shared" si="3"/>
        <v>0</v>
      </c>
      <c r="O46" s="11"/>
      <c r="P46" s="2">
        <f>SUM(OSRRefP22_6x_0)</f>
        <v>246.92</v>
      </c>
      <c r="Q46" s="2"/>
      <c r="R46" s="5">
        <f t="shared" si="4"/>
        <v>3.6259344358453079E-4</v>
      </c>
      <c r="S46" s="2"/>
      <c r="T46" s="2">
        <f>SUM(OSRRefT22_6x_0)</f>
        <v>0</v>
      </c>
      <c r="U46" s="2"/>
      <c r="V46" s="5">
        <f t="shared" si="5"/>
        <v>0</v>
      </c>
      <c r="W46" s="2"/>
      <c r="X46" s="2">
        <f t="shared" si="6"/>
        <v>246.92</v>
      </c>
      <c r="Y46" s="2"/>
      <c r="Z46" s="5">
        <f t="shared" si="7"/>
        <v>0</v>
      </c>
    </row>
    <row r="47" spans="1:26" s="69" customFormat="1" ht="15" hidden="1" customHeight="1" outlineLevel="2" x14ac:dyDescent="0.3">
      <c r="A47" s="21"/>
      <c r="B47" s="9" t="str">
        <f>CONCATENATE("          ","6277"," - ","EMPLOYEE APPRECIATION")</f>
        <v xml:space="preserve">          6277 - EMPLOYEE APPRECIATION</v>
      </c>
      <c r="C47" s="9"/>
      <c r="D47" s="6"/>
      <c r="E47" s="3"/>
      <c r="F47" s="7">
        <f t="shared" si="0"/>
        <v>0</v>
      </c>
      <c r="G47" s="3"/>
      <c r="H47" s="6"/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>
        <v>246.92</v>
      </c>
      <c r="Q47" s="3"/>
      <c r="R47" s="7">
        <f t="shared" si="4"/>
        <v>3.6259344358453079E-4</v>
      </c>
      <c r="S47" s="3"/>
      <c r="T47" s="6"/>
      <c r="U47" s="3"/>
      <c r="V47" s="7">
        <f t="shared" si="5"/>
        <v>0</v>
      </c>
      <c r="W47" s="3"/>
      <c r="X47" s="6">
        <f t="shared" si="6"/>
        <v>246.92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0"/>
      <c r="B48" s="11" t="str">
        <f>CONCATENATE("     ","Equipment Rental                                  ")</f>
        <v xml:space="preserve">     Equipment Rental                                  </v>
      </c>
      <c r="C48" s="11"/>
      <c r="D48" s="2">
        <f>SUM(OSRRefD22_7x_0)</f>
        <v>0</v>
      </c>
      <c r="E48" s="2"/>
      <c r="F48" s="5">
        <f t="shared" si="0"/>
        <v>0</v>
      </c>
      <c r="G48" s="2"/>
      <c r="H48" s="2">
        <f>SUM(OSRRefH22_7x_0)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SUM(OSRRefP22_7x_0)</f>
        <v>0</v>
      </c>
      <c r="Q48" s="2"/>
      <c r="R48" s="5">
        <f t="shared" si="4"/>
        <v>0</v>
      </c>
      <c r="S48" s="2"/>
      <c r="T48" s="2">
        <f>SUM(OSRRefT22_7x_0)</f>
        <v>96.3</v>
      </c>
      <c r="U48" s="2"/>
      <c r="V48" s="5">
        <f t="shared" si="5"/>
        <v>0</v>
      </c>
      <c r="W48" s="2"/>
      <c r="X48" s="2">
        <f t="shared" si="6"/>
        <v>-96.3</v>
      </c>
      <c r="Y48" s="2"/>
      <c r="Z48" s="5">
        <f t="shared" si="7"/>
        <v>-1</v>
      </c>
    </row>
    <row r="49" spans="1:26" s="69" customFormat="1" ht="15" hidden="1" customHeight="1" outlineLevel="2" x14ac:dyDescent="0.3">
      <c r="A49" s="21"/>
      <c r="B49" s="9" t="str">
        <f>CONCATENATE("          ","6351"," - ","EQUIPMENT RENTAL")</f>
        <v xml:space="preserve">          6351 - EQUIPMENT RENTAL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/>
      <c r="Q49" s="3"/>
      <c r="R49" s="7">
        <f t="shared" si="4"/>
        <v>0</v>
      </c>
      <c r="S49" s="3"/>
      <c r="T49" s="6">
        <v>96.3</v>
      </c>
      <c r="U49" s="3"/>
      <c r="V49" s="7">
        <f t="shared" si="5"/>
        <v>0</v>
      </c>
      <c r="W49" s="3"/>
      <c r="X49" s="6">
        <f t="shared" si="6"/>
        <v>-96.3</v>
      </c>
      <c r="Y49" s="3"/>
      <c r="Z49" s="7">
        <f t="shared" si="7"/>
        <v>-1</v>
      </c>
    </row>
    <row r="50" spans="1:26" s="68" customFormat="1" ht="15" customHeight="1" outlineLevel="1" collapsed="1" x14ac:dyDescent="0.3">
      <c r="A50" s="20"/>
      <c r="B50" s="11" t="str">
        <f>CONCATENATE("     ","General                                           ")</f>
        <v xml:space="preserve">     General                                           </v>
      </c>
      <c r="C50" s="11"/>
      <c r="D50" s="2">
        <f>SUM(OSRRefD22_8x_0)</f>
        <v>99.95</v>
      </c>
      <c r="E50" s="2"/>
      <c r="F50" s="5">
        <f t="shared" si="0"/>
        <v>1.3483743286795646E-2</v>
      </c>
      <c r="G50" s="2"/>
      <c r="H50" s="2">
        <f>SUM(OSRRefH22_8x_0)</f>
        <v>0</v>
      </c>
      <c r="I50" s="2"/>
      <c r="J50" s="5">
        <f t="shared" si="1"/>
        <v>0</v>
      </c>
      <c r="K50" s="2"/>
      <c r="L50" s="2">
        <f t="shared" si="2"/>
        <v>99.95</v>
      </c>
      <c r="M50" s="2"/>
      <c r="N50" s="5">
        <f t="shared" si="3"/>
        <v>0</v>
      </c>
      <c r="O50" s="11"/>
      <c r="P50" s="2">
        <f>SUM(OSRRefP22_8x_0)</f>
        <v>1443.2</v>
      </c>
      <c r="Q50" s="2"/>
      <c r="R50" s="5">
        <f t="shared" si="4"/>
        <v>2.1192890724979541E-3</v>
      </c>
      <c r="S50" s="2"/>
      <c r="T50" s="2">
        <f>SUM(OSRRefT22_8x_0)</f>
        <v>0</v>
      </c>
      <c r="U50" s="2"/>
      <c r="V50" s="5">
        <f t="shared" si="5"/>
        <v>0</v>
      </c>
      <c r="W50" s="2"/>
      <c r="X50" s="2">
        <f t="shared" si="6"/>
        <v>1443.2</v>
      </c>
      <c r="Y50" s="2"/>
      <c r="Z50" s="5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","6279"," - ","GENERAL EXPENSE")</f>
        <v xml:space="preserve">          6279 - GENERAL EXPENSE</v>
      </c>
      <c r="C51" s="9"/>
      <c r="D51" s="6">
        <v>99.95</v>
      </c>
      <c r="E51" s="3"/>
      <c r="F51" s="7">
        <f t="shared" si="0"/>
        <v>1.3483743286795646E-2</v>
      </c>
      <c r="G51" s="3"/>
      <c r="H51" s="6"/>
      <c r="I51" s="3"/>
      <c r="J51" s="7">
        <f t="shared" si="1"/>
        <v>0</v>
      </c>
      <c r="K51" s="3"/>
      <c r="L51" s="6">
        <f t="shared" si="2"/>
        <v>99.95</v>
      </c>
      <c r="M51" s="3"/>
      <c r="N51" s="7">
        <f t="shared" si="3"/>
        <v>0</v>
      </c>
      <c r="O51" s="9"/>
      <c r="P51" s="6">
        <v>1443.2</v>
      </c>
      <c r="Q51" s="3"/>
      <c r="R51" s="7">
        <f t="shared" si="4"/>
        <v>2.1192890724979541E-3</v>
      </c>
      <c r="S51" s="3"/>
      <c r="T51" s="6">
        <v>0</v>
      </c>
      <c r="U51" s="3"/>
      <c r="V51" s="7">
        <f t="shared" si="5"/>
        <v>0</v>
      </c>
      <c r="W51" s="3"/>
      <c r="X51" s="6">
        <f t="shared" si="6"/>
        <v>1443.2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0"/>
      <c r="B52" s="11" t="str">
        <f>CONCATENATE("     ","Rent                                              ")</f>
        <v xml:space="preserve">     Rent                                              </v>
      </c>
      <c r="C52" s="11"/>
      <c r="D52" s="2">
        <f>SUM(OSRRefD22_9x_0)</f>
        <v>1850</v>
      </c>
      <c r="E52" s="2"/>
      <c r="F52" s="5">
        <f t="shared" si="0"/>
        <v>0.24957403782463175</v>
      </c>
      <c r="G52" s="2"/>
      <c r="H52" s="2">
        <f>SUM(OSRRefH22_9x_0)</f>
        <v>7400</v>
      </c>
      <c r="I52" s="2"/>
      <c r="J52" s="5">
        <f t="shared" si="1"/>
        <v>0</v>
      </c>
      <c r="K52" s="2"/>
      <c r="L52" s="2">
        <f t="shared" si="2"/>
        <v>-5550</v>
      </c>
      <c r="M52" s="2"/>
      <c r="N52" s="5">
        <f t="shared" si="3"/>
        <v>-0.75</v>
      </c>
      <c r="O52" s="11"/>
      <c r="P52" s="2">
        <f>SUM(OSRRefP22_9x_0)</f>
        <v>22200</v>
      </c>
      <c r="Q52" s="2"/>
      <c r="R52" s="5">
        <f t="shared" si="4"/>
        <v>3.2599928914533387E-2</v>
      </c>
      <c r="S52" s="2"/>
      <c r="T52" s="2">
        <f>SUM(OSRRefT22_9x_0)</f>
        <v>22200</v>
      </c>
      <c r="U52" s="2"/>
      <c r="V52" s="5">
        <f t="shared" si="5"/>
        <v>0</v>
      </c>
      <c r="W52" s="2"/>
      <c r="X52" s="2">
        <f t="shared" si="6"/>
        <v>0</v>
      </c>
      <c r="Y52" s="2"/>
      <c r="Z52" s="5">
        <f t="shared" si="7"/>
        <v>0</v>
      </c>
    </row>
    <row r="53" spans="1:26" s="69" customFormat="1" ht="15" hidden="1" customHeight="1" outlineLevel="2" x14ac:dyDescent="0.3">
      <c r="A53" s="21"/>
      <c r="B53" s="9" t="str">
        <f>CONCATENATE("          ","6273"," - ","RENT")</f>
        <v xml:space="preserve">          6273 - RENT</v>
      </c>
      <c r="C53" s="9"/>
      <c r="D53" s="6">
        <v>1850</v>
      </c>
      <c r="E53" s="3"/>
      <c r="F53" s="7">
        <f t="shared" si="0"/>
        <v>0.24957403782463175</v>
      </c>
      <c r="G53" s="3"/>
      <c r="H53" s="6">
        <v>7400</v>
      </c>
      <c r="I53" s="3"/>
      <c r="J53" s="7">
        <f t="shared" si="1"/>
        <v>0</v>
      </c>
      <c r="K53" s="3"/>
      <c r="L53" s="6">
        <f t="shared" si="2"/>
        <v>-5550</v>
      </c>
      <c r="M53" s="3"/>
      <c r="N53" s="7">
        <f t="shared" si="3"/>
        <v>-0.75</v>
      </c>
      <c r="O53" s="9"/>
      <c r="P53" s="6">
        <v>22200</v>
      </c>
      <c r="Q53" s="3"/>
      <c r="R53" s="7">
        <f t="shared" si="4"/>
        <v>3.2599928914533387E-2</v>
      </c>
      <c r="S53" s="3"/>
      <c r="T53" s="6">
        <v>22200</v>
      </c>
      <c r="U53" s="3"/>
      <c r="V53" s="7">
        <f t="shared" si="5"/>
        <v>0</v>
      </c>
      <c r="W53" s="3"/>
      <c r="X53" s="6">
        <f t="shared" si="6"/>
        <v>0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0"/>
      <c r="B54" s="11" t="str">
        <f>CONCATENATE("     ","Repair and Maintenance                            ")</f>
        <v xml:space="preserve">     Repair and Maintenance                            </v>
      </c>
      <c r="C54" s="11"/>
      <c r="D54" s="2">
        <f>SUM(OSRRefD22_10x_0)</f>
        <v>190.41</v>
      </c>
      <c r="E54" s="2"/>
      <c r="F54" s="5">
        <f t="shared" ref="F54:F79" si="8">IF(D$12=0,0,D54/D$12)</f>
        <v>2.5687239211993583E-2</v>
      </c>
      <c r="G54" s="2"/>
      <c r="H54" s="2">
        <f>SUM(OSRRefH22_10x_0)</f>
        <v>-4667.8600000000006</v>
      </c>
      <c r="I54" s="2"/>
      <c r="J54" s="5">
        <f t="shared" ref="J54:J79" si="9">IF(H$12=0,0,H54/H$12)</f>
        <v>0</v>
      </c>
      <c r="K54" s="2"/>
      <c r="L54" s="2">
        <f t="shared" ref="L54:L79" si="10">+D54-H54</f>
        <v>4858.2700000000004</v>
      </c>
      <c r="M54" s="2"/>
      <c r="N54" s="5">
        <f t="shared" ref="N54:N79" si="11">IF(H54=0,0,L54/H54)</f>
        <v>-1.0407917118336882</v>
      </c>
      <c r="O54" s="11"/>
      <c r="P54" s="2">
        <f>SUM(OSRRefP22_10x_0)</f>
        <v>8754.1299999999992</v>
      </c>
      <c r="Q54" s="2"/>
      <c r="R54" s="5">
        <f t="shared" ref="R54:R79" si="12">IF(P$12=0,0,P54/P$12)</f>
        <v>1.2855135842729013E-2</v>
      </c>
      <c r="S54" s="2"/>
      <c r="T54" s="2">
        <f>SUM(OSRRefT22_10x_0)</f>
        <v>1719.79</v>
      </c>
      <c r="U54" s="2"/>
      <c r="V54" s="5">
        <f t="shared" ref="V54:V79" si="13">IF(T$12=0,0,T54/T$12)</f>
        <v>0</v>
      </c>
      <c r="W54" s="2"/>
      <c r="X54" s="2">
        <f t="shared" ref="X54:X79" si="14">+P54-T54</f>
        <v>7034.3399999999992</v>
      </c>
      <c r="Y54" s="2"/>
      <c r="Z54" s="5">
        <f t="shared" ref="Z54:Z79" si="15">IF(T54=0,0,X54/T54)</f>
        <v>4.090231946923752</v>
      </c>
    </row>
    <row r="55" spans="1:26" s="69" customFormat="1" ht="15" hidden="1" customHeight="1" outlineLevel="2" x14ac:dyDescent="0.3">
      <c r="A55" s="21"/>
      <c r="B55" s="9" t="str">
        <f>CONCATENATE("          ","6373"," - ","MAINTENANCE CONTRACTS")</f>
        <v xml:space="preserve">          6373 - MAINTENANCE CONTRACTS</v>
      </c>
      <c r="C55" s="9"/>
      <c r="D55" s="6"/>
      <c r="E55" s="3"/>
      <c r="F55" s="7">
        <f t="shared" si="8"/>
        <v>0</v>
      </c>
      <c r="G55" s="3"/>
      <c r="H55" s="6">
        <v>-5478.14</v>
      </c>
      <c r="I55" s="3"/>
      <c r="J55" s="7">
        <f t="shared" si="9"/>
        <v>0</v>
      </c>
      <c r="K55" s="3"/>
      <c r="L55" s="6">
        <f t="shared" si="10"/>
        <v>5478.14</v>
      </c>
      <c r="M55" s="3"/>
      <c r="N55" s="7">
        <f t="shared" si="11"/>
        <v>-1</v>
      </c>
      <c r="O55" s="9"/>
      <c r="P55" s="6">
        <v>221.64</v>
      </c>
      <c r="Q55" s="3"/>
      <c r="R55" s="7">
        <f t="shared" si="12"/>
        <v>3.2547064164942246E-4</v>
      </c>
      <c r="S55" s="3"/>
      <c r="T55" s="6">
        <v>367.51</v>
      </c>
      <c r="U55" s="3"/>
      <c r="V55" s="7">
        <f t="shared" si="13"/>
        <v>0</v>
      </c>
      <c r="W55" s="3"/>
      <c r="X55" s="6">
        <f t="shared" si="14"/>
        <v>-145.87</v>
      </c>
      <c r="Y55" s="3"/>
      <c r="Z55" s="7">
        <f t="shared" si="15"/>
        <v>-0.3969143696770156</v>
      </c>
    </row>
    <row r="56" spans="1:26" s="69" customFormat="1" ht="15" hidden="1" customHeight="1" outlineLevel="2" x14ac:dyDescent="0.3">
      <c r="A56" s="21"/>
      <c r="B56" s="9" t="str">
        <f>CONCATENATE("          ","6375"," - ","OUTSIDE REPAIRS &amp; MAINTENANCE")</f>
        <v xml:space="preserve">          6375 - OUTSIDE REPAIRS &amp; MAINTENANCE</v>
      </c>
      <c r="C56" s="9"/>
      <c r="D56" s="6">
        <v>190.41</v>
      </c>
      <c r="E56" s="3"/>
      <c r="F56" s="7">
        <f t="shared" si="8"/>
        <v>2.5687239211993583E-2</v>
      </c>
      <c r="G56" s="3"/>
      <c r="H56" s="6">
        <v>810.28</v>
      </c>
      <c r="I56" s="3"/>
      <c r="J56" s="7">
        <f t="shared" si="9"/>
        <v>0</v>
      </c>
      <c r="K56" s="3"/>
      <c r="L56" s="6">
        <f t="shared" si="10"/>
        <v>-619.87</v>
      </c>
      <c r="M56" s="3"/>
      <c r="N56" s="7">
        <f t="shared" si="11"/>
        <v>-0.76500715801945007</v>
      </c>
      <c r="O56" s="9"/>
      <c r="P56" s="6">
        <v>8532.49</v>
      </c>
      <c r="Q56" s="3"/>
      <c r="R56" s="7">
        <f t="shared" si="12"/>
        <v>1.2529665201079593E-2</v>
      </c>
      <c r="S56" s="3"/>
      <c r="T56" s="6">
        <v>1352.28</v>
      </c>
      <c r="U56" s="3"/>
      <c r="V56" s="7">
        <f t="shared" si="13"/>
        <v>0</v>
      </c>
      <c r="W56" s="3"/>
      <c r="X56" s="6">
        <f t="shared" si="14"/>
        <v>7180.21</v>
      </c>
      <c r="Y56" s="3"/>
      <c r="Z56" s="7">
        <f t="shared" si="15"/>
        <v>5.30970656964534</v>
      </c>
    </row>
    <row r="57" spans="1:26" s="68" customFormat="1" ht="15" customHeight="1" outlineLevel="1" collapsed="1" x14ac:dyDescent="0.3">
      <c r="A57" s="20"/>
      <c r="B57" s="11" t="str">
        <f>CONCATENATE("     ","Services                                          ")</f>
        <v xml:space="preserve">     Services                                          </v>
      </c>
      <c r="C57" s="11"/>
      <c r="D57" s="2">
        <f>SUM(OSRRefD22_11x_0)</f>
        <v>27998.76</v>
      </c>
      <c r="E57" s="2"/>
      <c r="F57" s="5">
        <f t="shared" si="8"/>
        <v>3.7771695066393436</v>
      </c>
      <c r="G57" s="2"/>
      <c r="H57" s="2">
        <f>SUM(OSRRefH22_11x_0)</f>
        <v>-77</v>
      </c>
      <c r="I57" s="2"/>
      <c r="J57" s="5">
        <f t="shared" si="9"/>
        <v>0</v>
      </c>
      <c r="K57" s="2"/>
      <c r="L57" s="2">
        <f t="shared" si="10"/>
        <v>28075.759999999998</v>
      </c>
      <c r="M57" s="2"/>
      <c r="N57" s="5">
        <f t="shared" si="11"/>
        <v>-364.62025974025971</v>
      </c>
      <c r="O57" s="11"/>
      <c r="P57" s="2">
        <f>SUM(OSRRefP22_11x_0)</f>
        <v>35573.46</v>
      </c>
      <c r="Q57" s="2"/>
      <c r="R57" s="5">
        <f t="shared" si="12"/>
        <v>5.2238390416396253E-2</v>
      </c>
      <c r="S57" s="2"/>
      <c r="T57" s="2">
        <f>SUM(OSRRefT22_11x_0)</f>
        <v>615</v>
      </c>
      <c r="U57" s="2"/>
      <c r="V57" s="5">
        <f t="shared" si="13"/>
        <v>0</v>
      </c>
      <c r="W57" s="2"/>
      <c r="X57" s="2">
        <f t="shared" si="14"/>
        <v>34958.46</v>
      </c>
      <c r="Y57" s="2"/>
      <c r="Z57" s="5">
        <f t="shared" si="15"/>
        <v>56.843024390243905</v>
      </c>
    </row>
    <row r="58" spans="1:26" s="69" customFormat="1" ht="15" hidden="1" customHeight="1" outlineLevel="2" x14ac:dyDescent="0.3">
      <c r="A58" s="21"/>
      <c r="B58" s="9" t="str">
        <f>CONCATENATE("          ","6282"," - ","JANITORIAL/EXTERMINATOR EXPENS")</f>
        <v xml:space="preserve">          6282 - JANITORIAL/EXTERMINATOR EXPENS</v>
      </c>
      <c r="C58" s="9"/>
      <c r="D58" s="6">
        <v>95</v>
      </c>
      <c r="E58" s="3"/>
      <c r="F58" s="7">
        <f t="shared" si="8"/>
        <v>1.2815964104508117E-2</v>
      </c>
      <c r="G58" s="3"/>
      <c r="H58" s="6"/>
      <c r="I58" s="3"/>
      <c r="J58" s="7">
        <f t="shared" si="9"/>
        <v>0</v>
      </c>
      <c r="K58" s="3"/>
      <c r="L58" s="6">
        <f t="shared" si="10"/>
        <v>95</v>
      </c>
      <c r="M58" s="3"/>
      <c r="N58" s="7">
        <f t="shared" si="11"/>
        <v>0</v>
      </c>
      <c r="O58" s="9"/>
      <c r="P58" s="6">
        <v>926.86</v>
      </c>
      <c r="Q58" s="3"/>
      <c r="R58" s="7">
        <f t="shared" si="12"/>
        <v>1.361061716834433E-3</v>
      </c>
      <c r="S58" s="3"/>
      <c r="T58" s="6"/>
      <c r="U58" s="3"/>
      <c r="V58" s="7">
        <f t="shared" si="13"/>
        <v>0</v>
      </c>
      <c r="W58" s="3"/>
      <c r="X58" s="6">
        <f t="shared" si="14"/>
        <v>926.86</v>
      </c>
      <c r="Y58" s="3"/>
      <c r="Z58" s="7">
        <f t="shared" si="15"/>
        <v>0</v>
      </c>
    </row>
    <row r="59" spans="1:26" s="69" customFormat="1" ht="15" hidden="1" customHeight="1" outlineLevel="2" x14ac:dyDescent="0.3">
      <c r="A59" s="21"/>
      <c r="B59" s="9" t="str">
        <f>CONCATENATE("          ","6284"," - ","TRASH REMOVAL EXPENSE")</f>
        <v xml:space="preserve">          6284 - TRASH REMOVAL EXPENSE</v>
      </c>
      <c r="C59" s="9"/>
      <c r="D59" s="6"/>
      <c r="E59" s="3"/>
      <c r="F59" s="7">
        <f t="shared" si="8"/>
        <v>0</v>
      </c>
      <c r="G59" s="3"/>
      <c r="H59" s="6">
        <v>-77</v>
      </c>
      <c r="I59" s="3"/>
      <c r="J59" s="7">
        <f t="shared" si="9"/>
        <v>0</v>
      </c>
      <c r="K59" s="3"/>
      <c r="L59" s="6">
        <f t="shared" si="10"/>
        <v>77</v>
      </c>
      <c r="M59" s="3"/>
      <c r="N59" s="7">
        <f t="shared" si="11"/>
        <v>-1</v>
      </c>
      <c r="O59" s="9"/>
      <c r="P59" s="6"/>
      <c r="Q59" s="3"/>
      <c r="R59" s="7">
        <f t="shared" si="12"/>
        <v>0</v>
      </c>
      <c r="S59" s="3"/>
      <c r="T59" s="6">
        <v>615</v>
      </c>
      <c r="U59" s="3"/>
      <c r="V59" s="7">
        <f t="shared" si="13"/>
        <v>0</v>
      </c>
      <c r="W59" s="3"/>
      <c r="X59" s="6">
        <f t="shared" si="14"/>
        <v>-615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1"/>
      <c r="B60" s="9" t="str">
        <f>CONCATENATE("          ","6285"," - ","JANITORIAL SERVICES")</f>
        <v xml:space="preserve">          6285 - JANITORIAL SERVICES</v>
      </c>
      <c r="C60" s="9"/>
      <c r="D60" s="6">
        <v>26767.16</v>
      </c>
      <c r="E60" s="3"/>
      <c r="F60" s="7">
        <f t="shared" si="8"/>
        <v>3.6110206498907944</v>
      </c>
      <c r="G60" s="3"/>
      <c r="H60" s="6"/>
      <c r="I60" s="3"/>
      <c r="J60" s="7">
        <f t="shared" si="9"/>
        <v>0</v>
      </c>
      <c r="K60" s="3"/>
      <c r="L60" s="6">
        <f t="shared" si="10"/>
        <v>26767.16</v>
      </c>
      <c r="M60" s="3"/>
      <c r="N60" s="7">
        <f t="shared" si="11"/>
        <v>0</v>
      </c>
      <c r="O60" s="9"/>
      <c r="P60" s="6">
        <v>30427.16</v>
      </c>
      <c r="Q60" s="3"/>
      <c r="R60" s="7">
        <f t="shared" si="12"/>
        <v>4.4681227615816832E-2</v>
      </c>
      <c r="S60" s="3"/>
      <c r="T60" s="6"/>
      <c r="U60" s="3"/>
      <c r="V60" s="7">
        <f t="shared" si="13"/>
        <v>0</v>
      </c>
      <c r="W60" s="3"/>
      <c r="X60" s="6">
        <f t="shared" si="14"/>
        <v>30427.16</v>
      </c>
      <c r="Y60" s="3"/>
      <c r="Z60" s="7">
        <f t="shared" si="15"/>
        <v>0</v>
      </c>
    </row>
    <row r="61" spans="1:26" s="69" customFormat="1" ht="15" hidden="1" customHeight="1" outlineLevel="2" x14ac:dyDescent="0.3">
      <c r="A61" s="21"/>
      <c r="B61" s="9" t="str">
        <f>CONCATENATE("          ","6286"," - ","LAUNDRY EXPENSE")</f>
        <v xml:space="preserve">          6286 - LAUNDRY EXPENSE</v>
      </c>
      <c r="C61" s="9"/>
      <c r="D61" s="6">
        <v>1136.5999999999999</v>
      </c>
      <c r="E61" s="3"/>
      <c r="F61" s="7">
        <f t="shared" si="8"/>
        <v>0.15333289264404129</v>
      </c>
      <c r="G61" s="3"/>
      <c r="H61" s="6"/>
      <c r="I61" s="3"/>
      <c r="J61" s="7">
        <f t="shared" si="9"/>
        <v>0</v>
      </c>
      <c r="K61" s="3"/>
      <c r="L61" s="6">
        <f t="shared" si="10"/>
        <v>1136.5999999999999</v>
      </c>
      <c r="M61" s="3"/>
      <c r="N61" s="7">
        <f t="shared" si="11"/>
        <v>0</v>
      </c>
      <c r="O61" s="9"/>
      <c r="P61" s="6">
        <v>4219.4399999999996</v>
      </c>
      <c r="Q61" s="3"/>
      <c r="R61" s="7">
        <f t="shared" si="12"/>
        <v>6.1961010837449882E-3</v>
      </c>
      <c r="S61" s="3"/>
      <c r="T61" s="6"/>
      <c r="U61" s="3"/>
      <c r="V61" s="7">
        <f t="shared" si="13"/>
        <v>0</v>
      </c>
      <c r="W61" s="3"/>
      <c r="X61" s="6">
        <f t="shared" si="14"/>
        <v>4219.4399999999996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0"/>
      <c r="B62" s="11" t="str">
        <f>CONCATENATE("     ","Subscriptions &amp; Dues                              ")</f>
        <v xml:space="preserve">     Subscriptions &amp; Dues                              </v>
      </c>
      <c r="C62" s="11"/>
      <c r="D62" s="2">
        <f>SUM(OSRRefD22_12x_0)</f>
        <v>17.95</v>
      </c>
      <c r="E62" s="2"/>
      <c r="F62" s="5">
        <f t="shared" si="8"/>
        <v>2.4215426913254809E-3</v>
      </c>
      <c r="G62" s="2"/>
      <c r="H62" s="2">
        <f>SUM(OSRRefH22_12x_0)</f>
        <v>0</v>
      </c>
      <c r="I62" s="2"/>
      <c r="J62" s="5">
        <f t="shared" si="9"/>
        <v>0</v>
      </c>
      <c r="K62" s="2"/>
      <c r="L62" s="2">
        <f t="shared" si="10"/>
        <v>17.95</v>
      </c>
      <c r="M62" s="2"/>
      <c r="N62" s="5">
        <f t="shared" si="11"/>
        <v>0</v>
      </c>
      <c r="O62" s="11"/>
      <c r="P62" s="2">
        <f>SUM(OSRRefP22_12x_0)</f>
        <v>343.59</v>
      </c>
      <c r="Q62" s="2"/>
      <c r="R62" s="5">
        <f t="shared" si="12"/>
        <v>5.0454998088939301E-4</v>
      </c>
      <c r="S62" s="2"/>
      <c r="T62" s="2">
        <f>SUM(OSRRefT22_12x_0)</f>
        <v>0</v>
      </c>
      <c r="U62" s="2"/>
      <c r="V62" s="5">
        <f t="shared" si="13"/>
        <v>0</v>
      </c>
      <c r="W62" s="2"/>
      <c r="X62" s="2">
        <f t="shared" si="14"/>
        <v>343.59</v>
      </c>
      <c r="Y62" s="2"/>
      <c r="Z62" s="5">
        <f t="shared" si="15"/>
        <v>0</v>
      </c>
    </row>
    <row r="63" spans="1:26" s="69" customFormat="1" ht="15" hidden="1" customHeight="1" outlineLevel="2" x14ac:dyDescent="0.3">
      <c r="A63" s="21"/>
      <c r="B63" s="9" t="str">
        <f>CONCATENATE("          ","6275"," - ","SUBSCRIPTIONS")</f>
        <v xml:space="preserve">          6275 - SUBSCRIPTIONS</v>
      </c>
      <c r="C63" s="9"/>
      <c r="D63" s="6">
        <v>17.95</v>
      </c>
      <c r="E63" s="3"/>
      <c r="F63" s="7">
        <f t="shared" si="8"/>
        <v>2.4215426913254809E-3</v>
      </c>
      <c r="G63" s="3"/>
      <c r="H63" s="6"/>
      <c r="I63" s="3"/>
      <c r="J63" s="7">
        <f t="shared" si="9"/>
        <v>0</v>
      </c>
      <c r="K63" s="3"/>
      <c r="L63" s="6">
        <f t="shared" si="10"/>
        <v>17.95</v>
      </c>
      <c r="M63" s="3"/>
      <c r="N63" s="7">
        <f t="shared" si="11"/>
        <v>0</v>
      </c>
      <c r="O63" s="9"/>
      <c r="P63" s="6">
        <v>343.59</v>
      </c>
      <c r="Q63" s="3"/>
      <c r="R63" s="7">
        <f t="shared" si="12"/>
        <v>5.0454998088939301E-4</v>
      </c>
      <c r="S63" s="3"/>
      <c r="T63" s="6"/>
      <c r="U63" s="3"/>
      <c r="V63" s="7">
        <f t="shared" si="13"/>
        <v>0</v>
      </c>
      <c r="W63" s="3"/>
      <c r="X63" s="6">
        <f t="shared" si="14"/>
        <v>343.59</v>
      </c>
      <c r="Y63" s="3"/>
      <c r="Z63" s="7">
        <f t="shared" si="15"/>
        <v>0</v>
      </c>
    </row>
    <row r="64" spans="1:26" s="68" customFormat="1" ht="15" customHeight="1" outlineLevel="1" collapsed="1" x14ac:dyDescent="0.3">
      <c r="A64" s="20"/>
      <c r="B64" s="11" t="str">
        <f>CONCATENATE("     ","Supplies                                          ")</f>
        <v xml:space="preserve">     Supplies                                          </v>
      </c>
      <c r="C64" s="11"/>
      <c r="D64" s="2">
        <f>SUM(OSRRefD22_13x_0)</f>
        <v>32.019999999999996</v>
      </c>
      <c r="E64" s="2"/>
      <c r="F64" s="5">
        <f t="shared" si="8"/>
        <v>4.3196544276457877E-3</v>
      </c>
      <c r="G64" s="2"/>
      <c r="H64" s="2">
        <f>SUM(OSRRefH22_13x_0)</f>
        <v>0</v>
      </c>
      <c r="I64" s="2"/>
      <c r="J64" s="5">
        <f t="shared" si="9"/>
        <v>0</v>
      </c>
      <c r="K64" s="2"/>
      <c r="L64" s="2">
        <f t="shared" si="10"/>
        <v>32.019999999999996</v>
      </c>
      <c r="M64" s="2"/>
      <c r="N64" s="5">
        <f t="shared" si="11"/>
        <v>0</v>
      </c>
      <c r="O64" s="11"/>
      <c r="P64" s="2">
        <f>SUM(OSRRefP22_13x_0)</f>
        <v>14034.36</v>
      </c>
      <c r="Q64" s="2"/>
      <c r="R64" s="5">
        <f t="shared" si="12"/>
        <v>2.0608970196440125E-2</v>
      </c>
      <c r="S64" s="2"/>
      <c r="T64" s="2">
        <f>SUM(OSRRefT22_13x_0)</f>
        <v>72</v>
      </c>
      <c r="U64" s="2"/>
      <c r="V64" s="5">
        <f t="shared" si="13"/>
        <v>0</v>
      </c>
      <c r="W64" s="2"/>
      <c r="X64" s="2">
        <f t="shared" si="14"/>
        <v>13962.36</v>
      </c>
      <c r="Y64" s="2"/>
      <c r="Z64" s="5">
        <f t="shared" si="15"/>
        <v>193.92166666666668</v>
      </c>
    </row>
    <row r="65" spans="1:26" s="69" customFormat="1" ht="15" hidden="1" customHeight="1" outlineLevel="2" x14ac:dyDescent="0.3">
      <c r="A65" s="21"/>
      <c r="B65" s="9" t="str">
        <f>CONCATENATE("          ","6234"," - ","EXPENDABLE SUPPLIES &amp; EQUIPMEN")</f>
        <v xml:space="preserve">          6234 - EXPENDABLE SUPPLIES &amp; EQUIPMEN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284.07</v>
      </c>
      <c r="Q65" s="3"/>
      <c r="R65" s="7">
        <f t="shared" si="12"/>
        <v>4.1714692823204946E-4</v>
      </c>
      <c r="S65" s="3"/>
      <c r="T65" s="6"/>
      <c r="U65" s="3"/>
      <c r="V65" s="7">
        <f t="shared" si="13"/>
        <v>0</v>
      </c>
      <c r="W65" s="3"/>
      <c r="X65" s="6">
        <f t="shared" si="14"/>
        <v>284.07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","6235"," - ","COVID-19 EXPENSES")</f>
        <v xml:space="preserve">          6235 - COVID-19 EXPENSES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229.22</v>
      </c>
      <c r="Q66" s="3"/>
      <c r="R66" s="7">
        <f t="shared" si="12"/>
        <v>3.3660160836888929E-4</v>
      </c>
      <c r="S66" s="3"/>
      <c r="T66" s="6"/>
      <c r="U66" s="3"/>
      <c r="V66" s="7">
        <f t="shared" si="13"/>
        <v>0</v>
      </c>
      <c r="W66" s="3"/>
      <c r="X66" s="6">
        <f t="shared" si="14"/>
        <v>229.22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1"/>
      <c r="B67" s="9" t="str">
        <f>CONCATENATE("          ","6237"," - ","JANITORIAL SUPPLIES")</f>
        <v xml:space="preserve">          6237 - JANITORIAL SUPPLIES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48.12</v>
      </c>
      <c r="Q67" s="3"/>
      <c r="R67" s="7">
        <f t="shared" si="12"/>
        <v>7.0662548620150742E-5</v>
      </c>
      <c r="S67" s="3"/>
      <c r="T67" s="6">
        <v>72</v>
      </c>
      <c r="U67" s="3"/>
      <c r="V67" s="7">
        <f t="shared" si="13"/>
        <v>0</v>
      </c>
      <c r="W67" s="3"/>
      <c r="X67" s="6">
        <f t="shared" si="14"/>
        <v>-23.880000000000003</v>
      </c>
      <c r="Y67" s="3"/>
      <c r="Z67" s="7">
        <f t="shared" si="15"/>
        <v>-0.33166666666666672</v>
      </c>
    </row>
    <row r="68" spans="1:26" s="69" customFormat="1" ht="15" hidden="1" customHeight="1" outlineLevel="2" x14ac:dyDescent="0.3">
      <c r="A68" s="21"/>
      <c r="B68" s="9" t="str">
        <f>CONCATENATE("          ","6239"," - ","KITCHEN SUPPLIES")</f>
        <v xml:space="preserve">          6239 - KITCHEN SUPPLIES</v>
      </c>
      <c r="C68" s="9"/>
      <c r="D68" s="6">
        <v>122.02</v>
      </c>
      <c r="E68" s="3"/>
      <c r="F68" s="7">
        <f t="shared" si="8"/>
        <v>1.6461094105600847E-2</v>
      </c>
      <c r="G68" s="3"/>
      <c r="H68" s="6"/>
      <c r="I68" s="3"/>
      <c r="J68" s="7">
        <f t="shared" si="9"/>
        <v>0</v>
      </c>
      <c r="K68" s="3"/>
      <c r="L68" s="6">
        <f t="shared" si="10"/>
        <v>122.02</v>
      </c>
      <c r="M68" s="3"/>
      <c r="N68" s="7">
        <f t="shared" si="11"/>
        <v>0</v>
      </c>
      <c r="O68" s="9"/>
      <c r="P68" s="6">
        <v>5781.19</v>
      </c>
      <c r="Q68" s="3"/>
      <c r="R68" s="7">
        <f t="shared" si="12"/>
        <v>8.4894767135770838E-3</v>
      </c>
      <c r="S68" s="3"/>
      <c r="T68" s="6"/>
      <c r="U68" s="3"/>
      <c r="V68" s="7">
        <f t="shared" si="13"/>
        <v>0</v>
      </c>
      <c r="W68" s="3"/>
      <c r="X68" s="6">
        <f t="shared" si="14"/>
        <v>5781.19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1"/>
      <c r="B69" s="9" t="str">
        <f>CONCATENATE("          ","6241"," - ","OFFICE EXPENSE")</f>
        <v xml:space="preserve">          6241 - OFFICE EXPENSE</v>
      </c>
      <c r="C69" s="9"/>
      <c r="D69" s="6"/>
      <c r="E69" s="3"/>
      <c r="F69" s="7">
        <f t="shared" si="8"/>
        <v>0</v>
      </c>
      <c r="G69" s="3"/>
      <c r="H69" s="6"/>
      <c r="I69" s="3"/>
      <c r="J69" s="7">
        <f t="shared" si="9"/>
        <v>0</v>
      </c>
      <c r="K69" s="3"/>
      <c r="L69" s="6">
        <f t="shared" si="10"/>
        <v>0</v>
      </c>
      <c r="M69" s="3"/>
      <c r="N69" s="7">
        <f t="shared" si="11"/>
        <v>0</v>
      </c>
      <c r="O69" s="9"/>
      <c r="P69" s="6">
        <v>2158.14</v>
      </c>
      <c r="Q69" s="3"/>
      <c r="R69" s="7">
        <f t="shared" si="12"/>
        <v>3.169153630072571E-3</v>
      </c>
      <c r="S69" s="3"/>
      <c r="T69" s="6"/>
      <c r="U69" s="3"/>
      <c r="V69" s="7">
        <f t="shared" si="13"/>
        <v>0</v>
      </c>
      <c r="W69" s="3"/>
      <c r="X69" s="6">
        <f t="shared" si="14"/>
        <v>2158.14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1"/>
      <c r="B70" s="9" t="str">
        <f>CONCATENATE("          ","6243"," - ","PAPER SUPPLIES")</f>
        <v xml:space="preserve">          6243 - PAPER SUPPLIES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511.58</v>
      </c>
      <c r="Q70" s="3"/>
      <c r="R70" s="7">
        <f t="shared" si="12"/>
        <v>7.5123746099535981E-4</v>
      </c>
      <c r="S70" s="3"/>
      <c r="T70" s="6"/>
      <c r="U70" s="3"/>
      <c r="V70" s="7">
        <f t="shared" si="13"/>
        <v>0</v>
      </c>
      <c r="W70" s="3"/>
      <c r="X70" s="6">
        <f t="shared" si="14"/>
        <v>511.58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1"/>
      <c r="B71" s="9" t="str">
        <f>CONCATENATE("          ","6245"," - ","PRINTING")</f>
        <v xml:space="preserve">          6245 - PRINTING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733</v>
      </c>
      <c r="Q71" s="3"/>
      <c r="R71" s="7">
        <f t="shared" si="12"/>
        <v>1.0763850402861698E-3</v>
      </c>
      <c r="S71" s="3"/>
      <c r="T71" s="6"/>
      <c r="U71" s="3"/>
      <c r="V71" s="7">
        <f t="shared" si="13"/>
        <v>0</v>
      </c>
      <c r="W71" s="3"/>
      <c r="X71" s="6">
        <f t="shared" si="14"/>
        <v>733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1"/>
      <c r="B72" s="9" t="str">
        <f>CONCATENATE("          ","6247"," - ","STORE SUPPLIES")</f>
        <v xml:space="preserve">          6247 - STORE SUPPLIES</v>
      </c>
      <c r="C72" s="9"/>
      <c r="D72" s="6">
        <v>-90</v>
      </c>
      <c r="E72" s="3"/>
      <c r="F72" s="7">
        <f t="shared" si="8"/>
        <v>-1.2141439677955057E-2</v>
      </c>
      <c r="G72" s="3"/>
      <c r="H72" s="6"/>
      <c r="I72" s="3"/>
      <c r="J72" s="7">
        <f t="shared" si="9"/>
        <v>0</v>
      </c>
      <c r="K72" s="3"/>
      <c r="L72" s="6">
        <f t="shared" si="10"/>
        <v>-90</v>
      </c>
      <c r="M72" s="3"/>
      <c r="N72" s="7">
        <f t="shared" si="11"/>
        <v>0</v>
      </c>
      <c r="O72" s="9"/>
      <c r="P72" s="6">
        <v>1300.5899999999999</v>
      </c>
      <c r="Q72" s="3"/>
      <c r="R72" s="7">
        <f t="shared" si="12"/>
        <v>1.9098712408537376E-3</v>
      </c>
      <c r="S72" s="3"/>
      <c r="T72" s="6"/>
      <c r="U72" s="3"/>
      <c r="V72" s="7">
        <f t="shared" si="13"/>
        <v>0</v>
      </c>
      <c r="W72" s="3"/>
      <c r="X72" s="6">
        <f t="shared" si="14"/>
        <v>1300.5899999999999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1"/>
      <c r="B73" s="9" t="str">
        <f>CONCATENATE("          ","6248"," - ","UNIFORMS")</f>
        <v xml:space="preserve">          6248 - UNIFORMS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2988.45</v>
      </c>
      <c r="Q73" s="3"/>
      <c r="R73" s="7">
        <f t="shared" si="12"/>
        <v>4.3884350254341118E-3</v>
      </c>
      <c r="S73" s="3"/>
      <c r="T73" s="6"/>
      <c r="U73" s="3"/>
      <c r="V73" s="7">
        <f t="shared" si="13"/>
        <v>0</v>
      </c>
      <c r="W73" s="3"/>
      <c r="X73" s="6">
        <f t="shared" si="14"/>
        <v>2988.45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0"/>
      <c r="B74" s="11" t="str">
        <f>CONCATENATE("     ","Telephone/Data Lines                              ")</f>
        <v xml:space="preserve">     Telephone/Data Lines                              </v>
      </c>
      <c r="C74" s="11"/>
      <c r="D74" s="2">
        <f>SUM(OSRRefD22_14x_0)</f>
        <v>0</v>
      </c>
      <c r="E74" s="2"/>
      <c r="F74" s="5">
        <f t="shared" si="8"/>
        <v>0</v>
      </c>
      <c r="G74" s="2"/>
      <c r="H74" s="2">
        <f>SUM(OSRRefH22_14x_0)</f>
        <v>0</v>
      </c>
      <c r="I74" s="2"/>
      <c r="J74" s="5">
        <f t="shared" si="9"/>
        <v>0</v>
      </c>
      <c r="K74" s="2"/>
      <c r="L74" s="2">
        <f t="shared" si="10"/>
        <v>0</v>
      </c>
      <c r="M74" s="2"/>
      <c r="N74" s="5">
        <f t="shared" si="11"/>
        <v>0</v>
      </c>
      <c r="O74" s="11"/>
      <c r="P74" s="2">
        <f>SUM(OSRRefP22_14x_0)</f>
        <v>1050</v>
      </c>
      <c r="Q74" s="2"/>
      <c r="R74" s="5">
        <f t="shared" si="12"/>
        <v>1.5418885297414438E-3</v>
      </c>
      <c r="S74" s="2"/>
      <c r="T74" s="2">
        <f>SUM(OSRRefT22_14x_0)</f>
        <v>77.430000000000007</v>
      </c>
      <c r="U74" s="2"/>
      <c r="V74" s="5">
        <f t="shared" si="13"/>
        <v>0</v>
      </c>
      <c r="W74" s="2"/>
      <c r="X74" s="2">
        <f t="shared" si="14"/>
        <v>972.56999999999994</v>
      </c>
      <c r="Y74" s="2"/>
      <c r="Z74" s="5">
        <f t="shared" si="15"/>
        <v>12.560635412630761</v>
      </c>
    </row>
    <row r="75" spans="1:26" s="69" customFormat="1" ht="15" hidden="1" customHeight="1" outlineLevel="2" x14ac:dyDescent="0.3">
      <c r="A75" s="21"/>
      <c r="B75" s="9" t="str">
        <f>CONCATENATE("          ","6309"," - ","TELEPHONE")</f>
        <v xml:space="preserve">          6309 - TELEPHONE</v>
      </c>
      <c r="C75" s="9"/>
      <c r="D75" s="6">
        <v>0</v>
      </c>
      <c r="E75" s="3"/>
      <c r="F75" s="7">
        <f t="shared" si="8"/>
        <v>0</v>
      </c>
      <c r="G75" s="3"/>
      <c r="H75" s="6"/>
      <c r="I75" s="3"/>
      <c r="J75" s="7">
        <f t="shared" si="9"/>
        <v>0</v>
      </c>
      <c r="K75" s="3"/>
      <c r="L75" s="6">
        <f t="shared" si="10"/>
        <v>0</v>
      </c>
      <c r="M75" s="3"/>
      <c r="N75" s="7">
        <f t="shared" si="11"/>
        <v>0</v>
      </c>
      <c r="O75" s="9"/>
      <c r="P75" s="6">
        <v>1050</v>
      </c>
      <c r="Q75" s="3"/>
      <c r="R75" s="7">
        <f t="shared" si="12"/>
        <v>1.5418885297414438E-3</v>
      </c>
      <c r="S75" s="3"/>
      <c r="T75" s="6">
        <v>77.430000000000007</v>
      </c>
      <c r="U75" s="3"/>
      <c r="V75" s="7">
        <f t="shared" si="13"/>
        <v>0</v>
      </c>
      <c r="W75" s="3"/>
      <c r="X75" s="6">
        <f t="shared" si="14"/>
        <v>972.56999999999994</v>
      </c>
      <c r="Y75" s="3"/>
      <c r="Z75" s="7">
        <f t="shared" si="15"/>
        <v>12.560635412630761</v>
      </c>
    </row>
    <row r="76" spans="1:26" s="68" customFormat="1" ht="15" customHeight="1" outlineLevel="1" collapsed="1" x14ac:dyDescent="0.3">
      <c r="A76" s="20"/>
      <c r="B76" s="11" t="str">
        <f>CONCATENATE("     ","Training                                          ")</f>
        <v xml:space="preserve">     Training                                          </v>
      </c>
      <c r="C76" s="11"/>
      <c r="D76" s="2">
        <f>SUM(OSRRefD22_15x_0)</f>
        <v>0</v>
      </c>
      <c r="E76" s="2"/>
      <c r="F76" s="5">
        <f t="shared" si="8"/>
        <v>0</v>
      </c>
      <c r="G76" s="2"/>
      <c r="H76" s="2">
        <f>SUM(OSRRefH22_15x_0)</f>
        <v>0</v>
      </c>
      <c r="I76" s="2"/>
      <c r="J76" s="5">
        <f t="shared" si="9"/>
        <v>0</v>
      </c>
      <c r="K76" s="2"/>
      <c r="L76" s="2">
        <f t="shared" si="10"/>
        <v>0</v>
      </c>
      <c r="M76" s="2"/>
      <c r="N76" s="5">
        <f t="shared" si="11"/>
        <v>0</v>
      </c>
      <c r="O76" s="11"/>
      <c r="P76" s="2">
        <f>SUM(OSRRefP22_15x_0)</f>
        <v>200</v>
      </c>
      <c r="Q76" s="2"/>
      <c r="R76" s="5">
        <f t="shared" si="12"/>
        <v>2.9369305328408454E-4</v>
      </c>
      <c r="S76" s="2"/>
      <c r="T76" s="2">
        <f>SUM(OSRRefT22_15x_0)</f>
        <v>0</v>
      </c>
      <c r="U76" s="2"/>
      <c r="V76" s="5">
        <f t="shared" si="13"/>
        <v>0</v>
      </c>
      <c r="W76" s="2"/>
      <c r="X76" s="2">
        <f t="shared" si="14"/>
        <v>200</v>
      </c>
      <c r="Y76" s="2"/>
      <c r="Z76" s="5">
        <f t="shared" si="15"/>
        <v>0</v>
      </c>
    </row>
    <row r="77" spans="1:26" s="69" customFormat="1" ht="15" hidden="1" customHeight="1" outlineLevel="2" x14ac:dyDescent="0.3">
      <c r="A77" s="21"/>
      <c r="B77" s="9" t="str">
        <f>CONCATENATE("          ","6376"," - ","TRAINING")</f>
        <v xml:space="preserve">          6376 - TRAINING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200</v>
      </c>
      <c r="Q77" s="3"/>
      <c r="R77" s="7">
        <f t="shared" si="12"/>
        <v>2.9369305328408454E-4</v>
      </c>
      <c r="S77" s="3"/>
      <c r="T77" s="6"/>
      <c r="U77" s="3"/>
      <c r="V77" s="7">
        <f t="shared" si="13"/>
        <v>0</v>
      </c>
      <c r="W77" s="3"/>
      <c r="X77" s="6">
        <f t="shared" si="14"/>
        <v>200</v>
      </c>
      <c r="Y77" s="3"/>
      <c r="Z77" s="7">
        <f t="shared" si="15"/>
        <v>0</v>
      </c>
    </row>
    <row r="78" spans="1:26" s="68" customFormat="1" ht="15" customHeight="1" outlineLevel="1" collapsed="1" x14ac:dyDescent="0.3">
      <c r="A78" s="20"/>
      <c r="B78" s="11" t="str">
        <f>CONCATENATE("     ","Utilities                                         ")</f>
        <v xml:space="preserve">     Utilities                                         </v>
      </c>
      <c r="C78" s="11"/>
      <c r="D78" s="2">
        <f>SUM(OSRRefD22_16x_0)</f>
        <v>342.99</v>
      </c>
      <c r="E78" s="2"/>
      <c r="F78" s="5">
        <f t="shared" si="8"/>
        <v>4.6271026612686728E-2</v>
      </c>
      <c r="G78" s="2"/>
      <c r="H78" s="2">
        <f>SUM(OSRRefH22_16x_0)</f>
        <v>-279</v>
      </c>
      <c r="I78" s="2"/>
      <c r="J78" s="5">
        <f t="shared" si="9"/>
        <v>0</v>
      </c>
      <c r="K78" s="2"/>
      <c r="L78" s="2">
        <f t="shared" si="10"/>
        <v>621.99</v>
      </c>
      <c r="M78" s="2"/>
      <c r="N78" s="5">
        <f t="shared" si="11"/>
        <v>-2.2293548387096775</v>
      </c>
      <c r="O78" s="11"/>
      <c r="P78" s="2">
        <f>SUM(OSRRefP22_16x_0)</f>
        <v>2828.97</v>
      </c>
      <c r="Q78" s="2"/>
      <c r="R78" s="5">
        <f t="shared" si="12"/>
        <v>4.1542441847453827E-3</v>
      </c>
      <c r="S78" s="2"/>
      <c r="T78" s="2">
        <f>SUM(OSRRefT22_16x_0)</f>
        <v>1671</v>
      </c>
      <c r="U78" s="2"/>
      <c r="V78" s="5">
        <f t="shared" si="13"/>
        <v>0</v>
      </c>
      <c r="W78" s="2"/>
      <c r="X78" s="2">
        <f t="shared" si="14"/>
        <v>1157.9699999999998</v>
      </c>
      <c r="Y78" s="2"/>
      <c r="Z78" s="5">
        <f t="shared" si="15"/>
        <v>0.69298025134649899</v>
      </c>
    </row>
    <row r="79" spans="1:26" s="69" customFormat="1" ht="15" hidden="1" customHeight="1" outlineLevel="2" x14ac:dyDescent="0.3">
      <c r="A79" s="21"/>
      <c r="B79" s="9" t="str">
        <f>CONCATENATE("          ","6274"," - ","UTILITIES")</f>
        <v xml:space="preserve">          6274 - UTILITIES</v>
      </c>
      <c r="C79" s="9"/>
      <c r="D79" s="6">
        <v>342.99</v>
      </c>
      <c r="E79" s="3"/>
      <c r="F79" s="7">
        <f t="shared" si="8"/>
        <v>4.6271026612686728E-2</v>
      </c>
      <c r="G79" s="3"/>
      <c r="H79" s="6">
        <v>-279</v>
      </c>
      <c r="I79" s="3"/>
      <c r="J79" s="7">
        <f t="shared" si="9"/>
        <v>0</v>
      </c>
      <c r="K79" s="3"/>
      <c r="L79" s="6">
        <f t="shared" si="10"/>
        <v>621.99</v>
      </c>
      <c r="M79" s="3"/>
      <c r="N79" s="7">
        <f t="shared" si="11"/>
        <v>-2.2293548387096775</v>
      </c>
      <c r="O79" s="9"/>
      <c r="P79" s="6">
        <v>2828.97</v>
      </c>
      <c r="Q79" s="3"/>
      <c r="R79" s="7">
        <f t="shared" si="12"/>
        <v>4.1542441847453827E-3</v>
      </c>
      <c r="S79" s="3"/>
      <c r="T79" s="6">
        <v>1671</v>
      </c>
      <c r="U79" s="3"/>
      <c r="V79" s="7">
        <f t="shared" si="13"/>
        <v>0</v>
      </c>
      <c r="W79" s="3"/>
      <c r="X79" s="6">
        <f t="shared" si="14"/>
        <v>1157.9699999999998</v>
      </c>
      <c r="Y79" s="3"/>
      <c r="Z79" s="7">
        <f t="shared" si="15"/>
        <v>0.69298025134649899</v>
      </c>
    </row>
    <row r="80" spans="1:26" s="64" customFormat="1" ht="15" customHeight="1" x14ac:dyDescent="0.3">
      <c r="A80" s="37"/>
      <c r="B80" s="37"/>
      <c r="C80" s="37"/>
      <c r="D80" s="2"/>
      <c r="E80" s="2"/>
      <c r="F80" s="5"/>
      <c r="G80" s="2"/>
      <c r="H80" s="2"/>
      <c r="I80" s="2"/>
      <c r="J80" s="5"/>
      <c r="K80" s="2"/>
      <c r="L80" s="2"/>
      <c r="M80" s="2"/>
      <c r="N80" s="5"/>
      <c r="O80" s="37"/>
      <c r="P80" s="2"/>
      <c r="Q80" s="2"/>
      <c r="R80" s="5"/>
      <c r="S80" s="2"/>
      <c r="T80" s="2"/>
      <c r="U80" s="2"/>
      <c r="V80" s="5"/>
      <c r="W80" s="2"/>
      <c r="X80" s="2"/>
      <c r="Y80" s="2"/>
      <c r="Z80" s="5"/>
    </row>
    <row r="81" spans="1:26" s="62" customFormat="1" ht="15" customHeight="1" collapsed="1" x14ac:dyDescent="0.3">
      <c r="A81" s="13"/>
      <c r="B81" s="27" t="s">
        <v>290</v>
      </c>
      <c r="C81" s="13"/>
      <c r="D81" s="8">
        <f>SUM(OSRRefD25x_0)</f>
        <v>0</v>
      </c>
      <c r="E81" s="8"/>
      <c r="F81" s="14">
        <f>IF(D$12=0,0,D81/D$12)</f>
        <v>0</v>
      </c>
      <c r="G81" s="8"/>
      <c r="H81" s="8">
        <f>SUM(OSRRefH25x_0)</f>
        <v>0</v>
      </c>
      <c r="I81" s="8"/>
      <c r="J81" s="14">
        <f>IF(H$12=0,0,H81/H$12)</f>
        <v>0</v>
      </c>
      <c r="K81" s="8"/>
      <c r="L81" s="8">
        <f>+D81-H81</f>
        <v>0</v>
      </c>
      <c r="M81" s="8"/>
      <c r="N81" s="14">
        <f>IF(H81=0,0,L81/H81)</f>
        <v>0</v>
      </c>
      <c r="O81" s="13"/>
      <c r="P81" s="8">
        <f>SUM(OSRRefP25x_0)</f>
        <v>192</v>
      </c>
      <c r="Q81" s="8"/>
      <c r="R81" s="14">
        <f>IF(P$12=0,0,P81/P$12)</f>
        <v>2.8194533115272116E-4</v>
      </c>
      <c r="S81" s="8"/>
      <c r="T81" s="8">
        <f>SUM(OSRRefT25x_0)</f>
        <v>0</v>
      </c>
      <c r="U81" s="8"/>
      <c r="V81" s="14">
        <f>IF(T$12=0,0,T81/T$12)</f>
        <v>0</v>
      </c>
      <c r="W81" s="8"/>
      <c r="X81" s="8">
        <f>+P81-T81</f>
        <v>192</v>
      </c>
      <c r="Y81" s="8"/>
      <c r="Z81" s="14">
        <f>IF(T81=0,0,X81/T81)</f>
        <v>0</v>
      </c>
    </row>
    <row r="82" spans="1:26" s="69" customFormat="1" ht="15" hidden="1" customHeight="1" outlineLevel="1" x14ac:dyDescent="0.3">
      <c r="A82" s="47"/>
      <c r="B82" s="9" t="str">
        <f>CONCATENATE("          ","9150"," - ","MISC. INCOME")</f>
        <v xml:space="preserve">          9150 - MISC. INCOME</v>
      </c>
      <c r="C82" s="9"/>
      <c r="D82" s="3">
        <f>0</f>
        <v>0</v>
      </c>
      <c r="E82" s="3"/>
      <c r="F82" s="26">
        <f>IF(D$12=0,0,D82/D$12)</f>
        <v>0</v>
      </c>
      <c r="G82" s="3"/>
      <c r="H82" s="3">
        <f>0</f>
        <v>0</v>
      </c>
      <c r="I82" s="3"/>
      <c r="J82" s="26">
        <f>IF(H$12=0,0,H82/H$12)</f>
        <v>0</v>
      </c>
      <c r="K82" s="3"/>
      <c r="L82" s="3">
        <f>+D82-H82</f>
        <v>0</v>
      </c>
      <c r="M82" s="3"/>
      <c r="N82" s="26">
        <f>IF(H82=0,0,L82/H82)</f>
        <v>0</v>
      </c>
      <c r="O82" s="9"/>
      <c r="P82" s="3">
        <f>--192</f>
        <v>192</v>
      </c>
      <c r="Q82" s="3"/>
      <c r="R82" s="26">
        <f>IF(P$12=0,0,P82/P$12)</f>
        <v>2.8194533115272116E-4</v>
      </c>
      <c r="S82" s="3"/>
      <c r="T82" s="3">
        <f>0</f>
        <v>0</v>
      </c>
      <c r="U82" s="3"/>
      <c r="V82" s="26">
        <f>IF(T$12=0,0,T82/T$12)</f>
        <v>0</v>
      </c>
      <c r="W82" s="3"/>
      <c r="X82" s="3">
        <f>+P82-T82</f>
        <v>192</v>
      </c>
      <c r="Y82" s="3"/>
      <c r="Z82" s="26">
        <f>IF(T82=0,0,X82/T82)</f>
        <v>0</v>
      </c>
    </row>
    <row r="83" spans="1:26" ht="15" customHeight="1" x14ac:dyDescent="0.3">
      <c r="A83" s="12"/>
      <c r="B83" s="13"/>
      <c r="C83" s="13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O83" s="13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2" customFormat="1" ht="15" customHeight="1" x14ac:dyDescent="0.3">
      <c r="A84" s="13"/>
      <c r="B84" s="28" t="s">
        <v>291</v>
      </c>
      <c r="C84" s="28"/>
      <c r="D84" s="22">
        <f>+D20-D22+D81</f>
        <v>-53256.92</v>
      </c>
      <c r="E84" s="15"/>
      <c r="F84" s="24">
        <f>IF(D$12=0,0,D84/D$12)</f>
        <v>-7.1846186845964253</v>
      </c>
      <c r="G84" s="15"/>
      <c r="H84" s="22">
        <f>+H20-H22+H81</f>
        <v>-6378.7999999999993</v>
      </c>
      <c r="I84" s="15"/>
      <c r="J84" s="24">
        <f>IF(H$12=0,0,H84/H$12)</f>
        <v>0</v>
      </c>
      <c r="K84" s="17"/>
      <c r="L84" s="22">
        <f>+D84-H84</f>
        <v>-46878.119999999995</v>
      </c>
      <c r="M84" s="17"/>
      <c r="N84" s="24">
        <f>IF(H84=0,0,L84/H84)</f>
        <v>7.3490499780522986</v>
      </c>
      <c r="O84" s="27"/>
      <c r="P84" s="22">
        <f>+P20-P22+P81</f>
        <v>-85801.250000000058</v>
      </c>
      <c r="Q84" s="15"/>
      <c r="R84" s="24">
        <f>IF(P$12=0,0,P84/P$12)</f>
        <v>-0.12599615544045539</v>
      </c>
      <c r="S84" s="15"/>
      <c r="T84" s="22">
        <f>+T20-T22+T81</f>
        <v>-85939.689999999988</v>
      </c>
      <c r="U84" s="15"/>
      <c r="V84" s="24">
        <f>IF(T$12=0,0,T84/T$12)</f>
        <v>0</v>
      </c>
      <c r="W84" s="17"/>
      <c r="X84" s="22">
        <f>+P84-T84</f>
        <v>138.43999999992957</v>
      </c>
      <c r="Y84" s="17"/>
      <c r="Z84" s="24">
        <f>IF(T84=0,0,X84/T84)</f>
        <v>-1.6108971303006746E-3</v>
      </c>
    </row>
    <row r="85" spans="1:26" ht="15" customHeight="1" x14ac:dyDescent="0.3">
      <c r="A85" s="12"/>
      <c r="B85" s="13"/>
      <c r="C85" s="12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2" customFormat="1" ht="15" customHeight="1" x14ac:dyDescent="0.3">
      <c r="A86" s="48"/>
      <c r="B86" s="13" t="s">
        <v>292</v>
      </c>
      <c r="C86" s="13"/>
      <c r="D86" s="8">
        <v>-154236.07</v>
      </c>
      <c r="E86" s="8"/>
      <c r="F86" s="14">
        <f>IF(D$12=0,0,D86/D$12)</f>
        <v>-20.807199334109487</v>
      </c>
      <c r="G86" s="8"/>
      <c r="H86" s="8"/>
      <c r="I86" s="8"/>
      <c r="J86" s="14">
        <f>IF(H$12=0,0,H86/H$12)</f>
        <v>0</v>
      </c>
      <c r="K86" s="8"/>
      <c r="L86" s="8">
        <f>+D86-H86</f>
        <v>-154236.07</v>
      </c>
      <c r="M86" s="8"/>
      <c r="N86" s="14">
        <f>IF(H86=0,0,L86/H86)</f>
        <v>0</v>
      </c>
      <c r="O86" s="13"/>
      <c r="P86" s="8">
        <v>-78509.67</v>
      </c>
      <c r="Q86" s="8"/>
      <c r="R86" s="14">
        <f>IF(P$12=0,0,P86/P$12)</f>
        <v>-0.11528872347312948</v>
      </c>
      <c r="S86" s="8"/>
      <c r="T86" s="8"/>
      <c r="U86" s="8"/>
      <c r="V86" s="14">
        <f>IF(T$12=0,0,T86/T$12)</f>
        <v>0</v>
      </c>
      <c r="W86" s="8"/>
      <c r="X86" s="8">
        <f>+P86-T86</f>
        <v>-78509.67</v>
      </c>
      <c r="Y86" s="8"/>
      <c r="Z86" s="14">
        <f>IF(T86=0,0,X86/T86)</f>
        <v>0</v>
      </c>
    </row>
    <row r="87" spans="1:26" ht="15" customHeight="1" x14ac:dyDescent="0.3">
      <c r="A87" s="12"/>
      <c r="B87" s="13"/>
      <c r="C87" s="13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O87" s="13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s="62" customFormat="1" ht="15" customHeight="1" x14ac:dyDescent="0.3">
      <c r="A88" s="13"/>
      <c r="B88" s="28" t="s">
        <v>293</v>
      </c>
      <c r="C88" s="28"/>
      <c r="D88" s="29">
        <f>+D84-D86</f>
        <v>100979.15000000001</v>
      </c>
      <c r="E88" s="15"/>
      <c r="F88" s="31">
        <f>IF(D$12=0,0,D88/D$12)</f>
        <v>13.622580649513061</v>
      </c>
      <c r="G88" s="15"/>
      <c r="H88" s="29">
        <f>+H84-H86</f>
        <v>-6378.7999999999993</v>
      </c>
      <c r="I88" s="15"/>
      <c r="J88" s="31">
        <f>IF(H$12=0,0,H88/H$12)</f>
        <v>0</v>
      </c>
      <c r="K88" s="17"/>
      <c r="L88" s="29">
        <f>D88-H88</f>
        <v>107357.95000000001</v>
      </c>
      <c r="M88" s="17"/>
      <c r="N88" s="31">
        <f>IF(H88=0,0,L88/H88)</f>
        <v>-16.830430488493135</v>
      </c>
      <c r="O88" s="27"/>
      <c r="P88" s="29">
        <f>+P84-P86</f>
        <v>-7291.58000000006</v>
      </c>
      <c r="Q88" s="15"/>
      <c r="R88" s="31">
        <f>IF(P$12=0,0,P88/P$12)</f>
        <v>-1.0707431967325914E-2</v>
      </c>
      <c r="S88" s="15"/>
      <c r="T88" s="29">
        <f>+T84-T86</f>
        <v>-85939.689999999988</v>
      </c>
      <c r="U88" s="15"/>
      <c r="V88" s="31">
        <f>IF(T$12=0,0,T88/T$12)</f>
        <v>0</v>
      </c>
      <c r="W88" s="17"/>
      <c r="X88" s="29">
        <f>P88-T88</f>
        <v>78648.109999999928</v>
      </c>
      <c r="Y88" s="17"/>
      <c r="Z88" s="31">
        <f>IF(T88=0,0,X88/T88)</f>
        <v>-0.91515468580349701</v>
      </c>
    </row>
    <row r="89" spans="1:26" ht="15" customHeight="1" x14ac:dyDescent="0.3">
      <c r="A89" s="12"/>
      <c r="B89" s="12"/>
      <c r="C89" s="12"/>
      <c r="D89" s="4"/>
      <c r="E89" s="4"/>
      <c r="F89" s="10"/>
      <c r="G89" s="4"/>
      <c r="H89" s="4"/>
      <c r="I89" s="4"/>
      <c r="J89" s="10"/>
      <c r="K89" s="4"/>
      <c r="L89" s="4"/>
      <c r="M89" s="4"/>
      <c r="N89" s="10"/>
      <c r="P89" s="4"/>
      <c r="Q89" s="4"/>
      <c r="R89" s="10"/>
      <c r="S89" s="4"/>
      <c r="T89" s="4"/>
      <c r="U89" s="4"/>
      <c r="V89" s="10"/>
      <c r="W89" s="4"/>
      <c r="X89" s="4"/>
      <c r="Y89" s="4"/>
      <c r="Z89" s="10"/>
    </row>
    <row r="90" spans="1:26" ht="15" customHeight="1" x14ac:dyDescent="0.3">
      <c r="A90" s="12"/>
      <c r="B90" s="12"/>
      <c r="C90" s="12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2" customFormat="1" ht="15" customHeight="1" x14ac:dyDescent="0.3">
      <c r="A91" s="13"/>
      <c r="B91" s="28" t="s">
        <v>296</v>
      </c>
      <c r="C91" s="28"/>
      <c r="D91" s="30">
        <f>SUM(D88:D90)</f>
        <v>100979.15000000001</v>
      </c>
      <c r="E91" s="15"/>
      <c r="F91" s="35">
        <f>IF(D$12=0,0,D91/D$12)</f>
        <v>13.622580649513061</v>
      </c>
      <c r="G91" s="15"/>
      <c r="H91" s="30">
        <f>SUM(H88:H90)</f>
        <v>-6378.7999999999993</v>
      </c>
      <c r="I91" s="15"/>
      <c r="J91" s="35">
        <f>IF(H$12=0,0,H91/H$12)</f>
        <v>0</v>
      </c>
      <c r="K91" s="17"/>
      <c r="L91" s="30">
        <f>+D91-H91</f>
        <v>107357.95000000001</v>
      </c>
      <c r="M91" s="17"/>
      <c r="N91" s="35">
        <f>IF(H91=0,0,L91/H91)</f>
        <v>-16.830430488493135</v>
      </c>
      <c r="O91" s="27"/>
      <c r="P91" s="30">
        <f>SUM(P88:P90)</f>
        <v>-7291.58000000006</v>
      </c>
      <c r="Q91" s="15"/>
      <c r="R91" s="35">
        <f>IF(P$12=0,0,P91/P$12)</f>
        <v>-1.0707431967325914E-2</v>
      </c>
      <c r="S91" s="15"/>
      <c r="T91" s="30">
        <f>SUM(T88:T90)</f>
        <v>-85939.689999999988</v>
      </c>
      <c r="U91" s="15"/>
      <c r="V91" s="35">
        <f>IF(T$12=0,0,T91/T$12)</f>
        <v>0</v>
      </c>
      <c r="W91" s="17"/>
      <c r="X91" s="30">
        <f>+P91-T91</f>
        <v>78648.109999999928</v>
      </c>
      <c r="Y91" s="17"/>
      <c r="Z91" s="35">
        <f>IF(T91=0,0,X91/T91)</f>
        <v>-0.91515468580349701</v>
      </c>
    </row>
    <row r="92" spans="1:26" ht="15" customHeight="1" x14ac:dyDescent="0.3">
      <c r="A92" s="12"/>
      <c r="C92" s="12"/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A93" s="12"/>
      <c r="B93" s="54">
        <v>44767.815885219905</v>
      </c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A94" s="12"/>
      <c r="B94" s="53" t="s">
        <v>297</v>
      </c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  <row r="95" spans="1:26" ht="15" customHeight="1" x14ac:dyDescent="0.3">
      <c r="A95" s="12"/>
      <c r="B95" s="51"/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5D065-879A-6E3C-7738-6833F55D9859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","406"," - ","OPA! Greek")</f>
        <v>Department 406 - OPA! Greek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0</v>
      </c>
      <c r="E18" s="23"/>
      <c r="F18" s="34">
        <f t="shared" ref="F18:F28" si="0">IF(D$12=0,0,D18/D$12)</f>
        <v>0</v>
      </c>
      <c r="G18" s="23"/>
      <c r="H18" s="23" cm="1">
        <f t="array" ref="H18">SUM(OSRRefH22x_0)</f>
        <v>76.760000000000005</v>
      </c>
      <c r="I18" s="23"/>
      <c r="J18" s="34">
        <f t="shared" ref="J18:J28" si="1">IF(H$12=0,0,H18/H$12)</f>
        <v>0</v>
      </c>
      <c r="K18" s="8"/>
      <c r="L18" s="23">
        <f t="shared" ref="L18:L28" si="2">+D18-H18</f>
        <v>-76.760000000000005</v>
      </c>
      <c r="M18" s="8"/>
      <c r="N18" s="34">
        <f t="shared" ref="N18:N28" si="3">IF(H18=0,0,L18/H18)</f>
        <v>-1</v>
      </c>
      <c r="O18" s="13"/>
      <c r="P18" s="23" cm="1">
        <f t="array" ref="P18">SUM(OSRRefP22x_0)</f>
        <v>69.290000000000006</v>
      </c>
      <c r="Q18" s="23"/>
      <c r="R18" s="34">
        <f t="shared" ref="R18:R28" si="4">IF(P$12=0,0,P18/P$12)</f>
        <v>0</v>
      </c>
      <c r="S18" s="23"/>
      <c r="T18" s="23" cm="1">
        <f t="array" ref="T18">SUM(OSRRefT22x_0)</f>
        <v>2488.2999999999997</v>
      </c>
      <c r="U18" s="23"/>
      <c r="V18" s="34">
        <f t="shared" ref="V18:V28" si="5">IF(T$12=0,0,T18/T$12)</f>
        <v>0</v>
      </c>
      <c r="W18" s="8"/>
      <c r="X18" s="23">
        <f t="shared" ref="X18:X28" si="6">+P18-T18</f>
        <v>-2419.0099999999998</v>
      </c>
      <c r="Y18" s="8"/>
      <c r="Z18" s="34">
        <f t="shared" ref="Z18:Z28" si="7">IF(T18=0,0,X18/T18)</f>
        <v>-0.97215367921874374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0</v>
      </c>
      <c r="Q19" s="2"/>
      <c r="R19" s="5">
        <f t="shared" si="4"/>
        <v>0</v>
      </c>
      <c r="S19" s="2"/>
      <c r="T19" s="2">
        <f>SUM(OSRRefT22_0x_0)</f>
        <v>660.8</v>
      </c>
      <c r="U19" s="2"/>
      <c r="V19" s="5">
        <f t="shared" si="5"/>
        <v>0</v>
      </c>
      <c r="W19" s="2"/>
      <c r="X19" s="2">
        <f t="shared" si="6"/>
        <v>-660.8</v>
      </c>
      <c r="Y19" s="2"/>
      <c r="Z19" s="5">
        <f t="shared" si="7"/>
        <v>-1</v>
      </c>
    </row>
    <row r="20" spans="1:26" s="69" customFormat="1" ht="15" hidden="1" customHeight="1" outlineLevel="2" x14ac:dyDescent="0.3">
      <c r="A20" s="21"/>
      <c r="B20" s="9" t="str">
        <f>CONCATENATE("          ","6113"," - ","GROUP INSURANCE")</f>
        <v xml:space="preserve">          6113 - GROUP INSURANCE</v>
      </c>
      <c r="C20" s="9"/>
      <c r="D20" s="6"/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/>
      <c r="Q20" s="3"/>
      <c r="R20" s="7">
        <f t="shared" si="4"/>
        <v>0</v>
      </c>
      <c r="S20" s="3"/>
      <c r="T20" s="6">
        <v>660.8</v>
      </c>
      <c r="U20" s="3"/>
      <c r="V20" s="7">
        <f t="shared" si="5"/>
        <v>0</v>
      </c>
      <c r="W20" s="3"/>
      <c r="X20" s="6">
        <f t="shared" si="6"/>
        <v>-660.8</v>
      </c>
      <c r="Y20" s="3"/>
      <c r="Z20" s="7">
        <f t="shared" si="7"/>
        <v>-1</v>
      </c>
    </row>
    <row r="21" spans="1:26" s="68" customFormat="1" ht="15" customHeight="1" outlineLevel="1" collapsed="1" x14ac:dyDescent="0.3">
      <c r="A21" s="20"/>
      <c r="B21" s="11" t="str">
        <f>CONCATENATE("     ","Depreciation                                      ")</f>
        <v xml:space="preserve">     Depreciation                                      </v>
      </c>
      <c r="C21" s="11"/>
      <c r="D21" s="2">
        <f>SUM(OSRRefD22_1x_0)</f>
        <v>0</v>
      </c>
      <c r="E21" s="2"/>
      <c r="F21" s="5">
        <f t="shared" si="0"/>
        <v>0</v>
      </c>
      <c r="G21" s="2"/>
      <c r="H21" s="2">
        <f>SUM(OSRRefH22_1x_0)</f>
        <v>7.47</v>
      </c>
      <c r="I21" s="2"/>
      <c r="J21" s="5">
        <f t="shared" si="1"/>
        <v>0</v>
      </c>
      <c r="K21" s="2"/>
      <c r="L21" s="2">
        <f t="shared" si="2"/>
        <v>-7.47</v>
      </c>
      <c r="M21" s="2"/>
      <c r="N21" s="5">
        <f t="shared" si="3"/>
        <v>-1</v>
      </c>
      <c r="O21" s="11"/>
      <c r="P21" s="2">
        <f>SUM(OSRRefP22_1x_0)</f>
        <v>0</v>
      </c>
      <c r="Q21" s="2"/>
      <c r="R21" s="5">
        <f t="shared" si="4"/>
        <v>0</v>
      </c>
      <c r="S21" s="2"/>
      <c r="T21" s="2">
        <f>SUM(OSRRefT22_1x_0)</f>
        <v>1322.52</v>
      </c>
      <c r="U21" s="2"/>
      <c r="V21" s="5">
        <f t="shared" si="5"/>
        <v>0</v>
      </c>
      <c r="W21" s="2"/>
      <c r="X21" s="2">
        <f t="shared" si="6"/>
        <v>-1322.52</v>
      </c>
      <c r="Y21" s="2"/>
      <c r="Z21" s="5">
        <f t="shared" si="7"/>
        <v>-1</v>
      </c>
    </row>
    <row r="22" spans="1:26" s="69" customFormat="1" ht="15" hidden="1" customHeight="1" outlineLevel="2" x14ac:dyDescent="0.3">
      <c r="A22" s="21"/>
      <c r="B22" s="9" t="str">
        <f>CONCATENATE("          ","6322"," - ","EQUIPMENT DEPRECIATION EXPENSE")</f>
        <v xml:space="preserve">          6322 - EQUIPMENT DEPRECIATION EXPENSE</v>
      </c>
      <c r="C22" s="9"/>
      <c r="D22" s="6"/>
      <c r="E22" s="3"/>
      <c r="F22" s="7">
        <f t="shared" si="0"/>
        <v>0</v>
      </c>
      <c r="G22" s="3"/>
      <c r="H22" s="6">
        <v>7.47</v>
      </c>
      <c r="I22" s="3"/>
      <c r="J22" s="7">
        <f t="shared" si="1"/>
        <v>0</v>
      </c>
      <c r="K22" s="3"/>
      <c r="L22" s="6">
        <f t="shared" si="2"/>
        <v>-7.47</v>
      </c>
      <c r="M22" s="3"/>
      <c r="N22" s="7">
        <f t="shared" si="3"/>
        <v>-1</v>
      </c>
      <c r="O22" s="9"/>
      <c r="P22" s="6"/>
      <c r="Q22" s="3"/>
      <c r="R22" s="7">
        <f t="shared" si="4"/>
        <v>0</v>
      </c>
      <c r="S22" s="3"/>
      <c r="T22" s="6">
        <v>1322.52</v>
      </c>
      <c r="U22" s="3"/>
      <c r="V22" s="7">
        <f t="shared" si="5"/>
        <v>0</v>
      </c>
      <c r="W22" s="3"/>
      <c r="X22" s="6">
        <f t="shared" si="6"/>
        <v>-1322.52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0"/>
      <c r="B23" s="11" t="str">
        <f>CONCATENATE("     ","Equipment Rental                                  ")</f>
        <v xml:space="preserve">     Equipment Rental                                  </v>
      </c>
      <c r="C23" s="11"/>
      <c r="D23" s="2">
        <f>SUM(OSRRefD22_2x_0)</f>
        <v>0</v>
      </c>
      <c r="E23" s="2"/>
      <c r="F23" s="5">
        <f t="shared" si="0"/>
        <v>0</v>
      </c>
      <c r="G23" s="2"/>
      <c r="H23" s="2">
        <f>SUM(OSRRefH22_2x_0)</f>
        <v>0</v>
      </c>
      <c r="I23" s="2"/>
      <c r="J23" s="5">
        <f t="shared" si="1"/>
        <v>0</v>
      </c>
      <c r="K23" s="2"/>
      <c r="L23" s="2">
        <f t="shared" si="2"/>
        <v>0</v>
      </c>
      <c r="M23" s="2"/>
      <c r="N23" s="5">
        <f t="shared" si="3"/>
        <v>0</v>
      </c>
      <c r="O23" s="11"/>
      <c r="P23" s="2">
        <f>SUM(OSRRefP22_2x_0)</f>
        <v>0</v>
      </c>
      <c r="Q23" s="2"/>
      <c r="R23" s="5">
        <f t="shared" si="4"/>
        <v>0</v>
      </c>
      <c r="S23" s="2"/>
      <c r="T23" s="2">
        <f>SUM(OSRRefT22_2x_0)</f>
        <v>64.02</v>
      </c>
      <c r="U23" s="2"/>
      <c r="V23" s="5">
        <f t="shared" si="5"/>
        <v>0</v>
      </c>
      <c r="W23" s="2"/>
      <c r="X23" s="2">
        <f t="shared" si="6"/>
        <v>-64.02</v>
      </c>
      <c r="Y23" s="2"/>
      <c r="Z23" s="5">
        <f t="shared" si="7"/>
        <v>-1</v>
      </c>
    </row>
    <row r="24" spans="1:26" s="69" customFormat="1" ht="15" hidden="1" customHeight="1" outlineLevel="2" x14ac:dyDescent="0.3">
      <c r="A24" s="21"/>
      <c r="B24" s="9" t="str">
        <f>CONCATENATE("          ","6351"," - ","EQUIPMENT RENTAL")</f>
        <v xml:space="preserve">          6351 - EQUIPMENT RENTAL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64.02</v>
      </c>
      <c r="U24" s="3"/>
      <c r="V24" s="7">
        <f t="shared" si="5"/>
        <v>0</v>
      </c>
      <c r="W24" s="3"/>
      <c r="X24" s="6">
        <f t="shared" si="6"/>
        <v>-64.02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0"/>
      <c r="B25" s="11" t="str">
        <f>CONCATENATE("     ","Repair and Maintenance                            ")</f>
        <v xml:space="preserve">     Repair and Maintenance                            </v>
      </c>
      <c r="C25" s="11"/>
      <c r="D25" s="2">
        <f>SUM(OSRRefD22_3x_0)</f>
        <v>0</v>
      </c>
      <c r="E25" s="2"/>
      <c r="F25" s="5">
        <f t="shared" si="0"/>
        <v>0</v>
      </c>
      <c r="G25" s="2"/>
      <c r="H25" s="2">
        <f>SUM(OSRRefH22_3x_0)</f>
        <v>69.290000000000006</v>
      </c>
      <c r="I25" s="2"/>
      <c r="J25" s="5">
        <f t="shared" si="1"/>
        <v>0</v>
      </c>
      <c r="K25" s="2"/>
      <c r="L25" s="2">
        <f t="shared" si="2"/>
        <v>-69.290000000000006</v>
      </c>
      <c r="M25" s="2"/>
      <c r="N25" s="5">
        <f t="shared" si="3"/>
        <v>-1</v>
      </c>
      <c r="O25" s="11"/>
      <c r="P25" s="2">
        <f>SUM(OSRRefP22_3x_0)</f>
        <v>69.290000000000006</v>
      </c>
      <c r="Q25" s="2"/>
      <c r="R25" s="5">
        <f t="shared" si="4"/>
        <v>0</v>
      </c>
      <c r="S25" s="2"/>
      <c r="T25" s="2">
        <f>SUM(OSRRefT22_3x_0)</f>
        <v>355.76</v>
      </c>
      <c r="U25" s="2"/>
      <c r="V25" s="5">
        <f t="shared" si="5"/>
        <v>0</v>
      </c>
      <c r="W25" s="2"/>
      <c r="X25" s="2">
        <f t="shared" si="6"/>
        <v>-286.46999999999997</v>
      </c>
      <c r="Y25" s="2"/>
      <c r="Z25" s="5">
        <f t="shared" si="7"/>
        <v>-0.80523386552732168</v>
      </c>
    </row>
    <row r="26" spans="1:26" s="69" customFormat="1" ht="15" hidden="1" customHeight="1" outlineLevel="2" x14ac:dyDescent="0.3">
      <c r="A26" s="21"/>
      <c r="B26" s="9" t="str">
        <f>CONCATENATE("          ","6373"," - ","MAINTENANCE CONTRACTS")</f>
        <v xml:space="preserve">          6373 - MAINTENANCE CONTRACTS</v>
      </c>
      <c r="C26" s="9"/>
      <c r="D26" s="6"/>
      <c r="E26" s="3"/>
      <c r="F26" s="7">
        <f t="shared" si="0"/>
        <v>0</v>
      </c>
      <c r="G26" s="3"/>
      <c r="H26" s="6">
        <v>69.290000000000006</v>
      </c>
      <c r="I26" s="3"/>
      <c r="J26" s="7">
        <f t="shared" si="1"/>
        <v>0</v>
      </c>
      <c r="K26" s="3"/>
      <c r="L26" s="6">
        <f t="shared" si="2"/>
        <v>-69.290000000000006</v>
      </c>
      <c r="M26" s="3"/>
      <c r="N26" s="7">
        <f t="shared" si="3"/>
        <v>-1</v>
      </c>
      <c r="O26" s="9"/>
      <c r="P26" s="6">
        <v>69.290000000000006</v>
      </c>
      <c r="Q26" s="3"/>
      <c r="R26" s="7">
        <f t="shared" si="4"/>
        <v>0</v>
      </c>
      <c r="S26" s="3"/>
      <c r="T26" s="6">
        <v>355.76</v>
      </c>
      <c r="U26" s="3"/>
      <c r="V26" s="7">
        <f t="shared" si="5"/>
        <v>0</v>
      </c>
      <c r="W26" s="3"/>
      <c r="X26" s="6">
        <f t="shared" si="6"/>
        <v>-286.46999999999997</v>
      </c>
      <c r="Y26" s="3"/>
      <c r="Z26" s="7">
        <f t="shared" si="7"/>
        <v>-0.80523386552732168</v>
      </c>
    </row>
    <row r="27" spans="1:26" s="68" customFormat="1" ht="15" customHeight="1" outlineLevel="1" collapsed="1" x14ac:dyDescent="0.3">
      <c r="A27" s="20"/>
      <c r="B27" s="11" t="str">
        <f>CONCATENATE("     ","Telephone/Data Lines                              ")</f>
        <v xml:space="preserve">     Telephone/Data Lines                              </v>
      </c>
      <c r="C27" s="11"/>
      <c r="D27" s="2">
        <f>SUM(OSRRefD22_4x_0)</f>
        <v>0</v>
      </c>
      <c r="E27" s="2"/>
      <c r="F27" s="5">
        <f t="shared" si="0"/>
        <v>0</v>
      </c>
      <c r="G27" s="2"/>
      <c r="H27" s="2">
        <f>SUM(OSRRefH22_4x_0)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SUM(OSRRefP22_4x_0)</f>
        <v>0</v>
      </c>
      <c r="Q27" s="2"/>
      <c r="R27" s="5">
        <f t="shared" si="4"/>
        <v>0</v>
      </c>
      <c r="S27" s="2"/>
      <c r="T27" s="2">
        <f>SUM(OSRRefT22_4x_0)</f>
        <v>85.2</v>
      </c>
      <c r="U27" s="2"/>
      <c r="V27" s="5">
        <f t="shared" si="5"/>
        <v>0</v>
      </c>
      <c r="W27" s="2"/>
      <c r="X27" s="2">
        <f t="shared" si="6"/>
        <v>-85.2</v>
      </c>
      <c r="Y27" s="2"/>
      <c r="Z27" s="5">
        <f t="shared" si="7"/>
        <v>-1</v>
      </c>
    </row>
    <row r="28" spans="1:26" s="69" customFormat="1" ht="15" hidden="1" customHeight="1" outlineLevel="2" x14ac:dyDescent="0.3">
      <c r="A28" s="21"/>
      <c r="B28" s="9" t="str">
        <f>CONCATENATE("          ","6309"," - ","TELEPHONE")</f>
        <v xml:space="preserve">          6309 - TELEPHONE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85.2</v>
      </c>
      <c r="U28" s="3"/>
      <c r="V28" s="7">
        <f t="shared" si="5"/>
        <v>0</v>
      </c>
      <c r="W28" s="3"/>
      <c r="X28" s="6">
        <f t="shared" si="6"/>
        <v>-85.2</v>
      </c>
      <c r="Y28" s="3"/>
      <c r="Z28" s="7">
        <f t="shared" si="7"/>
        <v>-1</v>
      </c>
    </row>
    <row r="29" spans="1:26" s="64" customFormat="1" ht="15" customHeight="1" x14ac:dyDescent="0.3">
      <c r="A29" s="37"/>
      <c r="B29" s="37"/>
      <c r="C29" s="37"/>
      <c r="D29" s="2"/>
      <c r="E29" s="2"/>
      <c r="F29" s="5"/>
      <c r="G29" s="2"/>
      <c r="H29" s="2"/>
      <c r="I29" s="2"/>
      <c r="J29" s="5"/>
      <c r="K29" s="2"/>
      <c r="L29" s="2"/>
      <c r="M29" s="2"/>
      <c r="N29" s="5"/>
      <c r="O29" s="37"/>
      <c r="P29" s="2"/>
      <c r="Q29" s="2"/>
      <c r="R29" s="5"/>
      <c r="S29" s="2"/>
      <c r="T29" s="2"/>
      <c r="U29" s="2"/>
      <c r="V29" s="5"/>
      <c r="W29" s="2"/>
      <c r="X29" s="2"/>
      <c r="Y29" s="2"/>
      <c r="Z29" s="5"/>
    </row>
    <row r="30" spans="1:26" s="62" customFormat="1" ht="15" customHeight="1" x14ac:dyDescent="0.3">
      <c r="A30" s="13"/>
      <c r="B30" s="27" t="s">
        <v>290</v>
      </c>
      <c r="C30" s="13"/>
      <c r="D30" s="8">
        <f>SUM(0)</f>
        <v>0</v>
      </c>
      <c r="E30" s="8"/>
      <c r="F30" s="14">
        <f>IF(D$12=0,0,D30/D$12)</f>
        <v>0</v>
      </c>
      <c r="G30" s="8"/>
      <c r="H30" s="8">
        <f>SUM(0)</f>
        <v>0</v>
      </c>
      <c r="I30" s="8"/>
      <c r="J30" s="14">
        <f>IF(H$12=0,0,H30/H$12)</f>
        <v>0</v>
      </c>
      <c r="K30" s="8"/>
      <c r="L30" s="8">
        <f>+D30-H30</f>
        <v>0</v>
      </c>
      <c r="M30" s="8"/>
      <c r="N30" s="14">
        <f>IF(H30=0,0,L30/H30)</f>
        <v>0</v>
      </c>
      <c r="O30" s="13"/>
      <c r="P30" s="8">
        <f>SUM(0)</f>
        <v>0</v>
      </c>
      <c r="Q30" s="8"/>
      <c r="R30" s="14">
        <f>IF(P$12=0,0,P30/P$12)</f>
        <v>0</v>
      </c>
      <c r="S30" s="8"/>
      <c r="T30" s="8">
        <f>SUM(0)</f>
        <v>0</v>
      </c>
      <c r="U30" s="8"/>
      <c r="V30" s="14">
        <f>IF(T$12=0,0,T30/T$12)</f>
        <v>0</v>
      </c>
      <c r="W30" s="8"/>
      <c r="X30" s="8">
        <f>+P30-T30</f>
        <v>0</v>
      </c>
      <c r="Y30" s="8"/>
      <c r="Z30" s="14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2" customFormat="1" ht="15" customHeight="1" x14ac:dyDescent="0.3">
      <c r="A32" s="13"/>
      <c r="B32" s="28" t="s">
        <v>291</v>
      </c>
      <c r="C32" s="28"/>
      <c r="D32" s="22">
        <f>+D16-D18+D30</f>
        <v>0</v>
      </c>
      <c r="E32" s="15"/>
      <c r="F32" s="24">
        <f>IF(D$12=0,0,D32/D$12)</f>
        <v>0</v>
      </c>
      <c r="G32" s="15"/>
      <c r="H32" s="22">
        <f>+H16-H18+H30</f>
        <v>-76.760000000000005</v>
      </c>
      <c r="I32" s="15"/>
      <c r="J32" s="24">
        <f>IF(H$12=0,0,H32/H$12)</f>
        <v>0</v>
      </c>
      <c r="K32" s="17"/>
      <c r="L32" s="22">
        <f>+D32-H32</f>
        <v>76.760000000000005</v>
      </c>
      <c r="M32" s="17"/>
      <c r="N32" s="24">
        <f>IF(H32=0,0,L32/H32)</f>
        <v>-1</v>
      </c>
      <c r="O32" s="27"/>
      <c r="P32" s="22">
        <f>+P16-P18+P30</f>
        <v>-69.290000000000006</v>
      </c>
      <c r="Q32" s="15"/>
      <c r="R32" s="24">
        <f>IF(P$12=0,0,P32/P$12)</f>
        <v>0</v>
      </c>
      <c r="S32" s="15"/>
      <c r="T32" s="22">
        <f>+T16-T18+T30</f>
        <v>-2488.2999999999997</v>
      </c>
      <c r="U32" s="15"/>
      <c r="V32" s="24">
        <f>IF(T$12=0,0,T32/T$12)</f>
        <v>0</v>
      </c>
      <c r="W32" s="17"/>
      <c r="X32" s="22">
        <f>+P32-T32</f>
        <v>2419.0099999999998</v>
      </c>
      <c r="Y32" s="17"/>
      <c r="Z32" s="24">
        <f>IF(T32=0,0,X32/T32)</f>
        <v>-0.97215367921874374</v>
      </c>
    </row>
    <row r="33" spans="1:26" ht="15" customHeight="1" x14ac:dyDescent="0.3">
      <c r="A33" s="12"/>
      <c r="B33" s="13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s="62" customFormat="1" ht="15" customHeight="1" x14ac:dyDescent="0.3">
      <c r="A34" s="48"/>
      <c r="B34" s="13" t="s">
        <v>292</v>
      </c>
      <c r="C34" s="13"/>
      <c r="D34" s="8"/>
      <c r="E34" s="8"/>
      <c r="F34" s="14">
        <f>IF(D$12=0,0,D34/D$12)</f>
        <v>0</v>
      </c>
      <c r="G34" s="8"/>
      <c r="H34" s="8"/>
      <c r="I34" s="8"/>
      <c r="J34" s="14">
        <f>IF(H$12=0,0,H34/H$12)</f>
        <v>0</v>
      </c>
      <c r="K34" s="8"/>
      <c r="L34" s="8">
        <f>+D34-H34</f>
        <v>0</v>
      </c>
      <c r="M34" s="8"/>
      <c r="N34" s="14">
        <f>IF(H34=0,0,L34/H34)</f>
        <v>0</v>
      </c>
      <c r="O34" s="13"/>
      <c r="P34" s="8"/>
      <c r="Q34" s="8"/>
      <c r="R34" s="14">
        <f>IF(P$12=0,0,P34/P$12)</f>
        <v>0</v>
      </c>
      <c r="S34" s="8"/>
      <c r="T34" s="8"/>
      <c r="U34" s="8"/>
      <c r="V34" s="14">
        <f>IF(T$12=0,0,T34/T$12)</f>
        <v>0</v>
      </c>
      <c r="W34" s="8"/>
      <c r="X34" s="8">
        <f>+P34-T34</f>
        <v>0</v>
      </c>
      <c r="Y34" s="8"/>
      <c r="Z34" s="14">
        <f>IF(T34=0,0,X34/T34)</f>
        <v>0</v>
      </c>
    </row>
    <row r="35" spans="1:26" ht="15" customHeight="1" x14ac:dyDescent="0.3">
      <c r="A35" s="12"/>
      <c r="B35" s="13"/>
      <c r="C35" s="13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O35" s="13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x14ac:dyDescent="0.3">
      <c r="A36" s="13"/>
      <c r="B36" s="28" t="s">
        <v>293</v>
      </c>
      <c r="C36" s="28"/>
      <c r="D36" s="29">
        <f>+D32-D34</f>
        <v>0</v>
      </c>
      <c r="E36" s="15"/>
      <c r="F36" s="31">
        <f>IF(D$12=0,0,D36/D$12)</f>
        <v>0</v>
      </c>
      <c r="G36" s="15"/>
      <c r="H36" s="29">
        <f>+H32-H34</f>
        <v>-76.760000000000005</v>
      </c>
      <c r="I36" s="15"/>
      <c r="J36" s="31">
        <f>IF(H$12=0,0,H36/H$12)</f>
        <v>0</v>
      </c>
      <c r="K36" s="17"/>
      <c r="L36" s="29">
        <f>D36-H36</f>
        <v>76.760000000000005</v>
      </c>
      <c r="M36" s="17"/>
      <c r="N36" s="31">
        <f>IF(H36=0,0,L36/H36)</f>
        <v>-1</v>
      </c>
      <c r="O36" s="27"/>
      <c r="P36" s="29">
        <f>+P32-P34</f>
        <v>-69.290000000000006</v>
      </c>
      <c r="Q36" s="15"/>
      <c r="R36" s="31">
        <f>IF(P$12=0,0,P36/P$12)</f>
        <v>0</v>
      </c>
      <c r="S36" s="15"/>
      <c r="T36" s="29">
        <f>+T32-T34</f>
        <v>-2488.2999999999997</v>
      </c>
      <c r="U36" s="15"/>
      <c r="V36" s="31">
        <f>IF(T$12=0,0,T36/T$12)</f>
        <v>0</v>
      </c>
      <c r="W36" s="17"/>
      <c r="X36" s="29">
        <f>P36-T36</f>
        <v>2419.0099999999998</v>
      </c>
      <c r="Y36" s="17"/>
      <c r="Z36" s="31">
        <f>IF(T36=0,0,X36/T36)</f>
        <v>-0.97215367921874374</v>
      </c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ht="15" customHeight="1" x14ac:dyDescent="0.3">
      <c r="A38" s="12"/>
      <c r="B38" s="12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2" customFormat="1" ht="15" customHeight="1" x14ac:dyDescent="0.3">
      <c r="A39" s="13"/>
      <c r="B39" s="28" t="s">
        <v>296</v>
      </c>
      <c r="C39" s="28"/>
      <c r="D39" s="30">
        <f>SUM(D36:D38)</f>
        <v>0</v>
      </c>
      <c r="E39" s="15"/>
      <c r="F39" s="35">
        <f>IF(D$12=0,0,D39/D$12)</f>
        <v>0</v>
      </c>
      <c r="G39" s="15"/>
      <c r="H39" s="30">
        <f>SUM(H36:H38)</f>
        <v>-76.760000000000005</v>
      </c>
      <c r="I39" s="15"/>
      <c r="J39" s="35">
        <f>IF(H$12=0,0,H39/H$12)</f>
        <v>0</v>
      </c>
      <c r="K39" s="17"/>
      <c r="L39" s="30">
        <f>+D39-H39</f>
        <v>76.760000000000005</v>
      </c>
      <c r="M39" s="17"/>
      <c r="N39" s="35">
        <f>IF(H39=0,0,L39/H39)</f>
        <v>-1</v>
      </c>
      <c r="O39" s="27"/>
      <c r="P39" s="30">
        <f>SUM(P36:P38)</f>
        <v>-69.290000000000006</v>
      </c>
      <c r="Q39" s="15"/>
      <c r="R39" s="35">
        <f>IF(P$12=0,0,P39/P$12)</f>
        <v>0</v>
      </c>
      <c r="S39" s="15"/>
      <c r="T39" s="30">
        <f>SUM(T36:T38)</f>
        <v>-2488.2999999999997</v>
      </c>
      <c r="U39" s="15"/>
      <c r="V39" s="35">
        <f>IF(T$12=0,0,T39/T$12)</f>
        <v>0</v>
      </c>
      <c r="W39" s="17"/>
      <c r="X39" s="30">
        <f>+P39-T39</f>
        <v>2419.0099999999998</v>
      </c>
      <c r="Y39" s="17"/>
      <c r="Z39" s="35">
        <f>IF(T39=0,0,X39/T39)</f>
        <v>-0.97215367921874374</v>
      </c>
    </row>
    <row r="40" spans="1:26" ht="15" customHeight="1" x14ac:dyDescent="0.3">
      <c r="A40" s="12"/>
      <c r="C40" s="12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4">
        <v>44767.815885219905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3" t="s">
        <v>297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2"/>
      <c r="B43" s="51"/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FE41A-6F6C-E57D-A016-9A3D61767EBF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","411"," - ","University Dining")</f>
        <v>Department 411 - University Dining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69099.53</v>
      </c>
      <c r="E18" s="23"/>
      <c r="F18" s="34">
        <f t="shared" ref="F18:F49" si="0">IF(D$12=0,0,D18/D$12)</f>
        <v>0</v>
      </c>
      <c r="G18" s="23"/>
      <c r="H18" s="23" cm="1">
        <f t="array" ref="H18">SUM(OSRRefH22x_0)</f>
        <v>103185.23</v>
      </c>
      <c r="I18" s="23"/>
      <c r="J18" s="34">
        <f t="shared" ref="J18:J49" si="1">IF(H$12=0,0,H18/H$12)</f>
        <v>0</v>
      </c>
      <c r="K18" s="8"/>
      <c r="L18" s="23">
        <f t="shared" ref="L18:L49" si="2">+D18-H18</f>
        <v>-34085.699999999997</v>
      </c>
      <c r="M18" s="8"/>
      <c r="N18" s="34">
        <f t="shared" ref="N18:N49" si="3">IF(H18=0,0,L18/H18)</f>
        <v>-0.33033506830386478</v>
      </c>
      <c r="O18" s="13"/>
      <c r="P18" s="23" cm="1">
        <f t="array" ref="P18">SUM(OSRRefP22x_0)</f>
        <v>637050.65000000014</v>
      </c>
      <c r="Q18" s="23"/>
      <c r="R18" s="34">
        <f t="shared" ref="R18:R49" si="4">IF(P$12=0,0,P18/P$12)</f>
        <v>0</v>
      </c>
      <c r="S18" s="23"/>
      <c r="T18" s="23" cm="1">
        <f t="array" ref="T18">SUM(OSRRefT22x_0)</f>
        <v>434164.84</v>
      </c>
      <c r="U18" s="23"/>
      <c r="V18" s="34">
        <f t="shared" ref="V18:V49" si="5">IF(T$12=0,0,T18/T$12)</f>
        <v>0</v>
      </c>
      <c r="W18" s="8"/>
      <c r="X18" s="23">
        <f t="shared" ref="X18:X49" si="6">+P18-T18</f>
        <v>202885.81000000011</v>
      </c>
      <c r="Y18" s="8"/>
      <c r="Z18" s="34">
        <f t="shared" ref="Z18:Z49" si="7">IF(T18=0,0,X18/T18)</f>
        <v>0.46730133651541222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9136.3000000000011</v>
      </c>
      <c r="E19" s="2"/>
      <c r="F19" s="5">
        <f t="shared" si="0"/>
        <v>0</v>
      </c>
      <c r="G19" s="2"/>
      <c r="H19" s="2">
        <f>SUM(OSRRefH22_0x_0)</f>
        <v>6349.6100000000006</v>
      </c>
      <c r="I19" s="2"/>
      <c r="J19" s="5">
        <f t="shared" si="1"/>
        <v>0</v>
      </c>
      <c r="K19" s="2"/>
      <c r="L19" s="2">
        <f t="shared" si="2"/>
        <v>2786.6900000000005</v>
      </c>
      <c r="M19" s="2"/>
      <c r="N19" s="5">
        <f t="shared" si="3"/>
        <v>0.43887577347270151</v>
      </c>
      <c r="O19" s="11"/>
      <c r="P19" s="2">
        <f>SUM(OSRRefP22_0x_0)</f>
        <v>126502.11000000002</v>
      </c>
      <c r="Q19" s="2"/>
      <c r="R19" s="5">
        <f t="shared" si="4"/>
        <v>0</v>
      </c>
      <c r="S19" s="2"/>
      <c r="T19" s="2">
        <f>SUM(OSRRefT22_0x_0)</f>
        <v>72575.920000000013</v>
      </c>
      <c r="U19" s="2"/>
      <c r="V19" s="5">
        <f t="shared" si="5"/>
        <v>0</v>
      </c>
      <c r="W19" s="2"/>
      <c r="X19" s="2">
        <f t="shared" si="6"/>
        <v>53926.19</v>
      </c>
      <c r="Y19" s="2"/>
      <c r="Z19" s="5">
        <f t="shared" si="7"/>
        <v>0.74303143521983595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1589.95</v>
      </c>
      <c r="E20" s="3"/>
      <c r="F20" s="7">
        <f t="shared" si="0"/>
        <v>0</v>
      </c>
      <c r="G20" s="3"/>
      <c r="H20" s="6">
        <v>892.2</v>
      </c>
      <c r="I20" s="3"/>
      <c r="J20" s="7">
        <f t="shared" si="1"/>
        <v>0</v>
      </c>
      <c r="K20" s="3"/>
      <c r="L20" s="6">
        <f t="shared" si="2"/>
        <v>697.75</v>
      </c>
      <c r="M20" s="3"/>
      <c r="N20" s="7">
        <f t="shared" si="3"/>
        <v>0.78205559291638638</v>
      </c>
      <c r="O20" s="9"/>
      <c r="P20" s="6">
        <v>18005.73</v>
      </c>
      <c r="Q20" s="3"/>
      <c r="R20" s="7">
        <f t="shared" si="4"/>
        <v>0</v>
      </c>
      <c r="S20" s="3"/>
      <c r="T20" s="6">
        <v>10920.13</v>
      </c>
      <c r="U20" s="3"/>
      <c r="V20" s="7">
        <f t="shared" si="5"/>
        <v>0</v>
      </c>
      <c r="W20" s="3"/>
      <c r="X20" s="6">
        <f t="shared" si="6"/>
        <v>7085.6</v>
      </c>
      <c r="Y20" s="3"/>
      <c r="Z20" s="7">
        <f t="shared" si="7"/>
        <v>0.64885674437941676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-381.35</v>
      </c>
      <c r="E21" s="3"/>
      <c r="F21" s="7">
        <f t="shared" si="0"/>
        <v>0</v>
      </c>
      <c r="G21" s="3"/>
      <c r="H21" s="6">
        <v>36.78</v>
      </c>
      <c r="I21" s="3"/>
      <c r="J21" s="7">
        <f t="shared" si="1"/>
        <v>0</v>
      </c>
      <c r="K21" s="3"/>
      <c r="L21" s="6">
        <f t="shared" si="2"/>
        <v>-418.13</v>
      </c>
      <c r="M21" s="3"/>
      <c r="N21" s="7">
        <f t="shared" si="3"/>
        <v>-11.368406742794997</v>
      </c>
      <c r="O21" s="9"/>
      <c r="P21" s="6">
        <v>2371.75</v>
      </c>
      <c r="Q21" s="3"/>
      <c r="R21" s="7">
        <f t="shared" si="4"/>
        <v>0</v>
      </c>
      <c r="S21" s="3"/>
      <c r="T21" s="6">
        <v>605.92999999999995</v>
      </c>
      <c r="U21" s="3"/>
      <c r="V21" s="7">
        <f t="shared" si="5"/>
        <v>0</v>
      </c>
      <c r="W21" s="3"/>
      <c r="X21" s="6">
        <f t="shared" si="6"/>
        <v>1765.8200000000002</v>
      </c>
      <c r="Y21" s="3"/>
      <c r="Z21" s="7">
        <f t="shared" si="7"/>
        <v>2.9142310167841177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3042.72</v>
      </c>
      <c r="E22" s="3"/>
      <c r="F22" s="7">
        <f t="shared" si="0"/>
        <v>0</v>
      </c>
      <c r="G22" s="3"/>
      <c r="H22" s="6">
        <v>1920.87</v>
      </c>
      <c r="I22" s="3"/>
      <c r="J22" s="7">
        <f t="shared" si="1"/>
        <v>0</v>
      </c>
      <c r="K22" s="3"/>
      <c r="L22" s="6">
        <f t="shared" si="2"/>
        <v>1121.8499999999999</v>
      </c>
      <c r="M22" s="3"/>
      <c r="N22" s="7">
        <f t="shared" si="3"/>
        <v>0.58403223539333737</v>
      </c>
      <c r="O22" s="9"/>
      <c r="P22" s="6">
        <v>38185.230000000003</v>
      </c>
      <c r="Q22" s="3"/>
      <c r="R22" s="7">
        <f t="shared" si="4"/>
        <v>0</v>
      </c>
      <c r="S22" s="3"/>
      <c r="T22" s="6">
        <v>22095.69</v>
      </c>
      <c r="U22" s="3"/>
      <c r="V22" s="7">
        <f t="shared" si="5"/>
        <v>0</v>
      </c>
      <c r="W22" s="3"/>
      <c r="X22" s="6">
        <f t="shared" si="6"/>
        <v>16089.540000000005</v>
      </c>
      <c r="Y22" s="3"/>
      <c r="Z22" s="7">
        <f t="shared" si="7"/>
        <v>0.72817549485895239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28.98</v>
      </c>
      <c r="I23" s="3"/>
      <c r="J23" s="7">
        <f t="shared" si="1"/>
        <v>0</v>
      </c>
      <c r="K23" s="3"/>
      <c r="L23" s="6">
        <f t="shared" si="2"/>
        <v>-28.98</v>
      </c>
      <c r="M23" s="3"/>
      <c r="N23" s="7">
        <f t="shared" si="3"/>
        <v>-1</v>
      </c>
      <c r="O23" s="9"/>
      <c r="P23" s="6">
        <v>554.85</v>
      </c>
      <c r="Q23" s="3"/>
      <c r="R23" s="7">
        <f t="shared" si="4"/>
        <v>0</v>
      </c>
      <c r="S23" s="3"/>
      <c r="T23" s="6">
        <v>412.51</v>
      </c>
      <c r="U23" s="3"/>
      <c r="V23" s="7">
        <f t="shared" si="5"/>
        <v>0</v>
      </c>
      <c r="W23" s="3"/>
      <c r="X23" s="6">
        <f t="shared" si="6"/>
        <v>142.34000000000003</v>
      </c>
      <c r="Y23" s="3"/>
      <c r="Z23" s="7">
        <f t="shared" si="7"/>
        <v>0.34505830161693057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2163.85</v>
      </c>
      <c r="E24" s="3"/>
      <c r="F24" s="7">
        <f t="shared" si="0"/>
        <v>0</v>
      </c>
      <c r="G24" s="3"/>
      <c r="H24" s="6">
        <v>1831.58</v>
      </c>
      <c r="I24" s="3"/>
      <c r="J24" s="7">
        <f t="shared" si="1"/>
        <v>0</v>
      </c>
      <c r="K24" s="3"/>
      <c r="L24" s="6">
        <f t="shared" si="2"/>
        <v>332.27</v>
      </c>
      <c r="M24" s="3"/>
      <c r="N24" s="7">
        <f t="shared" si="3"/>
        <v>0.18141167734961072</v>
      </c>
      <c r="O24" s="9"/>
      <c r="P24" s="6">
        <v>25106.86</v>
      </c>
      <c r="Q24" s="3"/>
      <c r="R24" s="7">
        <f t="shared" si="4"/>
        <v>0</v>
      </c>
      <c r="S24" s="3"/>
      <c r="T24" s="6">
        <v>17534.57</v>
      </c>
      <c r="U24" s="3"/>
      <c r="V24" s="7">
        <f t="shared" si="5"/>
        <v>0</v>
      </c>
      <c r="W24" s="3"/>
      <c r="X24" s="6">
        <f t="shared" si="6"/>
        <v>7572.2900000000009</v>
      </c>
      <c r="Y24" s="3"/>
      <c r="Z24" s="7">
        <f t="shared" si="7"/>
        <v>0.43184919846908143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1579.7</v>
      </c>
      <c r="E25" s="3"/>
      <c r="F25" s="7">
        <f t="shared" si="0"/>
        <v>0</v>
      </c>
      <c r="G25" s="3"/>
      <c r="H25" s="6">
        <v>1022.52</v>
      </c>
      <c r="I25" s="3"/>
      <c r="J25" s="7">
        <f t="shared" si="1"/>
        <v>0</v>
      </c>
      <c r="K25" s="3"/>
      <c r="L25" s="6">
        <f t="shared" si="2"/>
        <v>557.18000000000006</v>
      </c>
      <c r="M25" s="3"/>
      <c r="N25" s="7">
        <f t="shared" si="3"/>
        <v>0.54490865704338309</v>
      </c>
      <c r="O25" s="9"/>
      <c r="P25" s="6">
        <v>21928.44</v>
      </c>
      <c r="Q25" s="3"/>
      <c r="R25" s="7">
        <f t="shared" si="4"/>
        <v>0</v>
      </c>
      <c r="S25" s="3"/>
      <c r="T25" s="6">
        <v>13484.9</v>
      </c>
      <c r="U25" s="3"/>
      <c r="V25" s="7">
        <f t="shared" si="5"/>
        <v>0</v>
      </c>
      <c r="W25" s="3"/>
      <c r="X25" s="6">
        <f t="shared" si="6"/>
        <v>8443.5399999999991</v>
      </c>
      <c r="Y25" s="3"/>
      <c r="Z25" s="7">
        <f t="shared" si="7"/>
        <v>0.62614776527820004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825.9</v>
      </c>
      <c r="E26" s="3"/>
      <c r="F26" s="7">
        <f t="shared" si="0"/>
        <v>0</v>
      </c>
      <c r="G26" s="3"/>
      <c r="H26" s="6">
        <v>510.58</v>
      </c>
      <c r="I26" s="3"/>
      <c r="J26" s="7">
        <f t="shared" si="1"/>
        <v>0</v>
      </c>
      <c r="K26" s="3"/>
      <c r="L26" s="6">
        <f t="shared" si="2"/>
        <v>315.32</v>
      </c>
      <c r="M26" s="3"/>
      <c r="N26" s="7">
        <f t="shared" si="3"/>
        <v>0.61757217282306398</v>
      </c>
      <c r="O26" s="9"/>
      <c r="P26" s="6">
        <v>16648.169999999998</v>
      </c>
      <c r="Q26" s="3"/>
      <c r="R26" s="7">
        <f t="shared" si="4"/>
        <v>0</v>
      </c>
      <c r="S26" s="3"/>
      <c r="T26" s="6">
        <v>6733.48</v>
      </c>
      <c r="U26" s="3"/>
      <c r="V26" s="7">
        <f t="shared" si="5"/>
        <v>0</v>
      </c>
      <c r="W26" s="3"/>
      <c r="X26" s="6">
        <f t="shared" si="6"/>
        <v>9914.6899999999987</v>
      </c>
      <c r="Y26" s="3"/>
      <c r="Z26" s="7">
        <f t="shared" si="7"/>
        <v>1.4724466397761633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315.52999999999997</v>
      </c>
      <c r="E27" s="3"/>
      <c r="F27" s="7">
        <f t="shared" si="0"/>
        <v>0</v>
      </c>
      <c r="G27" s="3"/>
      <c r="H27" s="6">
        <v>106.1</v>
      </c>
      <c r="I27" s="3"/>
      <c r="J27" s="7">
        <f t="shared" si="1"/>
        <v>0</v>
      </c>
      <c r="K27" s="3"/>
      <c r="L27" s="6">
        <f t="shared" si="2"/>
        <v>209.42999999999998</v>
      </c>
      <c r="M27" s="3"/>
      <c r="N27" s="7">
        <f t="shared" si="3"/>
        <v>1.9738925541941563</v>
      </c>
      <c r="O27" s="9"/>
      <c r="P27" s="6">
        <v>3701.08</v>
      </c>
      <c r="Q27" s="3"/>
      <c r="R27" s="7">
        <f t="shared" si="4"/>
        <v>0</v>
      </c>
      <c r="S27" s="3"/>
      <c r="T27" s="6">
        <v>788.71</v>
      </c>
      <c r="U27" s="3"/>
      <c r="V27" s="7">
        <f t="shared" si="5"/>
        <v>0</v>
      </c>
      <c r="W27" s="3"/>
      <c r="X27" s="6">
        <f t="shared" si="6"/>
        <v>2912.37</v>
      </c>
      <c r="Y27" s="3"/>
      <c r="Z27" s="7">
        <f t="shared" si="7"/>
        <v>3.692573949867505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10551.19</v>
      </c>
      <c r="E28" s="2"/>
      <c r="F28" s="5">
        <f t="shared" si="0"/>
        <v>0</v>
      </c>
      <c r="G28" s="2"/>
      <c r="H28" s="2">
        <f>SUM(OSRRefH22_1x_0)</f>
        <v>11587.78</v>
      </c>
      <c r="I28" s="2"/>
      <c r="J28" s="5">
        <f t="shared" si="1"/>
        <v>0</v>
      </c>
      <c r="K28" s="2"/>
      <c r="L28" s="2">
        <f t="shared" si="2"/>
        <v>-1036.5900000000001</v>
      </c>
      <c r="M28" s="2"/>
      <c r="N28" s="5">
        <f t="shared" si="3"/>
        <v>-8.9455443579356878E-2</v>
      </c>
      <c r="O28" s="11"/>
      <c r="P28" s="2">
        <f>SUM(OSRRefP22_1x_0)</f>
        <v>204696.29</v>
      </c>
      <c r="Q28" s="2"/>
      <c r="R28" s="5">
        <f t="shared" si="4"/>
        <v>0</v>
      </c>
      <c r="S28" s="2"/>
      <c r="T28" s="2">
        <f>SUM(OSRRefT22_1x_0)</f>
        <v>133400.91</v>
      </c>
      <c r="U28" s="2"/>
      <c r="V28" s="5">
        <f t="shared" si="5"/>
        <v>0</v>
      </c>
      <c r="W28" s="2"/>
      <c r="X28" s="2">
        <f t="shared" si="6"/>
        <v>71295.38</v>
      </c>
      <c r="Y28" s="2"/>
      <c r="Z28" s="5">
        <f t="shared" si="7"/>
        <v>0.53444448017633461</v>
      </c>
    </row>
    <row r="29" spans="1:26" s="69" customFormat="1" ht="15" hidden="1" customHeight="1" outlineLevel="2" x14ac:dyDescent="0.3">
      <c r="A29" s="21"/>
      <c r="B29" s="9" t="str">
        <f>CONCATENATE("          ","6001"," - ","ADMINISTRATIVE SALARIES")</f>
        <v xml:space="preserve">          6001 - ADMINISTRATIVE SALARIES</v>
      </c>
      <c r="C29" s="9"/>
      <c r="D29" s="6">
        <v>5756.01</v>
      </c>
      <c r="E29" s="3"/>
      <c r="F29" s="7">
        <f t="shared" si="0"/>
        <v>0</v>
      </c>
      <c r="G29" s="3"/>
      <c r="H29" s="6">
        <v>11069.28</v>
      </c>
      <c r="I29" s="3"/>
      <c r="J29" s="7">
        <f t="shared" si="1"/>
        <v>0</v>
      </c>
      <c r="K29" s="3"/>
      <c r="L29" s="6">
        <f t="shared" si="2"/>
        <v>-5313.27</v>
      </c>
      <c r="M29" s="3"/>
      <c r="N29" s="7">
        <f t="shared" si="3"/>
        <v>-0.4800014093057543</v>
      </c>
      <c r="O29" s="9"/>
      <c r="P29" s="6">
        <v>128912.89</v>
      </c>
      <c r="Q29" s="3"/>
      <c r="R29" s="7">
        <f t="shared" si="4"/>
        <v>0</v>
      </c>
      <c r="S29" s="3"/>
      <c r="T29" s="6">
        <v>130427.41</v>
      </c>
      <c r="U29" s="3"/>
      <c r="V29" s="7">
        <f t="shared" si="5"/>
        <v>0</v>
      </c>
      <c r="W29" s="3"/>
      <c r="X29" s="6">
        <f t="shared" si="6"/>
        <v>-1514.5200000000041</v>
      </c>
      <c r="Y29" s="3"/>
      <c r="Z29" s="7">
        <f t="shared" si="7"/>
        <v>-1.1611976347609786E-2</v>
      </c>
    </row>
    <row r="30" spans="1:26" s="69" customFormat="1" ht="15" hidden="1" customHeight="1" outlineLevel="2" x14ac:dyDescent="0.3">
      <c r="A30" s="21"/>
      <c r="B30" s="9" t="str">
        <f>CONCATENATE("          ","6002"," - ","STAFF SALARIES")</f>
        <v xml:space="preserve">          6002 - STAFF SALARIES</v>
      </c>
      <c r="C30" s="9"/>
      <c r="D30" s="6">
        <v>4795.18</v>
      </c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4795.18</v>
      </c>
      <c r="M30" s="3"/>
      <c r="N30" s="7">
        <f t="shared" si="3"/>
        <v>0</v>
      </c>
      <c r="O30" s="9"/>
      <c r="P30" s="6">
        <v>72776.160000000003</v>
      </c>
      <c r="Q30" s="3"/>
      <c r="R30" s="7">
        <f t="shared" si="4"/>
        <v>0</v>
      </c>
      <c r="S30" s="3"/>
      <c r="T30" s="6">
        <v>2080</v>
      </c>
      <c r="U30" s="3"/>
      <c r="V30" s="7">
        <f t="shared" si="5"/>
        <v>0</v>
      </c>
      <c r="W30" s="3"/>
      <c r="X30" s="6">
        <f t="shared" si="6"/>
        <v>70696.160000000003</v>
      </c>
      <c r="Y30" s="3"/>
      <c r="Z30" s="7">
        <f t="shared" si="7"/>
        <v>33.988538461538461</v>
      </c>
    </row>
    <row r="31" spans="1:26" s="69" customFormat="1" ht="15" hidden="1" customHeight="1" outlineLevel="2" x14ac:dyDescent="0.3">
      <c r="A31" s="21"/>
      <c r="B31" s="9" t="str">
        <f>CONCATENATE("          ","6004"," - ","STAFF HOURLY")</f>
        <v xml:space="preserve">          6004 - STAFF HOURLY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1380.76</v>
      </c>
      <c r="Q31" s="3"/>
      <c r="R31" s="7">
        <f t="shared" si="4"/>
        <v>0</v>
      </c>
      <c r="S31" s="3"/>
      <c r="T31" s="6">
        <v>70</v>
      </c>
      <c r="U31" s="3"/>
      <c r="V31" s="7">
        <f t="shared" si="5"/>
        <v>0</v>
      </c>
      <c r="W31" s="3"/>
      <c r="X31" s="6">
        <f t="shared" si="6"/>
        <v>1310.76</v>
      </c>
      <c r="Y31" s="3"/>
      <c r="Z31" s="7">
        <f t="shared" si="7"/>
        <v>18.725142857142856</v>
      </c>
    </row>
    <row r="32" spans="1:26" s="69" customFormat="1" ht="15" hidden="1" customHeight="1" outlineLevel="2" x14ac:dyDescent="0.3">
      <c r="A32" s="21"/>
      <c r="B32" s="9" t="str">
        <f>CONCATENATE("          ","6005"," - ","TEMPORARY WAGES-HOURLY")</f>
        <v xml:space="preserve">          6005 - TEMPORARY WAGES-HOURLY</v>
      </c>
      <c r="C32" s="9"/>
      <c r="D32" s="6"/>
      <c r="E32" s="3"/>
      <c r="F32" s="7">
        <f t="shared" si="0"/>
        <v>0</v>
      </c>
      <c r="G32" s="3"/>
      <c r="H32" s="6">
        <v>518.5</v>
      </c>
      <c r="I32" s="3"/>
      <c r="J32" s="7">
        <f t="shared" si="1"/>
        <v>0</v>
      </c>
      <c r="K32" s="3"/>
      <c r="L32" s="6">
        <f t="shared" si="2"/>
        <v>-518.5</v>
      </c>
      <c r="M32" s="3"/>
      <c r="N32" s="7">
        <f t="shared" si="3"/>
        <v>-1</v>
      </c>
      <c r="O32" s="9"/>
      <c r="P32" s="6">
        <v>1626.48</v>
      </c>
      <c r="Q32" s="3"/>
      <c r="R32" s="7">
        <f t="shared" si="4"/>
        <v>0</v>
      </c>
      <c r="S32" s="3"/>
      <c r="T32" s="6">
        <v>823.5</v>
      </c>
      <c r="U32" s="3"/>
      <c r="V32" s="7">
        <f t="shared" si="5"/>
        <v>0</v>
      </c>
      <c r="W32" s="3"/>
      <c r="X32" s="6">
        <f t="shared" si="6"/>
        <v>802.98</v>
      </c>
      <c r="Y32" s="3"/>
      <c r="Z32" s="7">
        <f t="shared" si="7"/>
        <v>0.9750819672131148</v>
      </c>
    </row>
    <row r="33" spans="1:26" s="69" customFormat="1" ht="15" hidden="1" customHeight="1" outlineLevel="2" x14ac:dyDescent="0.3">
      <c r="A33" s="21"/>
      <c r="B33" s="9" t="str">
        <f>CONCATENATE("          ","6007"," - ","STUDENT HOURLY")</f>
        <v xml:space="preserve">          6007 - STUDENT HOURLY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0</v>
      </c>
      <c r="Q33" s="3"/>
      <c r="R33" s="7">
        <f t="shared" si="4"/>
        <v>0</v>
      </c>
      <c r="S33" s="3"/>
      <c r="T33" s="6"/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0"/>
      <c r="B34" s="11" t="str">
        <f>CONCATENATE("     ","Advertising/Promo                                 ")</f>
        <v xml:space="preserve">     Advertising/Promo                                 </v>
      </c>
      <c r="C34" s="11"/>
      <c r="D34" s="2">
        <f>SUM(OSRRefD22_2x_0)</f>
        <v>0</v>
      </c>
      <c r="E34" s="2"/>
      <c r="F34" s="5">
        <f t="shared" si="0"/>
        <v>0</v>
      </c>
      <c r="G34" s="2"/>
      <c r="H34" s="2">
        <f>SUM(OSRRefH22_2x_0)</f>
        <v>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SUM(OSRRefP22_2x_0)</f>
        <v>0</v>
      </c>
      <c r="Q34" s="2"/>
      <c r="R34" s="5">
        <f t="shared" si="4"/>
        <v>0</v>
      </c>
      <c r="S34" s="2"/>
      <c r="T34" s="2">
        <f>SUM(OSRRefT22_2x_0)</f>
        <v>63.55</v>
      </c>
      <c r="U34" s="2"/>
      <c r="V34" s="5">
        <f t="shared" si="5"/>
        <v>0</v>
      </c>
      <c r="W34" s="2"/>
      <c r="X34" s="2">
        <f t="shared" si="6"/>
        <v>-63.55</v>
      </c>
      <c r="Y34" s="2"/>
      <c r="Z34" s="5">
        <f t="shared" si="7"/>
        <v>-1</v>
      </c>
    </row>
    <row r="35" spans="1:26" s="69" customFormat="1" ht="15" hidden="1" customHeight="1" outlineLevel="2" x14ac:dyDescent="0.3">
      <c r="A35" s="21"/>
      <c r="B35" s="9" t="str">
        <f>CONCATENATE("          ","6362"," - ","ADVERTISING EXPENSE")</f>
        <v xml:space="preserve">          6362 - ADVERTISING EXPENSE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63.55</v>
      </c>
      <c r="U35" s="3"/>
      <c r="V35" s="7">
        <f t="shared" si="5"/>
        <v>0</v>
      </c>
      <c r="W35" s="3"/>
      <c r="X35" s="6">
        <f t="shared" si="6"/>
        <v>-63.55</v>
      </c>
      <c r="Y35" s="3"/>
      <c r="Z35" s="7">
        <f t="shared" si="7"/>
        <v>-1</v>
      </c>
    </row>
    <row r="36" spans="1:26" s="68" customFormat="1" ht="15" customHeight="1" outlineLevel="1" collapsed="1" x14ac:dyDescent="0.3">
      <c r="A36" s="20"/>
      <c r="B36" s="11" t="str">
        <f>CONCATENATE("     ","Bank/card Fees                                    ")</f>
        <v xml:space="preserve">     Bank/card Fees                                    </v>
      </c>
      <c r="C36" s="11"/>
      <c r="D36" s="2">
        <f>SUM(OSRRefD22_3x_0)</f>
        <v>11.02</v>
      </c>
      <c r="E36" s="2"/>
      <c r="F36" s="5">
        <f t="shared" si="0"/>
        <v>0</v>
      </c>
      <c r="G36" s="2"/>
      <c r="H36" s="2">
        <f>SUM(OSRRefH22_3x_0)</f>
        <v>318.99</v>
      </c>
      <c r="I36" s="2"/>
      <c r="J36" s="5">
        <f t="shared" si="1"/>
        <v>0</v>
      </c>
      <c r="K36" s="2"/>
      <c r="L36" s="2">
        <f t="shared" si="2"/>
        <v>-307.97000000000003</v>
      </c>
      <c r="M36" s="2"/>
      <c r="N36" s="5">
        <f t="shared" si="3"/>
        <v>-0.96545346249098729</v>
      </c>
      <c r="O36" s="11"/>
      <c r="P36" s="2">
        <f>SUM(OSRRefP22_3x_0)</f>
        <v>2129.25</v>
      </c>
      <c r="Q36" s="2"/>
      <c r="R36" s="5">
        <f t="shared" si="4"/>
        <v>0</v>
      </c>
      <c r="S36" s="2"/>
      <c r="T36" s="2">
        <f>SUM(OSRRefT22_3x_0)</f>
        <v>4938.21</v>
      </c>
      <c r="U36" s="2"/>
      <c r="V36" s="5">
        <f t="shared" si="5"/>
        <v>0</v>
      </c>
      <c r="W36" s="2"/>
      <c r="X36" s="2">
        <f t="shared" si="6"/>
        <v>-2808.96</v>
      </c>
      <c r="Y36" s="2"/>
      <c r="Z36" s="5">
        <f t="shared" si="7"/>
        <v>-0.56882149604816323</v>
      </c>
    </row>
    <row r="37" spans="1:26" s="69" customFormat="1" ht="15" hidden="1" customHeight="1" outlineLevel="2" x14ac:dyDescent="0.3">
      <c r="A37" s="21"/>
      <c r="B37" s="9" t="str">
        <f>CONCATENATE("          ","6381"," - ","BANK/CREDIT CARD FEES")</f>
        <v xml:space="preserve">          6381 - BANK/CREDIT CARD FEES</v>
      </c>
      <c r="C37" s="9"/>
      <c r="D37" s="6">
        <v>11.02</v>
      </c>
      <c r="E37" s="3"/>
      <c r="F37" s="7">
        <f t="shared" si="0"/>
        <v>0</v>
      </c>
      <c r="G37" s="3"/>
      <c r="H37" s="6">
        <v>318.99</v>
      </c>
      <c r="I37" s="3"/>
      <c r="J37" s="7">
        <f t="shared" si="1"/>
        <v>0</v>
      </c>
      <c r="K37" s="3"/>
      <c r="L37" s="6">
        <f t="shared" si="2"/>
        <v>-307.97000000000003</v>
      </c>
      <c r="M37" s="3"/>
      <c r="N37" s="7">
        <f t="shared" si="3"/>
        <v>-0.96545346249098729</v>
      </c>
      <c r="O37" s="9"/>
      <c r="P37" s="6">
        <v>2129.25</v>
      </c>
      <c r="Q37" s="3"/>
      <c r="R37" s="7">
        <f t="shared" si="4"/>
        <v>0</v>
      </c>
      <c r="S37" s="3"/>
      <c r="T37" s="6">
        <v>4938.21</v>
      </c>
      <c r="U37" s="3"/>
      <c r="V37" s="7">
        <f t="shared" si="5"/>
        <v>0</v>
      </c>
      <c r="W37" s="3"/>
      <c r="X37" s="6">
        <f t="shared" si="6"/>
        <v>-2808.96</v>
      </c>
      <c r="Y37" s="3"/>
      <c r="Z37" s="7">
        <f t="shared" si="7"/>
        <v>-0.56882149604816323</v>
      </c>
    </row>
    <row r="38" spans="1:26" s="68" customFormat="1" ht="15" customHeight="1" outlineLevel="1" collapsed="1" x14ac:dyDescent="0.3">
      <c r="A38" s="20"/>
      <c r="B38" s="11" t="str">
        <f>CONCATENATE("     ","Depreciation                                      ")</f>
        <v xml:space="preserve">     Depreciation                                      </v>
      </c>
      <c r="C38" s="11"/>
      <c r="D38" s="2">
        <f>SUM(OSRRefD22_4x_0)</f>
        <v>7700.59</v>
      </c>
      <c r="E38" s="2"/>
      <c r="F38" s="5">
        <f t="shared" si="0"/>
        <v>0</v>
      </c>
      <c r="G38" s="2"/>
      <c r="H38" s="2">
        <f>SUM(OSRRefH22_4x_0)</f>
        <v>5331.65</v>
      </c>
      <c r="I38" s="2"/>
      <c r="J38" s="5">
        <f t="shared" si="1"/>
        <v>0</v>
      </c>
      <c r="K38" s="2"/>
      <c r="L38" s="2">
        <f t="shared" si="2"/>
        <v>2368.9400000000005</v>
      </c>
      <c r="M38" s="2"/>
      <c r="N38" s="5">
        <f t="shared" si="3"/>
        <v>0.444316487391333</v>
      </c>
      <c r="O38" s="11"/>
      <c r="P38" s="2">
        <f>SUM(OSRRefP22_4x_0)</f>
        <v>70090.3</v>
      </c>
      <c r="Q38" s="2"/>
      <c r="R38" s="5">
        <f t="shared" si="4"/>
        <v>0</v>
      </c>
      <c r="S38" s="2"/>
      <c r="T38" s="2">
        <f>SUM(OSRRefT22_4x_0)</f>
        <v>80694.3</v>
      </c>
      <c r="U38" s="2"/>
      <c r="V38" s="5">
        <f t="shared" si="5"/>
        <v>0</v>
      </c>
      <c r="W38" s="2"/>
      <c r="X38" s="2">
        <f t="shared" si="6"/>
        <v>-10604</v>
      </c>
      <c r="Y38" s="2"/>
      <c r="Z38" s="5">
        <f t="shared" si="7"/>
        <v>-0.13140952954545737</v>
      </c>
    </row>
    <row r="39" spans="1:26" s="69" customFormat="1" ht="15" hidden="1" customHeight="1" outlineLevel="2" x14ac:dyDescent="0.3">
      <c r="A39" s="21"/>
      <c r="B39" s="9" t="str">
        <f>CONCATENATE("          ","6321"," - ","BUILDING DEPRECIATION")</f>
        <v xml:space="preserve">          6321 - BUILDING DEPRECIATION</v>
      </c>
      <c r="C39" s="9"/>
      <c r="D39" s="6">
        <v>1822.7</v>
      </c>
      <c r="E39" s="3"/>
      <c r="F39" s="7">
        <f t="shared" si="0"/>
        <v>0</v>
      </c>
      <c r="G39" s="3"/>
      <c r="H39" s="6">
        <v>1822.7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21872.18</v>
      </c>
      <c r="Q39" s="3"/>
      <c r="R39" s="7">
        <f t="shared" si="4"/>
        <v>0</v>
      </c>
      <c r="S39" s="3"/>
      <c r="T39" s="6">
        <v>22656.37</v>
      </c>
      <c r="U39" s="3"/>
      <c r="V39" s="7">
        <f t="shared" si="5"/>
        <v>0</v>
      </c>
      <c r="W39" s="3"/>
      <c r="X39" s="6">
        <f t="shared" si="6"/>
        <v>-784.18999999999869</v>
      </c>
      <c r="Y39" s="3"/>
      <c r="Z39" s="7">
        <f t="shared" si="7"/>
        <v>-3.4612340811877577E-2</v>
      </c>
    </row>
    <row r="40" spans="1:26" s="69" customFormat="1" ht="15" hidden="1" customHeight="1" outlineLevel="2" x14ac:dyDescent="0.3">
      <c r="A40" s="21"/>
      <c r="B40" s="9" t="str">
        <f>CONCATENATE("          ","6322"," - ","EQUIPMENT DEPRECIATION EXPENSE")</f>
        <v xml:space="preserve">          6322 - EQUIPMENT DEPRECIATION EXPENSE</v>
      </c>
      <c r="C40" s="9"/>
      <c r="D40" s="6">
        <v>5877.89</v>
      </c>
      <c r="E40" s="3"/>
      <c r="F40" s="7">
        <f t="shared" si="0"/>
        <v>0</v>
      </c>
      <c r="G40" s="3"/>
      <c r="H40" s="6">
        <v>3508.95</v>
      </c>
      <c r="I40" s="3"/>
      <c r="J40" s="7">
        <f t="shared" si="1"/>
        <v>0</v>
      </c>
      <c r="K40" s="3"/>
      <c r="L40" s="6">
        <f t="shared" si="2"/>
        <v>2368.9400000000005</v>
      </c>
      <c r="M40" s="3"/>
      <c r="N40" s="7">
        <f t="shared" si="3"/>
        <v>0.67511363798287249</v>
      </c>
      <c r="O40" s="9"/>
      <c r="P40" s="6">
        <v>48218.12</v>
      </c>
      <c r="Q40" s="3"/>
      <c r="R40" s="7">
        <f t="shared" si="4"/>
        <v>0</v>
      </c>
      <c r="S40" s="3"/>
      <c r="T40" s="6">
        <v>58037.93</v>
      </c>
      <c r="U40" s="3"/>
      <c r="V40" s="7">
        <f t="shared" si="5"/>
        <v>0</v>
      </c>
      <c r="W40" s="3"/>
      <c r="X40" s="6">
        <f t="shared" si="6"/>
        <v>-9819.8099999999977</v>
      </c>
      <c r="Y40" s="3"/>
      <c r="Z40" s="7">
        <f t="shared" si="7"/>
        <v>-0.16919642034097351</v>
      </c>
    </row>
    <row r="41" spans="1:26" s="68" customFormat="1" ht="15" customHeight="1" outlineLevel="1" collapsed="1" x14ac:dyDescent="0.3">
      <c r="A41" s="20"/>
      <c r="B41" s="11" t="str">
        <f>CONCATENATE("     ","Employees' Appreciation                           ")</f>
        <v xml:space="preserve">     Employees' Appreciation                           </v>
      </c>
      <c r="C41" s="11"/>
      <c r="D41" s="2">
        <f>SUM(OSRRefD22_5x_0)</f>
        <v>0</v>
      </c>
      <c r="E41" s="2"/>
      <c r="F41" s="5">
        <f t="shared" si="0"/>
        <v>0</v>
      </c>
      <c r="G41" s="2"/>
      <c r="H41" s="2">
        <f>SUM(OSRRefH22_5x_0)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SUM(OSRRefP22_5x_0)</f>
        <v>18</v>
      </c>
      <c r="Q41" s="2"/>
      <c r="R41" s="5">
        <f t="shared" si="4"/>
        <v>0</v>
      </c>
      <c r="S41" s="2"/>
      <c r="T41" s="2">
        <f>SUM(OSRRefT22_5x_0)</f>
        <v>0</v>
      </c>
      <c r="U41" s="2"/>
      <c r="V41" s="5">
        <f t="shared" si="5"/>
        <v>0</v>
      </c>
      <c r="W41" s="2"/>
      <c r="X41" s="2">
        <f t="shared" si="6"/>
        <v>18</v>
      </c>
      <c r="Y41" s="2"/>
      <c r="Z41" s="5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","6277"," - ","EMPLOYEE APPRECIATION")</f>
        <v xml:space="preserve">          6277 - EMPLOYEE APPRECIATION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18</v>
      </c>
      <c r="Q42" s="3"/>
      <c r="R42" s="7">
        <f t="shared" si="4"/>
        <v>0</v>
      </c>
      <c r="S42" s="3"/>
      <c r="T42" s="6"/>
      <c r="U42" s="3"/>
      <c r="V42" s="7">
        <f t="shared" si="5"/>
        <v>0</v>
      </c>
      <c r="W42" s="3"/>
      <c r="X42" s="6">
        <f t="shared" si="6"/>
        <v>18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0"/>
      <c r="B43" s="11" t="str">
        <f>CONCATENATE("     ","Equipment Rental                                  ")</f>
        <v xml:space="preserve">     Equipment Rental                                  </v>
      </c>
      <c r="C43" s="11"/>
      <c r="D43" s="2">
        <f>SUM(OSRRefD22_6x_0)</f>
        <v>-91.26</v>
      </c>
      <c r="E43" s="2"/>
      <c r="F43" s="5">
        <f t="shared" si="0"/>
        <v>0</v>
      </c>
      <c r="G43" s="2"/>
      <c r="H43" s="2">
        <f>SUM(OSRRefH22_6x_0)</f>
        <v>747.46</v>
      </c>
      <c r="I43" s="2"/>
      <c r="J43" s="5">
        <f t="shared" si="1"/>
        <v>0</v>
      </c>
      <c r="K43" s="2"/>
      <c r="L43" s="2">
        <f t="shared" si="2"/>
        <v>-838.72</v>
      </c>
      <c r="M43" s="2"/>
      <c r="N43" s="5">
        <f t="shared" si="3"/>
        <v>-1.1220934899526396</v>
      </c>
      <c r="O43" s="11"/>
      <c r="P43" s="2">
        <f>SUM(OSRRefP22_6x_0)</f>
        <v>821.34</v>
      </c>
      <c r="Q43" s="2"/>
      <c r="R43" s="5">
        <f t="shared" si="4"/>
        <v>0</v>
      </c>
      <c r="S43" s="2"/>
      <c r="T43" s="2">
        <f>SUM(OSRRefT22_6x_0)</f>
        <v>4453.8500000000004</v>
      </c>
      <c r="U43" s="2"/>
      <c r="V43" s="5">
        <f t="shared" si="5"/>
        <v>0</v>
      </c>
      <c r="W43" s="2"/>
      <c r="X43" s="2">
        <f t="shared" si="6"/>
        <v>-3632.51</v>
      </c>
      <c r="Y43" s="2"/>
      <c r="Z43" s="5">
        <f t="shared" si="7"/>
        <v>-0.81558876028604466</v>
      </c>
    </row>
    <row r="44" spans="1:26" s="69" customFormat="1" ht="15" hidden="1" customHeight="1" outlineLevel="2" x14ac:dyDescent="0.3">
      <c r="A44" s="21"/>
      <c r="B44" s="9" t="str">
        <f>CONCATENATE("          ","6351"," - ","EQUIPMENT RENTAL")</f>
        <v xml:space="preserve">          6351 - EQUIPMENT RENTAL</v>
      </c>
      <c r="C44" s="9"/>
      <c r="D44" s="6">
        <v>-91.26</v>
      </c>
      <c r="E44" s="3"/>
      <c r="F44" s="7">
        <f t="shared" si="0"/>
        <v>0</v>
      </c>
      <c r="G44" s="3"/>
      <c r="H44" s="6">
        <v>747.46</v>
      </c>
      <c r="I44" s="3"/>
      <c r="J44" s="7">
        <f t="shared" si="1"/>
        <v>0</v>
      </c>
      <c r="K44" s="3"/>
      <c r="L44" s="6">
        <f t="shared" si="2"/>
        <v>-838.72</v>
      </c>
      <c r="M44" s="3"/>
      <c r="N44" s="7">
        <f t="shared" si="3"/>
        <v>-1.1220934899526396</v>
      </c>
      <c r="O44" s="9"/>
      <c r="P44" s="6">
        <v>821.34</v>
      </c>
      <c r="Q44" s="3"/>
      <c r="R44" s="7">
        <f t="shared" si="4"/>
        <v>0</v>
      </c>
      <c r="S44" s="3"/>
      <c r="T44" s="6">
        <v>4453.8500000000004</v>
      </c>
      <c r="U44" s="3"/>
      <c r="V44" s="7">
        <f t="shared" si="5"/>
        <v>0</v>
      </c>
      <c r="W44" s="3"/>
      <c r="X44" s="6">
        <f t="shared" si="6"/>
        <v>-3632.51</v>
      </c>
      <c r="Y44" s="3"/>
      <c r="Z44" s="7">
        <f t="shared" si="7"/>
        <v>-0.81558876028604466</v>
      </c>
    </row>
    <row r="45" spans="1:26" s="68" customFormat="1" ht="15" customHeight="1" outlineLevel="1" collapsed="1" x14ac:dyDescent="0.3">
      <c r="A45" s="20"/>
      <c r="B45" s="11" t="str">
        <f>CONCATENATE("     ","Freight out/Postage                               ")</f>
        <v xml:space="preserve">     Freight out/Postage                               </v>
      </c>
      <c r="C45" s="11"/>
      <c r="D45" s="2">
        <f>SUM(OSRRefD22_7x_0)</f>
        <v>0</v>
      </c>
      <c r="E45" s="2"/>
      <c r="F45" s="5">
        <f t="shared" si="0"/>
        <v>0</v>
      </c>
      <c r="G45" s="2"/>
      <c r="H45" s="2">
        <f>SUM(OSRRefH22_7x_0)</f>
        <v>0</v>
      </c>
      <c r="I45" s="2"/>
      <c r="J45" s="5">
        <f t="shared" si="1"/>
        <v>0</v>
      </c>
      <c r="K45" s="2"/>
      <c r="L45" s="2">
        <f t="shared" si="2"/>
        <v>0</v>
      </c>
      <c r="M45" s="2"/>
      <c r="N45" s="5">
        <f t="shared" si="3"/>
        <v>0</v>
      </c>
      <c r="O45" s="11"/>
      <c r="P45" s="2">
        <f>SUM(OSRRefP22_7x_0)</f>
        <v>0</v>
      </c>
      <c r="Q45" s="2"/>
      <c r="R45" s="5">
        <f t="shared" si="4"/>
        <v>0</v>
      </c>
      <c r="S45" s="2"/>
      <c r="T45" s="2">
        <f>SUM(OSRRefT22_7x_0)</f>
        <v>-2.4500000000000002</v>
      </c>
      <c r="U45" s="2"/>
      <c r="V45" s="5">
        <f t="shared" si="5"/>
        <v>0</v>
      </c>
      <c r="W45" s="2"/>
      <c r="X45" s="2">
        <f t="shared" si="6"/>
        <v>2.4500000000000002</v>
      </c>
      <c r="Y45" s="2"/>
      <c r="Z45" s="5">
        <f t="shared" si="7"/>
        <v>-1</v>
      </c>
    </row>
    <row r="46" spans="1:26" s="69" customFormat="1" ht="15" hidden="1" customHeight="1" outlineLevel="2" x14ac:dyDescent="0.3">
      <c r="A46" s="21"/>
      <c r="B46" s="9" t="str">
        <f>CONCATENATE("          ","6307"," - ","POSTAGE")</f>
        <v xml:space="preserve">          6307 - POSTAGE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-2.4500000000000002</v>
      </c>
      <c r="U46" s="3"/>
      <c r="V46" s="7">
        <f t="shared" si="5"/>
        <v>0</v>
      </c>
      <c r="W46" s="3"/>
      <c r="X46" s="6">
        <f t="shared" si="6"/>
        <v>2.4500000000000002</v>
      </c>
      <c r="Y46" s="3"/>
      <c r="Z46" s="7">
        <f t="shared" si="7"/>
        <v>-1</v>
      </c>
    </row>
    <row r="47" spans="1:26" s="68" customFormat="1" ht="15" customHeight="1" outlineLevel="1" collapsed="1" x14ac:dyDescent="0.3">
      <c r="A47" s="20"/>
      <c r="B47" s="11" t="str">
        <f>CONCATENATE("     ","General                                           ")</f>
        <v xml:space="preserve">     General                                           </v>
      </c>
      <c r="C47" s="11"/>
      <c r="D47" s="2">
        <f>SUM(OSRRefD22_8x_0)</f>
        <v>0</v>
      </c>
      <c r="E47" s="2"/>
      <c r="F47" s="5">
        <f t="shared" si="0"/>
        <v>0</v>
      </c>
      <c r="G47" s="2"/>
      <c r="H47" s="2">
        <f>SUM(OSRRefH22_8x_0)</f>
        <v>0</v>
      </c>
      <c r="I47" s="2"/>
      <c r="J47" s="5">
        <f t="shared" si="1"/>
        <v>0</v>
      </c>
      <c r="K47" s="2"/>
      <c r="L47" s="2">
        <f t="shared" si="2"/>
        <v>0</v>
      </c>
      <c r="M47" s="2"/>
      <c r="N47" s="5">
        <f t="shared" si="3"/>
        <v>0</v>
      </c>
      <c r="O47" s="11"/>
      <c r="P47" s="2">
        <f>SUM(OSRRefP22_8x_0)</f>
        <v>337.51</v>
      </c>
      <c r="Q47" s="2"/>
      <c r="R47" s="5">
        <f t="shared" si="4"/>
        <v>0</v>
      </c>
      <c r="S47" s="2"/>
      <c r="T47" s="2">
        <f>SUM(OSRRefT22_8x_0)</f>
        <v>721.41</v>
      </c>
      <c r="U47" s="2"/>
      <c r="V47" s="5">
        <f t="shared" si="5"/>
        <v>0</v>
      </c>
      <c r="W47" s="2"/>
      <c r="X47" s="2">
        <f t="shared" si="6"/>
        <v>-383.9</v>
      </c>
      <c r="Y47" s="2"/>
      <c r="Z47" s="5">
        <f t="shared" si="7"/>
        <v>-0.53215231283181541</v>
      </c>
    </row>
    <row r="48" spans="1:26" s="69" customFormat="1" ht="15" hidden="1" customHeight="1" outlineLevel="2" x14ac:dyDescent="0.3">
      <c r="A48" s="21"/>
      <c r="B48" s="9" t="str">
        <f>CONCATENATE("          ","6279"," - ","GENERAL EXPENSE")</f>
        <v xml:space="preserve">          6279 - GENERAL EXPENSE</v>
      </c>
      <c r="C48" s="9"/>
      <c r="D48" s="6"/>
      <c r="E48" s="3"/>
      <c r="F48" s="7">
        <f t="shared" si="0"/>
        <v>0</v>
      </c>
      <c r="G48" s="3"/>
      <c r="H48" s="6"/>
      <c r="I48" s="3"/>
      <c r="J48" s="7">
        <f t="shared" si="1"/>
        <v>0</v>
      </c>
      <c r="K48" s="3"/>
      <c r="L48" s="6">
        <f t="shared" si="2"/>
        <v>0</v>
      </c>
      <c r="M48" s="3"/>
      <c r="N48" s="7">
        <f t="shared" si="3"/>
        <v>0</v>
      </c>
      <c r="O48" s="9"/>
      <c r="P48" s="6">
        <v>337.51</v>
      </c>
      <c r="Q48" s="3"/>
      <c r="R48" s="7">
        <f t="shared" si="4"/>
        <v>0</v>
      </c>
      <c r="S48" s="3"/>
      <c r="T48" s="6">
        <v>721.41</v>
      </c>
      <c r="U48" s="3"/>
      <c r="V48" s="7">
        <f t="shared" si="5"/>
        <v>0</v>
      </c>
      <c r="W48" s="3"/>
      <c r="X48" s="6">
        <f t="shared" si="6"/>
        <v>-383.9</v>
      </c>
      <c r="Y48" s="3"/>
      <c r="Z48" s="7">
        <f t="shared" si="7"/>
        <v>-0.53215231283181541</v>
      </c>
    </row>
    <row r="49" spans="1:26" s="68" customFormat="1" ht="15" customHeight="1" outlineLevel="1" collapsed="1" x14ac:dyDescent="0.3">
      <c r="A49" s="20"/>
      <c r="B49" s="11" t="str">
        <f>CONCATENATE("     ","Insurance                                         ")</f>
        <v xml:space="preserve">     Insurance                                         </v>
      </c>
      <c r="C49" s="11"/>
      <c r="D49" s="2">
        <f>SUM(OSRRefD22_9x_0)</f>
        <v>-1500.37</v>
      </c>
      <c r="E49" s="2"/>
      <c r="F49" s="5">
        <f t="shared" si="0"/>
        <v>0</v>
      </c>
      <c r="G49" s="2"/>
      <c r="H49" s="2">
        <f>SUM(OSRRefH22_9x_0)</f>
        <v>7678.07</v>
      </c>
      <c r="I49" s="2"/>
      <c r="J49" s="5">
        <f t="shared" si="1"/>
        <v>0</v>
      </c>
      <c r="K49" s="2"/>
      <c r="L49" s="2">
        <f t="shared" si="2"/>
        <v>-9178.4399999999987</v>
      </c>
      <c r="M49" s="2"/>
      <c r="N49" s="5">
        <f t="shared" si="3"/>
        <v>-1.1954097839691484</v>
      </c>
      <c r="O49" s="11"/>
      <c r="P49" s="2">
        <f>SUM(OSRRefP22_9x_0)</f>
        <v>59113.23</v>
      </c>
      <c r="Q49" s="2"/>
      <c r="R49" s="5">
        <f t="shared" si="4"/>
        <v>0</v>
      </c>
      <c r="S49" s="2"/>
      <c r="T49" s="2">
        <f>SUM(OSRRefT22_9x_0)</f>
        <v>53377.42</v>
      </c>
      <c r="U49" s="2"/>
      <c r="V49" s="5">
        <f t="shared" si="5"/>
        <v>0</v>
      </c>
      <c r="W49" s="2"/>
      <c r="X49" s="2">
        <f t="shared" si="6"/>
        <v>5735.8100000000049</v>
      </c>
      <c r="Y49" s="2"/>
      <c r="Z49" s="5">
        <f t="shared" si="7"/>
        <v>0.10745761035284218</v>
      </c>
    </row>
    <row r="50" spans="1:26" s="69" customFormat="1" ht="15" hidden="1" customHeight="1" outlineLevel="2" x14ac:dyDescent="0.3">
      <c r="A50" s="21"/>
      <c r="B50" s="9" t="str">
        <f>CONCATENATE("          ","6314"," - ","LIABILITY INSURANCE")</f>
        <v xml:space="preserve">          6314 - LIABILITY INSURANCE</v>
      </c>
      <c r="C50" s="9"/>
      <c r="D50" s="6">
        <v>-1500.37</v>
      </c>
      <c r="E50" s="3"/>
      <c r="F50" s="7">
        <f t="shared" ref="F50:F76" si="8">IF(D$12=0,0,D50/D$12)</f>
        <v>0</v>
      </c>
      <c r="G50" s="3"/>
      <c r="H50" s="6">
        <v>7678.07</v>
      </c>
      <c r="I50" s="3"/>
      <c r="J50" s="7">
        <f t="shared" ref="J50:J76" si="9">IF(H$12=0,0,H50/H$12)</f>
        <v>0</v>
      </c>
      <c r="K50" s="3"/>
      <c r="L50" s="6">
        <f t="shared" ref="L50:L76" si="10">+D50-H50</f>
        <v>-9178.4399999999987</v>
      </c>
      <c r="M50" s="3"/>
      <c r="N50" s="7">
        <f t="shared" ref="N50:N76" si="11">IF(H50=0,0,L50/H50)</f>
        <v>-1.1954097839691484</v>
      </c>
      <c r="O50" s="9"/>
      <c r="P50" s="6">
        <v>59113.23</v>
      </c>
      <c r="Q50" s="3"/>
      <c r="R50" s="7">
        <f t="shared" ref="R50:R76" si="12">IF(P$12=0,0,P50/P$12)</f>
        <v>0</v>
      </c>
      <c r="S50" s="3"/>
      <c r="T50" s="6">
        <v>53377.42</v>
      </c>
      <c r="U50" s="3"/>
      <c r="V50" s="7">
        <f t="shared" ref="V50:V76" si="13">IF(T$12=0,0,T50/T$12)</f>
        <v>0</v>
      </c>
      <c r="W50" s="3"/>
      <c r="X50" s="6">
        <f t="shared" ref="X50:X76" si="14">+P50-T50</f>
        <v>5735.8100000000049</v>
      </c>
      <c r="Y50" s="3"/>
      <c r="Z50" s="7">
        <f t="shared" ref="Z50:Z76" si="15">IF(T50=0,0,X50/T50)</f>
        <v>0.10745761035284218</v>
      </c>
    </row>
    <row r="51" spans="1:26" s="68" customFormat="1" ht="15" customHeight="1" outlineLevel="1" collapsed="1" x14ac:dyDescent="0.3">
      <c r="A51" s="20"/>
      <c r="B51" s="11" t="str">
        <f>CONCATENATE("     ","Professional Services                             ")</f>
        <v xml:space="preserve">     Professional Services                             </v>
      </c>
      <c r="C51" s="11"/>
      <c r="D51" s="2">
        <f>SUM(OSRRefD22_10x_0)</f>
        <v>0</v>
      </c>
      <c r="E51" s="2"/>
      <c r="F51" s="5">
        <f t="shared" si="8"/>
        <v>0</v>
      </c>
      <c r="G51" s="2"/>
      <c r="H51" s="2">
        <f>SUM(OSRRefH22_10x_0)</f>
        <v>0</v>
      </c>
      <c r="I51" s="2"/>
      <c r="J51" s="5">
        <f t="shared" si="9"/>
        <v>0</v>
      </c>
      <c r="K51" s="2"/>
      <c r="L51" s="2">
        <f t="shared" si="10"/>
        <v>0</v>
      </c>
      <c r="M51" s="2"/>
      <c r="N51" s="5">
        <f t="shared" si="11"/>
        <v>0</v>
      </c>
      <c r="O51" s="11"/>
      <c r="P51" s="2">
        <f>SUM(OSRRefP22_10x_0)</f>
        <v>511.58</v>
      </c>
      <c r="Q51" s="2"/>
      <c r="R51" s="5">
        <f t="shared" si="12"/>
        <v>0</v>
      </c>
      <c r="S51" s="2"/>
      <c r="T51" s="2">
        <f>SUM(OSRRefT22_10x_0)</f>
        <v>0</v>
      </c>
      <c r="U51" s="2"/>
      <c r="V51" s="5">
        <f t="shared" si="13"/>
        <v>0</v>
      </c>
      <c r="W51" s="2"/>
      <c r="X51" s="2">
        <f t="shared" si="14"/>
        <v>511.58</v>
      </c>
      <c r="Y51" s="2"/>
      <c r="Z51" s="5">
        <f t="shared" si="15"/>
        <v>0</v>
      </c>
    </row>
    <row r="52" spans="1:26" s="69" customFormat="1" ht="15" hidden="1" customHeight="1" outlineLevel="2" x14ac:dyDescent="0.3">
      <c r="A52" s="21"/>
      <c r="B52" s="9" t="str">
        <f>CONCATENATE("          ","6336"," - ","PROFESSIONAL SERVICES")</f>
        <v xml:space="preserve">          6336 - PROFESSIONAL SERVICES</v>
      </c>
      <c r="C52" s="9"/>
      <c r="D52" s="6"/>
      <c r="E52" s="3"/>
      <c r="F52" s="7">
        <f t="shared" si="8"/>
        <v>0</v>
      </c>
      <c r="G52" s="3"/>
      <c r="H52" s="6"/>
      <c r="I52" s="3"/>
      <c r="J52" s="7">
        <f t="shared" si="9"/>
        <v>0</v>
      </c>
      <c r="K52" s="3"/>
      <c r="L52" s="6">
        <f t="shared" si="10"/>
        <v>0</v>
      </c>
      <c r="M52" s="3"/>
      <c r="N52" s="7">
        <f t="shared" si="11"/>
        <v>0</v>
      </c>
      <c r="O52" s="9"/>
      <c r="P52" s="6">
        <v>511.58</v>
      </c>
      <c r="Q52" s="3"/>
      <c r="R52" s="7">
        <f t="shared" si="12"/>
        <v>0</v>
      </c>
      <c r="S52" s="3"/>
      <c r="T52" s="6"/>
      <c r="U52" s="3"/>
      <c r="V52" s="7">
        <f t="shared" si="13"/>
        <v>0</v>
      </c>
      <c r="W52" s="3"/>
      <c r="X52" s="6">
        <f t="shared" si="14"/>
        <v>511.58</v>
      </c>
      <c r="Y52" s="3"/>
      <c r="Z52" s="7">
        <f t="shared" si="15"/>
        <v>0</v>
      </c>
    </row>
    <row r="53" spans="1:26" s="68" customFormat="1" ht="15" customHeight="1" outlineLevel="1" collapsed="1" x14ac:dyDescent="0.3">
      <c r="A53" s="20"/>
      <c r="B53" s="11" t="str">
        <f>CONCATENATE("     ","Repair and Maintenance                            ")</f>
        <v xml:space="preserve">     Repair and Maintenance                            </v>
      </c>
      <c r="C53" s="11"/>
      <c r="D53" s="2">
        <f>SUM(OSRRefD22_11x_0)</f>
        <v>30808.39</v>
      </c>
      <c r="E53" s="2"/>
      <c r="F53" s="5">
        <f t="shared" si="8"/>
        <v>0</v>
      </c>
      <c r="G53" s="2"/>
      <c r="H53" s="2">
        <f>SUM(OSRRefH22_11x_0)</f>
        <v>30713.08</v>
      </c>
      <c r="I53" s="2"/>
      <c r="J53" s="5">
        <f t="shared" si="9"/>
        <v>0</v>
      </c>
      <c r="K53" s="2"/>
      <c r="L53" s="2">
        <f t="shared" si="10"/>
        <v>95.309999999997672</v>
      </c>
      <c r="M53" s="2"/>
      <c r="N53" s="5">
        <f t="shared" si="11"/>
        <v>3.1032380992071671E-3</v>
      </c>
      <c r="O53" s="11"/>
      <c r="P53" s="2">
        <f>SUM(OSRRefP22_11x_0)</f>
        <v>67839.22</v>
      </c>
      <c r="Q53" s="2"/>
      <c r="R53" s="5">
        <f t="shared" si="12"/>
        <v>0</v>
      </c>
      <c r="S53" s="2"/>
      <c r="T53" s="2">
        <f>SUM(OSRRefT22_11x_0)</f>
        <v>47284.12</v>
      </c>
      <c r="U53" s="2"/>
      <c r="V53" s="5">
        <f t="shared" si="13"/>
        <v>0</v>
      </c>
      <c r="W53" s="2"/>
      <c r="X53" s="2">
        <f t="shared" si="14"/>
        <v>20555.099999999999</v>
      </c>
      <c r="Y53" s="2"/>
      <c r="Z53" s="5">
        <f t="shared" si="15"/>
        <v>0.43471465684462346</v>
      </c>
    </row>
    <row r="54" spans="1:26" s="69" customFormat="1" ht="15" hidden="1" customHeight="1" outlineLevel="2" x14ac:dyDescent="0.3">
      <c r="A54" s="21"/>
      <c r="B54" s="9" t="str">
        <f>CONCATENATE("          ","6371"," - ","COMPUTER SOFTWARE MAINTENANCE")</f>
        <v xml:space="preserve">          6371 - COMPUTER SOFTWARE MAINTENANCE</v>
      </c>
      <c r="C54" s="9"/>
      <c r="D54" s="6">
        <v>30321</v>
      </c>
      <c r="E54" s="3"/>
      <c r="F54" s="7">
        <f t="shared" si="8"/>
        <v>0</v>
      </c>
      <c r="G54" s="3"/>
      <c r="H54" s="6">
        <v>30321</v>
      </c>
      <c r="I54" s="3"/>
      <c r="J54" s="7">
        <f t="shared" si="9"/>
        <v>0</v>
      </c>
      <c r="K54" s="3"/>
      <c r="L54" s="6">
        <f t="shared" si="10"/>
        <v>0</v>
      </c>
      <c r="M54" s="3"/>
      <c r="N54" s="7">
        <f t="shared" si="11"/>
        <v>0</v>
      </c>
      <c r="O54" s="9"/>
      <c r="P54" s="6">
        <v>46888.06</v>
      </c>
      <c r="Q54" s="3"/>
      <c r="R54" s="7">
        <f t="shared" si="12"/>
        <v>0</v>
      </c>
      <c r="S54" s="3"/>
      <c r="T54" s="6">
        <v>39280.47</v>
      </c>
      <c r="U54" s="3"/>
      <c r="V54" s="7">
        <f t="shared" si="13"/>
        <v>0</v>
      </c>
      <c r="W54" s="3"/>
      <c r="X54" s="6">
        <f t="shared" si="14"/>
        <v>7607.5899999999965</v>
      </c>
      <c r="Y54" s="3"/>
      <c r="Z54" s="7">
        <f t="shared" si="15"/>
        <v>0.19367359911935872</v>
      </c>
    </row>
    <row r="55" spans="1:26" s="69" customFormat="1" ht="15" hidden="1" customHeight="1" outlineLevel="2" x14ac:dyDescent="0.3">
      <c r="A55" s="21"/>
      <c r="B55" s="9" t="str">
        <f>CONCATENATE("          ","6372"," - ","COMPUTER HARDWARE MAINTENANCE")</f>
        <v xml:space="preserve">          6372 - COMPUTER HARDWARE MAINTENANCE</v>
      </c>
      <c r="C55" s="9"/>
      <c r="D55" s="6"/>
      <c r="E55" s="3"/>
      <c r="F55" s="7">
        <f t="shared" si="8"/>
        <v>0</v>
      </c>
      <c r="G55" s="3"/>
      <c r="H55" s="6"/>
      <c r="I55" s="3"/>
      <c r="J55" s="7">
        <f t="shared" si="9"/>
        <v>0</v>
      </c>
      <c r="K55" s="3"/>
      <c r="L55" s="6">
        <f t="shared" si="10"/>
        <v>0</v>
      </c>
      <c r="M55" s="3"/>
      <c r="N55" s="7">
        <f t="shared" si="11"/>
        <v>0</v>
      </c>
      <c r="O55" s="9"/>
      <c r="P55" s="6"/>
      <c r="Q55" s="3"/>
      <c r="R55" s="7">
        <f t="shared" si="12"/>
        <v>0</v>
      </c>
      <c r="S55" s="3"/>
      <c r="T55" s="6">
        <v>100</v>
      </c>
      <c r="U55" s="3"/>
      <c r="V55" s="7">
        <f t="shared" si="13"/>
        <v>0</v>
      </c>
      <c r="W55" s="3"/>
      <c r="X55" s="6">
        <f t="shared" si="14"/>
        <v>-100</v>
      </c>
      <c r="Y55" s="3"/>
      <c r="Z55" s="7">
        <f t="shared" si="15"/>
        <v>-1</v>
      </c>
    </row>
    <row r="56" spans="1:26" s="69" customFormat="1" ht="15" hidden="1" customHeight="1" outlineLevel="2" x14ac:dyDescent="0.3">
      <c r="A56" s="21"/>
      <c r="B56" s="9" t="str">
        <f>CONCATENATE("          ","6373"," - ","MAINTENANCE CONTRACTS")</f>
        <v xml:space="preserve">          6373 - MAINTENANCE CONTRACTS</v>
      </c>
      <c r="C56" s="9"/>
      <c r="D56" s="6">
        <v>288.29000000000002</v>
      </c>
      <c r="E56" s="3"/>
      <c r="F56" s="7">
        <f t="shared" si="8"/>
        <v>0</v>
      </c>
      <c r="G56" s="3"/>
      <c r="H56" s="6">
        <v>83.83</v>
      </c>
      <c r="I56" s="3"/>
      <c r="J56" s="7">
        <f t="shared" si="9"/>
        <v>0</v>
      </c>
      <c r="K56" s="3"/>
      <c r="L56" s="6">
        <f t="shared" si="10"/>
        <v>204.46000000000004</v>
      </c>
      <c r="M56" s="3"/>
      <c r="N56" s="7">
        <f t="shared" si="11"/>
        <v>2.4389836574018853</v>
      </c>
      <c r="O56" s="9"/>
      <c r="P56" s="6">
        <v>9676.23</v>
      </c>
      <c r="Q56" s="3"/>
      <c r="R56" s="7">
        <f t="shared" si="12"/>
        <v>0</v>
      </c>
      <c r="S56" s="3"/>
      <c r="T56" s="6">
        <v>2299.44</v>
      </c>
      <c r="U56" s="3"/>
      <c r="V56" s="7">
        <f t="shared" si="13"/>
        <v>0</v>
      </c>
      <c r="W56" s="3"/>
      <c r="X56" s="6">
        <f t="shared" si="14"/>
        <v>7376.7899999999991</v>
      </c>
      <c r="Y56" s="3"/>
      <c r="Z56" s="7">
        <f t="shared" si="15"/>
        <v>3.2080810980064705</v>
      </c>
    </row>
    <row r="57" spans="1:26" s="69" customFormat="1" ht="15" hidden="1" customHeight="1" outlineLevel="2" x14ac:dyDescent="0.3">
      <c r="A57" s="21"/>
      <c r="B57" s="9" t="str">
        <f>CONCATENATE("          ","6375"," - ","OUTSIDE REPAIRS &amp; MAINTENANCE")</f>
        <v xml:space="preserve">          6375 - OUTSIDE REPAIRS &amp; MAINTENANCE</v>
      </c>
      <c r="C57" s="9"/>
      <c r="D57" s="6">
        <v>199.1</v>
      </c>
      <c r="E57" s="3"/>
      <c r="F57" s="7">
        <f t="shared" si="8"/>
        <v>0</v>
      </c>
      <c r="G57" s="3"/>
      <c r="H57" s="6">
        <v>308.25</v>
      </c>
      <c r="I57" s="3"/>
      <c r="J57" s="7">
        <f t="shared" si="9"/>
        <v>0</v>
      </c>
      <c r="K57" s="3"/>
      <c r="L57" s="6">
        <f t="shared" si="10"/>
        <v>-109.15</v>
      </c>
      <c r="M57" s="3"/>
      <c r="N57" s="7">
        <f t="shared" si="11"/>
        <v>-0.35409570154095704</v>
      </c>
      <c r="O57" s="9"/>
      <c r="P57" s="6">
        <v>11274.93</v>
      </c>
      <c r="Q57" s="3"/>
      <c r="R57" s="7">
        <f t="shared" si="12"/>
        <v>0</v>
      </c>
      <c r="S57" s="3"/>
      <c r="T57" s="6">
        <v>5604.21</v>
      </c>
      <c r="U57" s="3"/>
      <c r="V57" s="7">
        <f t="shared" si="13"/>
        <v>0</v>
      </c>
      <c r="W57" s="3"/>
      <c r="X57" s="6">
        <f t="shared" si="14"/>
        <v>5670.72</v>
      </c>
      <c r="Y57" s="3"/>
      <c r="Z57" s="7">
        <f t="shared" si="15"/>
        <v>1.0118678636239542</v>
      </c>
    </row>
    <row r="58" spans="1:26" s="68" customFormat="1" ht="15" customHeight="1" outlineLevel="1" collapsed="1" x14ac:dyDescent="0.3">
      <c r="A58" s="20"/>
      <c r="B58" s="11" t="str">
        <f>CONCATENATE("     ","Services                                          ")</f>
        <v xml:space="preserve">     Services                                          </v>
      </c>
      <c r="C58" s="11"/>
      <c r="D58" s="2">
        <f>SUM(OSRRefD22_12x_0)</f>
        <v>2842.62</v>
      </c>
      <c r="E58" s="2"/>
      <c r="F58" s="5">
        <f t="shared" si="8"/>
        <v>0</v>
      </c>
      <c r="G58" s="2"/>
      <c r="H58" s="2">
        <f>SUM(OSRRefH22_12x_0)</f>
        <v>-2111.9</v>
      </c>
      <c r="I58" s="2"/>
      <c r="J58" s="5">
        <f t="shared" si="9"/>
        <v>0</v>
      </c>
      <c r="K58" s="2"/>
      <c r="L58" s="2">
        <f t="shared" si="10"/>
        <v>4954.5200000000004</v>
      </c>
      <c r="M58" s="2"/>
      <c r="N58" s="5">
        <f t="shared" si="11"/>
        <v>-2.3460012311188976</v>
      </c>
      <c r="O58" s="11"/>
      <c r="P58" s="2">
        <f>SUM(OSRRefP22_12x_0)</f>
        <v>13955.09</v>
      </c>
      <c r="Q58" s="2"/>
      <c r="R58" s="5">
        <f t="shared" si="12"/>
        <v>0</v>
      </c>
      <c r="S58" s="2"/>
      <c r="T58" s="2">
        <f>SUM(OSRRefT22_12x_0)</f>
        <v>29844.38</v>
      </c>
      <c r="U58" s="2"/>
      <c r="V58" s="5">
        <f t="shared" si="13"/>
        <v>0</v>
      </c>
      <c r="W58" s="2"/>
      <c r="X58" s="2">
        <f t="shared" si="14"/>
        <v>-15889.29</v>
      </c>
      <c r="Y58" s="2"/>
      <c r="Z58" s="5">
        <f t="shared" si="15"/>
        <v>-0.53240476096337064</v>
      </c>
    </row>
    <row r="59" spans="1:26" s="69" customFormat="1" ht="15" hidden="1" customHeight="1" outlineLevel="2" x14ac:dyDescent="0.3">
      <c r="A59" s="21"/>
      <c r="B59" s="9" t="str">
        <f>CONCATENATE("          ","6282"," - ","JANITORIAL/EXTERMINATOR EXPENS")</f>
        <v xml:space="preserve">          6282 - JANITORIAL/EXTERMINATOR EXPENS</v>
      </c>
      <c r="C59" s="9"/>
      <c r="D59" s="6">
        <v>737.15</v>
      </c>
      <c r="E59" s="3"/>
      <c r="F59" s="7">
        <f t="shared" si="8"/>
        <v>0</v>
      </c>
      <c r="G59" s="3"/>
      <c r="H59" s="6">
        <v>690.1</v>
      </c>
      <c r="I59" s="3"/>
      <c r="J59" s="7">
        <f t="shared" si="9"/>
        <v>0</v>
      </c>
      <c r="K59" s="3"/>
      <c r="L59" s="6">
        <f t="shared" si="10"/>
        <v>47.049999999999955</v>
      </c>
      <c r="M59" s="3"/>
      <c r="N59" s="7">
        <f t="shared" si="11"/>
        <v>6.8178524851470731E-2</v>
      </c>
      <c r="O59" s="9"/>
      <c r="P59" s="6">
        <v>8175.3</v>
      </c>
      <c r="Q59" s="3"/>
      <c r="R59" s="7">
        <f t="shared" si="12"/>
        <v>0</v>
      </c>
      <c r="S59" s="3"/>
      <c r="T59" s="6">
        <v>7020.38</v>
      </c>
      <c r="U59" s="3"/>
      <c r="V59" s="7">
        <f t="shared" si="13"/>
        <v>0</v>
      </c>
      <c r="W59" s="3"/>
      <c r="X59" s="6">
        <f t="shared" si="14"/>
        <v>1154.92</v>
      </c>
      <c r="Y59" s="3"/>
      <c r="Z59" s="7">
        <f t="shared" si="15"/>
        <v>0.16450961343972834</v>
      </c>
    </row>
    <row r="60" spans="1:26" s="69" customFormat="1" ht="15" hidden="1" customHeight="1" outlineLevel="2" x14ac:dyDescent="0.3">
      <c r="A60" s="21"/>
      <c r="B60" s="9" t="str">
        <f>CONCATENATE("          ","6284"," - ","TRASH REMOVAL EXPENSE")</f>
        <v xml:space="preserve">          6284 - TRASH REMOVAL EXPENSE</v>
      </c>
      <c r="C60" s="9"/>
      <c r="D60" s="6"/>
      <c r="E60" s="3"/>
      <c r="F60" s="7">
        <f t="shared" si="8"/>
        <v>0</v>
      </c>
      <c r="G60" s="3"/>
      <c r="H60" s="6">
        <v>-2802</v>
      </c>
      <c r="I60" s="3"/>
      <c r="J60" s="7">
        <f t="shared" si="9"/>
        <v>0</v>
      </c>
      <c r="K60" s="3"/>
      <c r="L60" s="6">
        <f t="shared" si="10"/>
        <v>2802</v>
      </c>
      <c r="M60" s="3"/>
      <c r="N60" s="7">
        <f t="shared" si="11"/>
        <v>-1</v>
      </c>
      <c r="O60" s="9"/>
      <c r="P60" s="6"/>
      <c r="Q60" s="3"/>
      <c r="R60" s="7">
        <f t="shared" si="12"/>
        <v>0</v>
      </c>
      <c r="S60" s="3"/>
      <c r="T60" s="6">
        <v>22824</v>
      </c>
      <c r="U60" s="3"/>
      <c r="V60" s="7">
        <f t="shared" si="13"/>
        <v>0</v>
      </c>
      <c r="W60" s="3"/>
      <c r="X60" s="6">
        <f t="shared" si="14"/>
        <v>-22824</v>
      </c>
      <c r="Y60" s="3"/>
      <c r="Z60" s="7">
        <f t="shared" si="15"/>
        <v>-1</v>
      </c>
    </row>
    <row r="61" spans="1:26" s="69" customFormat="1" ht="15" hidden="1" customHeight="1" outlineLevel="2" x14ac:dyDescent="0.3">
      <c r="A61" s="21"/>
      <c r="B61" s="9" t="str">
        <f>CONCATENATE("          ","6285"," - ","JANITORIAL SERVICES")</f>
        <v xml:space="preserve">          6285 - JANITORIAL SERVICES</v>
      </c>
      <c r="C61" s="9"/>
      <c r="D61" s="6">
        <v>2105.4699999999998</v>
      </c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2105.4699999999998</v>
      </c>
      <c r="M61" s="3"/>
      <c r="N61" s="7">
        <f t="shared" si="11"/>
        <v>0</v>
      </c>
      <c r="O61" s="9"/>
      <c r="P61" s="6">
        <v>5779.79</v>
      </c>
      <c r="Q61" s="3"/>
      <c r="R61" s="7">
        <f t="shared" si="12"/>
        <v>0</v>
      </c>
      <c r="S61" s="3"/>
      <c r="T61" s="6"/>
      <c r="U61" s="3"/>
      <c r="V61" s="7">
        <f t="shared" si="13"/>
        <v>0</v>
      </c>
      <c r="W61" s="3"/>
      <c r="X61" s="6">
        <f t="shared" si="14"/>
        <v>5779.79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0"/>
      <c r="B62" s="11" t="str">
        <f>CONCATENATE("     ","Subscriptions &amp; Dues                              ")</f>
        <v xml:space="preserve">     Subscriptions &amp; Dues                              </v>
      </c>
      <c r="C62" s="11"/>
      <c r="D62" s="2">
        <f>SUM(OSRRefD22_13x_0)</f>
        <v>0</v>
      </c>
      <c r="E62" s="2"/>
      <c r="F62" s="5">
        <f t="shared" si="8"/>
        <v>0</v>
      </c>
      <c r="G62" s="2"/>
      <c r="H62" s="2">
        <f>SUM(OSRRefH22_13x_0)</f>
        <v>0</v>
      </c>
      <c r="I62" s="2"/>
      <c r="J62" s="5">
        <f t="shared" si="9"/>
        <v>0</v>
      </c>
      <c r="K62" s="2"/>
      <c r="L62" s="2">
        <f t="shared" si="10"/>
        <v>0</v>
      </c>
      <c r="M62" s="2"/>
      <c r="N62" s="5">
        <f t="shared" si="11"/>
        <v>0</v>
      </c>
      <c r="O62" s="11"/>
      <c r="P62" s="2">
        <f>SUM(OSRRefP22_13x_0)</f>
        <v>119.2</v>
      </c>
      <c r="Q62" s="2"/>
      <c r="R62" s="5">
        <f t="shared" si="12"/>
        <v>0</v>
      </c>
      <c r="S62" s="2"/>
      <c r="T62" s="2">
        <f>SUM(OSRRefT22_13x_0)</f>
        <v>119.07</v>
      </c>
      <c r="U62" s="2"/>
      <c r="V62" s="5">
        <f t="shared" si="13"/>
        <v>0</v>
      </c>
      <c r="W62" s="2"/>
      <c r="X62" s="2">
        <f t="shared" si="14"/>
        <v>0.13000000000000966</v>
      </c>
      <c r="Y62" s="2"/>
      <c r="Z62" s="5">
        <f t="shared" si="15"/>
        <v>1.0917947425884745E-3</v>
      </c>
    </row>
    <row r="63" spans="1:26" s="69" customFormat="1" ht="15" hidden="1" customHeight="1" outlineLevel="2" x14ac:dyDescent="0.3">
      <c r="A63" s="21"/>
      <c r="B63" s="9" t="str">
        <f>CONCATENATE("          ","6275"," - ","SUBSCRIPTIONS")</f>
        <v xml:space="preserve">          6275 - SUBSCRIPTIONS</v>
      </c>
      <c r="C63" s="9"/>
      <c r="D63" s="6"/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>
        <v>119.2</v>
      </c>
      <c r="Q63" s="3"/>
      <c r="R63" s="7">
        <f t="shared" si="12"/>
        <v>0</v>
      </c>
      <c r="S63" s="3"/>
      <c r="T63" s="6">
        <v>119.07</v>
      </c>
      <c r="U63" s="3"/>
      <c r="V63" s="7">
        <f t="shared" si="13"/>
        <v>0</v>
      </c>
      <c r="W63" s="3"/>
      <c r="X63" s="6">
        <f t="shared" si="14"/>
        <v>0.13000000000000966</v>
      </c>
      <c r="Y63" s="3"/>
      <c r="Z63" s="7">
        <f t="shared" si="15"/>
        <v>1.0917947425884745E-3</v>
      </c>
    </row>
    <row r="64" spans="1:26" s="68" customFormat="1" ht="15" customHeight="1" outlineLevel="1" collapsed="1" x14ac:dyDescent="0.3">
      <c r="A64" s="20"/>
      <c r="B64" s="11" t="str">
        <f>CONCATENATE("     ","Supplies                                          ")</f>
        <v xml:space="preserve">     Supplies                                          </v>
      </c>
      <c r="C64" s="11"/>
      <c r="D64" s="2">
        <f>SUM(OSRRefD22_14x_0)</f>
        <v>83.47</v>
      </c>
      <c r="E64" s="2"/>
      <c r="F64" s="5">
        <f t="shared" si="8"/>
        <v>0</v>
      </c>
      <c r="G64" s="2"/>
      <c r="H64" s="2">
        <f>SUM(OSRRefH22_14x_0)</f>
        <v>0</v>
      </c>
      <c r="I64" s="2"/>
      <c r="J64" s="5">
        <f t="shared" si="9"/>
        <v>0</v>
      </c>
      <c r="K64" s="2"/>
      <c r="L64" s="2">
        <f t="shared" si="10"/>
        <v>83.47</v>
      </c>
      <c r="M64" s="2"/>
      <c r="N64" s="5">
        <f t="shared" si="11"/>
        <v>0</v>
      </c>
      <c r="O64" s="11"/>
      <c r="P64" s="2">
        <f>SUM(OSRRefP22_14x_0)</f>
        <v>619.11</v>
      </c>
      <c r="Q64" s="2"/>
      <c r="R64" s="5">
        <f t="shared" si="12"/>
        <v>0</v>
      </c>
      <c r="S64" s="2"/>
      <c r="T64" s="2">
        <f>SUM(OSRRefT22_14x_0)</f>
        <v>-29102.880000000001</v>
      </c>
      <c r="U64" s="2"/>
      <c r="V64" s="5">
        <f t="shared" si="13"/>
        <v>0</v>
      </c>
      <c r="W64" s="2"/>
      <c r="X64" s="2">
        <f t="shared" si="14"/>
        <v>29721.99</v>
      </c>
      <c r="Y64" s="2"/>
      <c r="Z64" s="5">
        <f t="shared" si="15"/>
        <v>-1.0212731523478089</v>
      </c>
    </row>
    <row r="65" spans="1:26" s="69" customFormat="1" ht="15" hidden="1" customHeight="1" outlineLevel="2" x14ac:dyDescent="0.3">
      <c r="A65" s="21"/>
      <c r="B65" s="9" t="str">
        <f>CONCATENATE("          ","6235"," - ","COVID-19 EXPENSES")</f>
        <v xml:space="preserve">          6235 - COVID-19 EXPENSES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318.42</v>
      </c>
      <c r="Q65" s="3"/>
      <c r="R65" s="7">
        <f t="shared" si="12"/>
        <v>0</v>
      </c>
      <c r="S65" s="3"/>
      <c r="T65" s="6">
        <v>127.89</v>
      </c>
      <c r="U65" s="3"/>
      <c r="V65" s="7">
        <f t="shared" si="13"/>
        <v>0</v>
      </c>
      <c r="W65" s="3"/>
      <c r="X65" s="6">
        <f t="shared" si="14"/>
        <v>190.53000000000003</v>
      </c>
      <c r="Y65" s="3"/>
      <c r="Z65" s="7">
        <f t="shared" si="15"/>
        <v>1.4897959183673473</v>
      </c>
    </row>
    <row r="66" spans="1:26" s="69" customFormat="1" ht="15" hidden="1" customHeight="1" outlineLevel="2" x14ac:dyDescent="0.3">
      <c r="A66" s="21"/>
      <c r="B66" s="9" t="str">
        <f>CONCATENATE("          ","6237"," - ","JANITORIAL SUPPLIES")</f>
        <v xml:space="preserve">          6237 - JANITORIAL SUPPLIES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/>
      <c r="Q66" s="3"/>
      <c r="R66" s="7">
        <f t="shared" si="12"/>
        <v>0</v>
      </c>
      <c r="S66" s="3"/>
      <c r="T66" s="6">
        <v>-30</v>
      </c>
      <c r="U66" s="3"/>
      <c r="V66" s="7">
        <f t="shared" si="13"/>
        <v>0</v>
      </c>
      <c r="W66" s="3"/>
      <c r="X66" s="6">
        <f t="shared" si="14"/>
        <v>30</v>
      </c>
      <c r="Y66" s="3"/>
      <c r="Z66" s="7">
        <f t="shared" si="15"/>
        <v>-1</v>
      </c>
    </row>
    <row r="67" spans="1:26" s="69" customFormat="1" ht="15" hidden="1" customHeight="1" outlineLevel="2" x14ac:dyDescent="0.3">
      <c r="A67" s="21"/>
      <c r="B67" s="9" t="str">
        <f>CONCATENATE("          ","6241"," - ","OFFICE EXPENSE")</f>
        <v xml:space="preserve">          6241 - OFFICE EXPENSE</v>
      </c>
      <c r="C67" s="9"/>
      <c r="D67" s="6">
        <v>83.47</v>
      </c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83.47</v>
      </c>
      <c r="M67" s="3"/>
      <c r="N67" s="7">
        <f t="shared" si="11"/>
        <v>0</v>
      </c>
      <c r="O67" s="9"/>
      <c r="P67" s="6">
        <v>300.69</v>
      </c>
      <c r="Q67" s="3"/>
      <c r="R67" s="7">
        <f t="shared" si="12"/>
        <v>0</v>
      </c>
      <c r="S67" s="3"/>
      <c r="T67" s="6">
        <v>-29200.77</v>
      </c>
      <c r="U67" s="3"/>
      <c r="V67" s="7">
        <f t="shared" si="13"/>
        <v>0</v>
      </c>
      <c r="W67" s="3"/>
      <c r="X67" s="6">
        <f t="shared" si="14"/>
        <v>29501.46</v>
      </c>
      <c r="Y67" s="3"/>
      <c r="Z67" s="7">
        <f t="shared" si="15"/>
        <v>-1.0102973312005128</v>
      </c>
    </row>
    <row r="68" spans="1:26" s="68" customFormat="1" ht="15" customHeight="1" outlineLevel="1" collapsed="1" x14ac:dyDescent="0.3">
      <c r="A68" s="20"/>
      <c r="B68" s="11" t="str">
        <f>CONCATENATE("     ","Telephone/Data Lines                              ")</f>
        <v xml:space="preserve">     Telephone/Data Lines                              </v>
      </c>
      <c r="C68" s="11"/>
      <c r="D68" s="2">
        <f>SUM(OSRRefD22_15x_0)</f>
        <v>39.6</v>
      </c>
      <c r="E68" s="2"/>
      <c r="F68" s="5">
        <f t="shared" si="8"/>
        <v>0</v>
      </c>
      <c r="G68" s="2"/>
      <c r="H68" s="2">
        <f>SUM(OSRRefH22_15x_0)</f>
        <v>245.5</v>
      </c>
      <c r="I68" s="2"/>
      <c r="J68" s="5">
        <f t="shared" si="9"/>
        <v>0</v>
      </c>
      <c r="K68" s="2"/>
      <c r="L68" s="2">
        <f t="shared" si="10"/>
        <v>-205.9</v>
      </c>
      <c r="M68" s="2"/>
      <c r="N68" s="5">
        <f t="shared" si="11"/>
        <v>-0.83869653767820773</v>
      </c>
      <c r="O68" s="11"/>
      <c r="P68" s="2">
        <f>SUM(OSRRefP22_15x_0)</f>
        <v>2295.2600000000002</v>
      </c>
      <c r="Q68" s="2"/>
      <c r="R68" s="5">
        <f t="shared" si="12"/>
        <v>0</v>
      </c>
      <c r="S68" s="2"/>
      <c r="T68" s="2">
        <f>SUM(OSRRefT22_15x_0)</f>
        <v>2178.83</v>
      </c>
      <c r="U68" s="2"/>
      <c r="V68" s="5">
        <f t="shared" si="13"/>
        <v>0</v>
      </c>
      <c r="W68" s="2"/>
      <c r="X68" s="2">
        <f t="shared" si="14"/>
        <v>116.43000000000029</v>
      </c>
      <c r="Y68" s="2"/>
      <c r="Z68" s="5">
        <f t="shared" si="15"/>
        <v>5.3436936337392223E-2</v>
      </c>
    </row>
    <row r="69" spans="1:26" s="69" customFormat="1" ht="15" hidden="1" customHeight="1" outlineLevel="2" x14ac:dyDescent="0.3">
      <c r="A69" s="21"/>
      <c r="B69" s="9" t="str">
        <f>CONCATENATE("          ","6309"," - ","TELEPHONE")</f>
        <v xml:space="preserve">          6309 - TELEPHONE</v>
      </c>
      <c r="C69" s="9"/>
      <c r="D69" s="6">
        <v>39.6</v>
      </c>
      <c r="E69" s="3"/>
      <c r="F69" s="7">
        <f t="shared" si="8"/>
        <v>0</v>
      </c>
      <c r="G69" s="3"/>
      <c r="H69" s="6">
        <v>245.5</v>
      </c>
      <c r="I69" s="3"/>
      <c r="J69" s="7">
        <f t="shared" si="9"/>
        <v>0</v>
      </c>
      <c r="K69" s="3"/>
      <c r="L69" s="6">
        <f t="shared" si="10"/>
        <v>-205.9</v>
      </c>
      <c r="M69" s="3"/>
      <c r="N69" s="7">
        <f t="shared" si="11"/>
        <v>-0.83869653767820773</v>
      </c>
      <c r="O69" s="9"/>
      <c r="P69" s="6">
        <v>2295.2600000000002</v>
      </c>
      <c r="Q69" s="3"/>
      <c r="R69" s="7">
        <f t="shared" si="12"/>
        <v>0</v>
      </c>
      <c r="S69" s="3"/>
      <c r="T69" s="6">
        <v>2178.83</v>
      </c>
      <c r="U69" s="3"/>
      <c r="V69" s="7">
        <f t="shared" si="13"/>
        <v>0</v>
      </c>
      <c r="W69" s="3"/>
      <c r="X69" s="6">
        <f t="shared" si="14"/>
        <v>116.43000000000029</v>
      </c>
      <c r="Y69" s="3"/>
      <c r="Z69" s="7">
        <f t="shared" si="15"/>
        <v>5.3436936337392223E-2</v>
      </c>
    </row>
    <row r="70" spans="1:26" s="68" customFormat="1" ht="15" customHeight="1" outlineLevel="1" collapsed="1" x14ac:dyDescent="0.3">
      <c r="A70" s="20"/>
      <c r="B70" s="11" t="str">
        <f>CONCATENATE("     ","Training                                          ")</f>
        <v xml:space="preserve">     Training                                          </v>
      </c>
      <c r="C70" s="11"/>
      <c r="D70" s="2">
        <f>SUM(OSRRefD22_16x_0)</f>
        <v>0</v>
      </c>
      <c r="E70" s="2"/>
      <c r="F70" s="5">
        <f t="shared" si="8"/>
        <v>0</v>
      </c>
      <c r="G70" s="2"/>
      <c r="H70" s="2">
        <f>SUM(OSRRefH22_16x_0)</f>
        <v>12.99</v>
      </c>
      <c r="I70" s="2"/>
      <c r="J70" s="5">
        <f t="shared" si="9"/>
        <v>0</v>
      </c>
      <c r="K70" s="2"/>
      <c r="L70" s="2">
        <f t="shared" si="10"/>
        <v>-12.99</v>
      </c>
      <c r="M70" s="2"/>
      <c r="N70" s="5">
        <f t="shared" si="11"/>
        <v>-1</v>
      </c>
      <c r="O70" s="11"/>
      <c r="P70" s="2">
        <f>SUM(OSRRefP22_16x_0)</f>
        <v>0</v>
      </c>
      <c r="Q70" s="2"/>
      <c r="R70" s="5">
        <f t="shared" si="12"/>
        <v>0</v>
      </c>
      <c r="S70" s="2"/>
      <c r="T70" s="2">
        <f>SUM(OSRRefT22_16x_0)</f>
        <v>12.99</v>
      </c>
      <c r="U70" s="2"/>
      <c r="V70" s="5">
        <f t="shared" si="13"/>
        <v>0</v>
      </c>
      <c r="W70" s="2"/>
      <c r="X70" s="2">
        <f t="shared" si="14"/>
        <v>-12.99</v>
      </c>
      <c r="Y70" s="2"/>
      <c r="Z70" s="5">
        <f t="shared" si="15"/>
        <v>-1</v>
      </c>
    </row>
    <row r="71" spans="1:26" s="69" customFormat="1" ht="15" hidden="1" customHeight="1" outlineLevel="2" x14ac:dyDescent="0.3">
      <c r="A71" s="21"/>
      <c r="B71" s="9" t="str">
        <f>CONCATENATE("          ","6376"," - ","TRAINING")</f>
        <v xml:space="preserve">          6376 - TRAINING</v>
      </c>
      <c r="C71" s="9"/>
      <c r="D71" s="6"/>
      <c r="E71" s="3"/>
      <c r="F71" s="7">
        <f t="shared" si="8"/>
        <v>0</v>
      </c>
      <c r="G71" s="3"/>
      <c r="H71" s="6">
        <v>12.99</v>
      </c>
      <c r="I71" s="3"/>
      <c r="J71" s="7">
        <f t="shared" si="9"/>
        <v>0</v>
      </c>
      <c r="K71" s="3"/>
      <c r="L71" s="6">
        <f t="shared" si="10"/>
        <v>-12.99</v>
      </c>
      <c r="M71" s="3"/>
      <c r="N71" s="7">
        <f t="shared" si="11"/>
        <v>-1</v>
      </c>
      <c r="O71" s="9"/>
      <c r="P71" s="6"/>
      <c r="Q71" s="3"/>
      <c r="R71" s="7">
        <f t="shared" si="12"/>
        <v>0</v>
      </c>
      <c r="S71" s="3"/>
      <c r="T71" s="6">
        <v>12.99</v>
      </c>
      <c r="U71" s="3"/>
      <c r="V71" s="7">
        <f t="shared" si="13"/>
        <v>0</v>
      </c>
      <c r="W71" s="3"/>
      <c r="X71" s="6">
        <f t="shared" si="14"/>
        <v>-12.99</v>
      </c>
      <c r="Y71" s="3"/>
      <c r="Z71" s="7">
        <f t="shared" si="15"/>
        <v>-1</v>
      </c>
    </row>
    <row r="72" spans="1:26" s="68" customFormat="1" ht="15" customHeight="1" outlineLevel="1" collapsed="1" x14ac:dyDescent="0.3">
      <c r="A72" s="20"/>
      <c r="B72" s="11" t="str">
        <f>CONCATENATE("     ","Travel                                            ")</f>
        <v xml:space="preserve">     Travel                                            </v>
      </c>
      <c r="C72" s="11"/>
      <c r="D72" s="2">
        <f>SUM(OSRRefD22_17x_0)</f>
        <v>0</v>
      </c>
      <c r="E72" s="2"/>
      <c r="F72" s="5">
        <f t="shared" si="8"/>
        <v>0</v>
      </c>
      <c r="G72" s="2"/>
      <c r="H72" s="2">
        <f>SUM(OSRRefH22_17x_0)</f>
        <v>0</v>
      </c>
      <c r="I72" s="2"/>
      <c r="J72" s="5">
        <f t="shared" si="9"/>
        <v>0</v>
      </c>
      <c r="K72" s="2"/>
      <c r="L72" s="2">
        <f t="shared" si="10"/>
        <v>0</v>
      </c>
      <c r="M72" s="2"/>
      <c r="N72" s="5">
        <f t="shared" si="11"/>
        <v>0</v>
      </c>
      <c r="O72" s="11"/>
      <c r="P72" s="2">
        <f>SUM(OSRRefP22_17x_0)</f>
        <v>141.24</v>
      </c>
      <c r="Q72" s="2"/>
      <c r="R72" s="5">
        <f t="shared" si="12"/>
        <v>0</v>
      </c>
      <c r="S72" s="2"/>
      <c r="T72" s="2">
        <f>SUM(OSRRefT22_17x_0)</f>
        <v>332.21</v>
      </c>
      <c r="U72" s="2"/>
      <c r="V72" s="5">
        <f t="shared" si="13"/>
        <v>0</v>
      </c>
      <c r="W72" s="2"/>
      <c r="X72" s="2">
        <f t="shared" si="14"/>
        <v>-190.96999999999997</v>
      </c>
      <c r="Y72" s="2"/>
      <c r="Z72" s="5">
        <f t="shared" si="15"/>
        <v>-0.5748472351825652</v>
      </c>
    </row>
    <row r="73" spans="1:26" s="69" customFormat="1" ht="15" hidden="1" customHeight="1" outlineLevel="2" x14ac:dyDescent="0.3">
      <c r="A73" s="21"/>
      <c r="B73" s="9" t="str">
        <f>CONCATENATE("          ","6292"," - ","TRAVEL/CONFERENCE")</f>
        <v xml:space="preserve">          6292 - TRAVEL/CONFERENCE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18.59</v>
      </c>
      <c r="Q73" s="3"/>
      <c r="R73" s="7">
        <f t="shared" si="12"/>
        <v>0</v>
      </c>
      <c r="S73" s="3"/>
      <c r="T73" s="6"/>
      <c r="U73" s="3"/>
      <c r="V73" s="7">
        <f t="shared" si="13"/>
        <v>0</v>
      </c>
      <c r="W73" s="3"/>
      <c r="X73" s="6">
        <f t="shared" si="14"/>
        <v>18.59</v>
      </c>
      <c r="Y73" s="3"/>
      <c r="Z73" s="7">
        <f t="shared" si="15"/>
        <v>0</v>
      </c>
    </row>
    <row r="74" spans="1:26" s="69" customFormat="1" ht="15" hidden="1" customHeight="1" outlineLevel="2" x14ac:dyDescent="0.3">
      <c r="A74" s="21"/>
      <c r="B74" s="9" t="str">
        <f>CONCATENATE("          ","6298"," - ","VEHICLE MILEAGE")</f>
        <v xml:space="preserve">          6298 - VEHICLE MILEAGE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122.65</v>
      </c>
      <c r="Q74" s="3"/>
      <c r="R74" s="7">
        <f t="shared" si="12"/>
        <v>0</v>
      </c>
      <c r="S74" s="3"/>
      <c r="T74" s="6">
        <v>332.21</v>
      </c>
      <c r="U74" s="3"/>
      <c r="V74" s="7">
        <f t="shared" si="13"/>
        <v>0</v>
      </c>
      <c r="W74" s="3"/>
      <c r="X74" s="6">
        <f t="shared" si="14"/>
        <v>-209.55999999999997</v>
      </c>
      <c r="Y74" s="3"/>
      <c r="Z74" s="7">
        <f t="shared" si="15"/>
        <v>-0.63080581559856708</v>
      </c>
    </row>
    <row r="75" spans="1:26" s="68" customFormat="1" ht="15" customHeight="1" outlineLevel="1" collapsed="1" x14ac:dyDescent="0.3">
      <c r="A75" s="20"/>
      <c r="B75" s="11" t="str">
        <f>CONCATENATE("     ","Utilities                                         ")</f>
        <v xml:space="preserve">     Utilities                                         </v>
      </c>
      <c r="C75" s="11"/>
      <c r="D75" s="2">
        <f>SUM(OSRRefD22_18x_0)</f>
        <v>9517.98</v>
      </c>
      <c r="E75" s="2"/>
      <c r="F75" s="5">
        <f t="shared" si="8"/>
        <v>0</v>
      </c>
      <c r="G75" s="2"/>
      <c r="H75" s="2">
        <f>SUM(OSRRefH22_18x_0)</f>
        <v>42312</v>
      </c>
      <c r="I75" s="2"/>
      <c r="J75" s="5">
        <f t="shared" si="9"/>
        <v>0</v>
      </c>
      <c r="K75" s="2"/>
      <c r="L75" s="2">
        <f t="shared" si="10"/>
        <v>-32794.020000000004</v>
      </c>
      <c r="M75" s="2"/>
      <c r="N75" s="5">
        <f t="shared" si="11"/>
        <v>-0.77505246738513911</v>
      </c>
      <c r="O75" s="11"/>
      <c r="P75" s="2">
        <f>SUM(OSRRefP22_18x_0)</f>
        <v>87861.92</v>
      </c>
      <c r="Q75" s="2"/>
      <c r="R75" s="5">
        <f t="shared" si="12"/>
        <v>0</v>
      </c>
      <c r="S75" s="2"/>
      <c r="T75" s="2">
        <f>SUM(OSRRefT22_18x_0)</f>
        <v>33273</v>
      </c>
      <c r="U75" s="2"/>
      <c r="V75" s="5">
        <f t="shared" si="13"/>
        <v>0</v>
      </c>
      <c r="W75" s="2"/>
      <c r="X75" s="2">
        <f t="shared" si="14"/>
        <v>54588.92</v>
      </c>
      <c r="Y75" s="2"/>
      <c r="Z75" s="5">
        <f t="shared" si="15"/>
        <v>1.6406371532473778</v>
      </c>
    </row>
    <row r="76" spans="1:26" s="69" customFormat="1" ht="15" hidden="1" customHeight="1" outlineLevel="2" x14ac:dyDescent="0.3">
      <c r="A76" s="21"/>
      <c r="B76" s="9" t="str">
        <f>CONCATENATE("          ","6274"," - ","UTILITIES")</f>
        <v xml:space="preserve">          6274 - UTILITIES</v>
      </c>
      <c r="C76" s="9"/>
      <c r="D76" s="6">
        <v>9517.98</v>
      </c>
      <c r="E76" s="3"/>
      <c r="F76" s="7">
        <f t="shared" si="8"/>
        <v>0</v>
      </c>
      <c r="G76" s="3"/>
      <c r="H76" s="6">
        <v>42312</v>
      </c>
      <c r="I76" s="3"/>
      <c r="J76" s="7">
        <f t="shared" si="9"/>
        <v>0</v>
      </c>
      <c r="K76" s="3"/>
      <c r="L76" s="6">
        <f t="shared" si="10"/>
        <v>-32794.020000000004</v>
      </c>
      <c r="M76" s="3"/>
      <c r="N76" s="7">
        <f t="shared" si="11"/>
        <v>-0.77505246738513911</v>
      </c>
      <c r="O76" s="9"/>
      <c r="P76" s="6">
        <v>87861.92</v>
      </c>
      <c r="Q76" s="3"/>
      <c r="R76" s="7">
        <f t="shared" si="12"/>
        <v>0</v>
      </c>
      <c r="S76" s="3"/>
      <c r="T76" s="6">
        <v>33273</v>
      </c>
      <c r="U76" s="3"/>
      <c r="V76" s="7">
        <f t="shared" si="13"/>
        <v>0</v>
      </c>
      <c r="W76" s="3"/>
      <c r="X76" s="6">
        <f t="shared" si="14"/>
        <v>54588.92</v>
      </c>
      <c r="Y76" s="3"/>
      <c r="Z76" s="7">
        <f t="shared" si="15"/>
        <v>1.6406371532473778</v>
      </c>
    </row>
    <row r="77" spans="1:26" s="64" customFormat="1" ht="15" customHeight="1" x14ac:dyDescent="0.3">
      <c r="A77" s="37"/>
      <c r="B77" s="37"/>
      <c r="C77" s="37"/>
      <c r="D77" s="2"/>
      <c r="E77" s="2"/>
      <c r="F77" s="5"/>
      <c r="G77" s="2"/>
      <c r="H77" s="2"/>
      <c r="I77" s="2"/>
      <c r="J77" s="5"/>
      <c r="K77" s="2"/>
      <c r="L77" s="2"/>
      <c r="M77" s="2"/>
      <c r="N77" s="5"/>
      <c r="O77" s="37"/>
      <c r="P77" s="2"/>
      <c r="Q77" s="2"/>
      <c r="R77" s="5"/>
      <c r="S77" s="2"/>
      <c r="T77" s="2"/>
      <c r="U77" s="2"/>
      <c r="V77" s="5"/>
      <c r="W77" s="2"/>
      <c r="X77" s="2"/>
      <c r="Y77" s="2"/>
      <c r="Z77" s="5"/>
    </row>
    <row r="78" spans="1:26" s="62" customFormat="1" ht="15" customHeight="1" collapsed="1" x14ac:dyDescent="0.3">
      <c r="A78" s="13"/>
      <c r="B78" s="27" t="s">
        <v>290</v>
      </c>
      <c r="C78" s="13"/>
      <c r="D78" s="8">
        <f>SUM(OSRRefD25x_0)</f>
        <v>7555.69</v>
      </c>
      <c r="E78" s="8"/>
      <c r="F78" s="14">
        <f>IF(D$12=0,0,D78/D$12)</f>
        <v>0</v>
      </c>
      <c r="G78" s="8"/>
      <c r="H78" s="8">
        <f>SUM(OSRRefH25x_0)</f>
        <v>449.64</v>
      </c>
      <c r="I78" s="8"/>
      <c r="J78" s="14">
        <f>IF(H$12=0,0,H78/H$12)</f>
        <v>0</v>
      </c>
      <c r="K78" s="8"/>
      <c r="L78" s="8">
        <f>+D78-H78</f>
        <v>7106.0499999999993</v>
      </c>
      <c r="M78" s="8"/>
      <c r="N78" s="14">
        <f>IF(H78=0,0,L78/H78)</f>
        <v>15.8038653144738</v>
      </c>
      <c r="O78" s="13"/>
      <c r="P78" s="8">
        <f>SUM(OSRRefP25x_0)</f>
        <v>53663.3</v>
      </c>
      <c r="Q78" s="8"/>
      <c r="R78" s="14">
        <f>IF(P$12=0,0,P78/P$12)</f>
        <v>0</v>
      </c>
      <c r="S78" s="8"/>
      <c r="T78" s="8">
        <f>SUM(OSRRefT25x_0)</f>
        <v>6504.4900000000007</v>
      </c>
      <c r="U78" s="8"/>
      <c r="V78" s="14">
        <f>IF(T$12=0,0,T78/T$12)</f>
        <v>0</v>
      </c>
      <c r="W78" s="8"/>
      <c r="X78" s="8">
        <f>+P78-T78</f>
        <v>47158.810000000005</v>
      </c>
      <c r="Y78" s="8"/>
      <c r="Z78" s="14">
        <f>IF(T78=0,0,X78/T78)</f>
        <v>7.2501933279934319</v>
      </c>
    </row>
    <row r="79" spans="1:26" s="69" customFormat="1" ht="15" hidden="1" customHeight="1" outlineLevel="1" x14ac:dyDescent="0.3">
      <c r="A79" s="47"/>
      <c r="B79" s="9" t="str">
        <f>CONCATENATE("          ","9150"," - ","MISC. INCOME")</f>
        <v xml:space="preserve">          9150 - MISC. INCOME</v>
      </c>
      <c r="C79" s="9"/>
      <c r="D79" s="3">
        <f>--7555.69</f>
        <v>7555.69</v>
      </c>
      <c r="E79" s="3"/>
      <c r="F79" s="26">
        <f>IF(D$12=0,0,D79/D$12)</f>
        <v>0</v>
      </c>
      <c r="G79" s="3"/>
      <c r="H79" s="3">
        <f>--449.64</f>
        <v>449.64</v>
      </c>
      <c r="I79" s="3"/>
      <c r="J79" s="26">
        <f>IF(H$12=0,0,H79/H$12)</f>
        <v>0</v>
      </c>
      <c r="K79" s="3"/>
      <c r="L79" s="3">
        <f>+D79-H79</f>
        <v>7106.0499999999993</v>
      </c>
      <c r="M79" s="3"/>
      <c r="N79" s="26">
        <f>IF(H79=0,0,L79/H79)</f>
        <v>15.8038653144738</v>
      </c>
      <c r="O79" s="9"/>
      <c r="P79" s="3">
        <f>--53663.3</f>
        <v>53663.3</v>
      </c>
      <c r="Q79" s="3"/>
      <c r="R79" s="26">
        <f>IF(P$12=0,0,P79/P$12)</f>
        <v>0</v>
      </c>
      <c r="S79" s="3"/>
      <c r="T79" s="3">
        <f>--5688.14</f>
        <v>5688.14</v>
      </c>
      <c r="U79" s="3"/>
      <c r="V79" s="26">
        <f>IF(T$12=0,0,T79/T$12)</f>
        <v>0</v>
      </c>
      <c r="W79" s="3"/>
      <c r="X79" s="3">
        <f>+P79-T79</f>
        <v>47975.16</v>
      </c>
      <c r="Y79" s="3"/>
      <c r="Z79" s="26">
        <f>IF(T79=0,0,X79/T79)</f>
        <v>8.434243882886145</v>
      </c>
    </row>
    <row r="80" spans="1:26" s="69" customFormat="1" ht="15" hidden="1" customHeight="1" outlineLevel="1" x14ac:dyDescent="0.3">
      <c r="A80" s="47"/>
      <c r="B80" s="9" t="str">
        <f>CONCATENATE("          ","9160"," - ","MISC. INCOME")</f>
        <v xml:space="preserve">          9160 - MISC. INCOME</v>
      </c>
      <c r="C80" s="9"/>
      <c r="D80" s="3">
        <f>0</f>
        <v>0</v>
      </c>
      <c r="E80" s="3"/>
      <c r="F80" s="26">
        <f>IF(D$12=0,0,D80/D$12)</f>
        <v>0</v>
      </c>
      <c r="G80" s="3"/>
      <c r="H80" s="3">
        <f>0</f>
        <v>0</v>
      </c>
      <c r="I80" s="3"/>
      <c r="J80" s="26">
        <f>IF(H$12=0,0,H80/H$12)</f>
        <v>0</v>
      </c>
      <c r="K80" s="3"/>
      <c r="L80" s="3">
        <f>+D80-H80</f>
        <v>0</v>
      </c>
      <c r="M80" s="3"/>
      <c r="N80" s="26">
        <f>IF(H80=0,0,L80/H80)</f>
        <v>0</v>
      </c>
      <c r="O80" s="9"/>
      <c r="P80" s="3">
        <f>0</f>
        <v>0</v>
      </c>
      <c r="Q80" s="3"/>
      <c r="R80" s="26">
        <f>IF(P$12=0,0,P80/P$12)</f>
        <v>0</v>
      </c>
      <c r="S80" s="3"/>
      <c r="T80" s="3">
        <f>--816.35</f>
        <v>816.35</v>
      </c>
      <c r="U80" s="3"/>
      <c r="V80" s="26">
        <f>IF(T$12=0,0,T80/T$12)</f>
        <v>0</v>
      </c>
      <c r="W80" s="3"/>
      <c r="X80" s="3">
        <f>+P80-T80</f>
        <v>-816.35</v>
      </c>
      <c r="Y80" s="3"/>
      <c r="Z80" s="26">
        <f>IF(T80=0,0,X80/T80)</f>
        <v>-1</v>
      </c>
    </row>
    <row r="81" spans="1:26" ht="15" customHeight="1" x14ac:dyDescent="0.3">
      <c r="A81" s="12"/>
      <c r="B81" s="13"/>
      <c r="C81" s="13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O81" s="13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2" customFormat="1" ht="15" customHeight="1" x14ac:dyDescent="0.3">
      <c r="A82" s="13"/>
      <c r="B82" s="28" t="s">
        <v>291</v>
      </c>
      <c r="C82" s="28"/>
      <c r="D82" s="22">
        <f>+D16-D18+D78</f>
        <v>-61543.839999999997</v>
      </c>
      <c r="E82" s="15"/>
      <c r="F82" s="24">
        <f>IF(D$12=0,0,D82/D$12)</f>
        <v>0</v>
      </c>
      <c r="G82" s="15"/>
      <c r="H82" s="22">
        <f>+H16-H18+H78</f>
        <v>-102735.59</v>
      </c>
      <c r="I82" s="15"/>
      <c r="J82" s="24">
        <f>IF(H$12=0,0,H82/H$12)</f>
        <v>0</v>
      </c>
      <c r="K82" s="17"/>
      <c r="L82" s="22">
        <f>+D82-H82</f>
        <v>41191.75</v>
      </c>
      <c r="M82" s="17"/>
      <c r="N82" s="24">
        <f>IF(H82=0,0,L82/H82)</f>
        <v>-0.40094917447790002</v>
      </c>
      <c r="O82" s="27"/>
      <c r="P82" s="22">
        <f>+P16-P18+P78</f>
        <v>-583387.35000000009</v>
      </c>
      <c r="Q82" s="15"/>
      <c r="R82" s="24">
        <f>IF(P$12=0,0,P82/P$12)</f>
        <v>0</v>
      </c>
      <c r="S82" s="15"/>
      <c r="T82" s="22">
        <f>+T16-T18+T78</f>
        <v>-427660.35000000003</v>
      </c>
      <c r="U82" s="15"/>
      <c r="V82" s="24">
        <f>IF(T$12=0,0,T82/T$12)</f>
        <v>0</v>
      </c>
      <c r="W82" s="17"/>
      <c r="X82" s="22">
        <f>+P82-T82</f>
        <v>-155727.00000000006</v>
      </c>
      <c r="Y82" s="17"/>
      <c r="Z82" s="24">
        <f>IF(T82=0,0,X82/T82)</f>
        <v>0.36413710085585455</v>
      </c>
    </row>
    <row r="83" spans="1:26" ht="15" customHeight="1" x14ac:dyDescent="0.3">
      <c r="A83" s="12"/>
      <c r="B83" s="13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2" customFormat="1" ht="15" customHeight="1" x14ac:dyDescent="0.3">
      <c r="A84" s="48"/>
      <c r="B84" s="13" t="s">
        <v>292</v>
      </c>
      <c r="C84" s="13"/>
      <c r="D84" s="8"/>
      <c r="E84" s="8"/>
      <c r="F84" s="14">
        <f>IF(D$12=0,0,D84/D$12)</f>
        <v>0</v>
      </c>
      <c r="G84" s="8"/>
      <c r="H84" s="8"/>
      <c r="I84" s="8"/>
      <c r="J84" s="14">
        <f>IF(H$12=0,0,H84/H$12)</f>
        <v>0</v>
      </c>
      <c r="K84" s="8"/>
      <c r="L84" s="8">
        <f>+D84-H84</f>
        <v>0</v>
      </c>
      <c r="M84" s="8"/>
      <c r="N84" s="14">
        <f>IF(H84=0,0,L84/H84)</f>
        <v>0</v>
      </c>
      <c r="O84" s="13"/>
      <c r="P84" s="8"/>
      <c r="Q84" s="8"/>
      <c r="R84" s="14">
        <f>IF(P$12=0,0,P84/P$12)</f>
        <v>0</v>
      </c>
      <c r="S84" s="8"/>
      <c r="T84" s="8"/>
      <c r="U84" s="8"/>
      <c r="V84" s="14">
        <f>IF(T$12=0,0,T84/T$12)</f>
        <v>0</v>
      </c>
      <c r="W84" s="8"/>
      <c r="X84" s="8">
        <f>+P84-T84</f>
        <v>0</v>
      </c>
      <c r="Y84" s="8"/>
      <c r="Z84" s="14">
        <f>IF(T84=0,0,X84/T84)</f>
        <v>0</v>
      </c>
    </row>
    <row r="85" spans="1:26" ht="15" customHeight="1" x14ac:dyDescent="0.3">
      <c r="A85" s="12"/>
      <c r="B85" s="13"/>
      <c r="C85" s="13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O85" s="13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2" customFormat="1" ht="15" customHeight="1" x14ac:dyDescent="0.3">
      <c r="A86" s="13"/>
      <c r="B86" s="28" t="s">
        <v>293</v>
      </c>
      <c r="C86" s="28"/>
      <c r="D86" s="29">
        <f>+D82-D84</f>
        <v>-61543.839999999997</v>
      </c>
      <c r="E86" s="15"/>
      <c r="F86" s="31">
        <f>IF(D$12=0,0,D86/D$12)</f>
        <v>0</v>
      </c>
      <c r="G86" s="15"/>
      <c r="H86" s="29">
        <f>+H82-H84</f>
        <v>-102735.59</v>
      </c>
      <c r="I86" s="15"/>
      <c r="J86" s="31">
        <f>IF(H$12=0,0,H86/H$12)</f>
        <v>0</v>
      </c>
      <c r="K86" s="17"/>
      <c r="L86" s="29">
        <f>D86-H86</f>
        <v>41191.75</v>
      </c>
      <c r="M86" s="17"/>
      <c r="N86" s="31">
        <f>IF(H86=0,0,L86/H86)</f>
        <v>-0.40094917447790002</v>
      </c>
      <c r="O86" s="27"/>
      <c r="P86" s="29">
        <f>+P82-P84</f>
        <v>-583387.35000000009</v>
      </c>
      <c r="Q86" s="15"/>
      <c r="R86" s="31">
        <f>IF(P$12=0,0,P86/P$12)</f>
        <v>0</v>
      </c>
      <c r="S86" s="15"/>
      <c r="T86" s="29">
        <f>+T82-T84</f>
        <v>-427660.35000000003</v>
      </c>
      <c r="U86" s="15"/>
      <c r="V86" s="31">
        <f>IF(T$12=0,0,T86/T$12)</f>
        <v>0</v>
      </c>
      <c r="W86" s="17"/>
      <c r="X86" s="29">
        <f>P86-T86</f>
        <v>-155727.00000000006</v>
      </c>
      <c r="Y86" s="17"/>
      <c r="Z86" s="31">
        <f>IF(T86=0,0,X86/T86)</f>
        <v>0.36413710085585455</v>
      </c>
    </row>
    <row r="87" spans="1:26" ht="15" customHeight="1" x14ac:dyDescent="0.3">
      <c r="A87" s="12"/>
      <c r="B87" s="12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ht="15" customHeight="1" x14ac:dyDescent="0.3">
      <c r="A88" s="12"/>
      <c r="B88" s="12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2" customFormat="1" ht="15" customHeight="1" x14ac:dyDescent="0.3">
      <c r="A89" s="13"/>
      <c r="B89" s="28" t="s">
        <v>296</v>
      </c>
      <c r="C89" s="28"/>
      <c r="D89" s="30">
        <f>SUM(D86:D88)</f>
        <v>-61543.839999999997</v>
      </c>
      <c r="E89" s="15"/>
      <c r="F89" s="35">
        <f>IF(D$12=0,0,D89/D$12)</f>
        <v>0</v>
      </c>
      <c r="G89" s="15"/>
      <c r="H89" s="30">
        <f>SUM(H86:H88)</f>
        <v>-102735.59</v>
      </c>
      <c r="I89" s="15"/>
      <c r="J89" s="35">
        <f>IF(H$12=0,0,H89/H$12)</f>
        <v>0</v>
      </c>
      <c r="K89" s="17"/>
      <c r="L89" s="30">
        <f>+D89-H89</f>
        <v>41191.75</v>
      </c>
      <c r="M89" s="17"/>
      <c r="N89" s="35">
        <f>IF(H89=0,0,L89/H89)</f>
        <v>-0.40094917447790002</v>
      </c>
      <c r="O89" s="27"/>
      <c r="P89" s="30">
        <f>SUM(P86:P88)</f>
        <v>-583387.35000000009</v>
      </c>
      <c r="Q89" s="15"/>
      <c r="R89" s="35">
        <f>IF(P$12=0,0,P89/P$12)</f>
        <v>0</v>
      </c>
      <c r="S89" s="15"/>
      <c r="T89" s="30">
        <f>SUM(T86:T88)</f>
        <v>-427660.35000000003</v>
      </c>
      <c r="U89" s="15"/>
      <c r="V89" s="35">
        <f>IF(T$12=0,0,T89/T$12)</f>
        <v>0</v>
      </c>
      <c r="W89" s="17"/>
      <c r="X89" s="30">
        <f>+P89-T89</f>
        <v>-155727.00000000006</v>
      </c>
      <c r="Y89" s="17"/>
      <c r="Z89" s="35">
        <f>IF(T89=0,0,X89/T89)</f>
        <v>0.36413710085585455</v>
      </c>
    </row>
    <row r="90" spans="1:26" ht="15" customHeight="1" x14ac:dyDescent="0.3">
      <c r="A90" s="12"/>
      <c r="C90" s="12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4">
        <v>44767.815885219905</v>
      </c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3" t="s">
        <v>297</v>
      </c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A93" s="12"/>
      <c r="B93" s="51"/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6038D-7B16-25DB-BE59-19B211DE44FC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","412"," - ","Chartroom")</f>
        <v>Department 412 - Chartroom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collapsed="1" x14ac:dyDescent="0.3">
      <c r="A14" s="13"/>
      <c r="B14" s="27" t="s">
        <v>287</v>
      </c>
      <c r="C14" s="13"/>
      <c r="D14" s="8">
        <f>SUM(OSRRefD16x_0)</f>
        <v>2343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2343</v>
      </c>
      <c r="M14" s="8"/>
      <c r="N14" s="14">
        <f>IF(H14=0,0,L14/H14)</f>
        <v>0</v>
      </c>
      <c r="O14" s="13"/>
      <c r="P14" s="8">
        <f>SUM(OSRRefP16x_0)</f>
        <v>2343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2343</v>
      </c>
      <c r="Y14" s="8"/>
      <c r="Z14" s="14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","5059"," - ","PURCHASES @ COST-FOOD")</f>
        <v xml:space="preserve">          5059 - PURCHASES @ COST-FOOD</v>
      </c>
      <c r="C15" s="9"/>
      <c r="D15" s="3">
        <v>2343</v>
      </c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2343</v>
      </c>
      <c r="M15" s="3"/>
      <c r="N15" s="26">
        <f>IF(H15=0,0,L15/H15)</f>
        <v>0</v>
      </c>
      <c r="O15" s="9"/>
      <c r="P15" s="3">
        <v>2343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2343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D12-D14</f>
        <v>-2343</v>
      </c>
      <c r="E17" s="15"/>
      <c r="F17" s="24">
        <f>IF(D$12=0,0,D17/D$12)</f>
        <v>0</v>
      </c>
      <c r="G17" s="15"/>
      <c r="H17" s="22">
        <f>H12-H14</f>
        <v>0</v>
      </c>
      <c r="I17" s="15"/>
      <c r="J17" s="24">
        <f>IF(H$12=0,0,H17/H$12)</f>
        <v>0</v>
      </c>
      <c r="K17" s="17"/>
      <c r="L17" s="22">
        <f>+D17-H17</f>
        <v>-2343</v>
      </c>
      <c r="M17" s="17"/>
      <c r="N17" s="24">
        <f>IF(H17=0,0,L17/H17)</f>
        <v>0</v>
      </c>
      <c r="O17" s="27"/>
      <c r="P17" s="22">
        <f>P12-P14</f>
        <v>-2343</v>
      </c>
      <c r="Q17" s="15"/>
      <c r="R17" s="24">
        <f>IF(P$12=0,0,P17/P$12)</f>
        <v>0</v>
      </c>
      <c r="S17" s="15"/>
      <c r="T17" s="22">
        <f>T12-T14</f>
        <v>0</v>
      </c>
      <c r="U17" s="15"/>
      <c r="V17" s="24">
        <f>IF(T$12=0,0,T17/T$12)</f>
        <v>0</v>
      </c>
      <c r="W17" s="17"/>
      <c r="X17" s="22">
        <f>+P17-T17</f>
        <v>-2343</v>
      </c>
      <c r="Y17" s="17"/>
      <c r="Z17" s="24">
        <f>IF(T17=0,0,X17/T17)</f>
        <v>0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577.49</v>
      </c>
      <c r="E19" s="23"/>
      <c r="F19" s="34">
        <f t="shared" ref="F19:F34" si="0">IF(D$12=0,0,D19/D$12)</f>
        <v>0</v>
      </c>
      <c r="G19" s="23"/>
      <c r="H19" s="23" cm="1">
        <f t="array" ref="H19">SUM(OSRRefH22x_0)</f>
        <v>-374.88</v>
      </c>
      <c r="I19" s="23"/>
      <c r="J19" s="34">
        <f t="shared" ref="J19:J34" si="1">IF(H$12=0,0,H19/H$12)</f>
        <v>0</v>
      </c>
      <c r="K19" s="8"/>
      <c r="L19" s="23">
        <f t="shared" ref="L19:L34" si="2">+D19-H19</f>
        <v>952.37</v>
      </c>
      <c r="M19" s="8"/>
      <c r="N19" s="34">
        <f t="shared" ref="N19:N34" si="3">IF(H19=0,0,L19/H19)</f>
        <v>-2.5404662825437474</v>
      </c>
      <c r="O19" s="13"/>
      <c r="P19" s="23" cm="1">
        <f t="array" ref="P19">SUM(OSRRefP22x_0)</f>
        <v>6988.4900000000007</v>
      </c>
      <c r="Q19" s="23"/>
      <c r="R19" s="34">
        <f t="shared" ref="R19:R34" si="4">IF(P$12=0,0,P19/P$12)</f>
        <v>0</v>
      </c>
      <c r="S19" s="23"/>
      <c r="T19" s="23" cm="1">
        <f t="array" ref="T19">SUM(OSRRefT22x_0)</f>
        <v>8802.0500000000011</v>
      </c>
      <c r="U19" s="23"/>
      <c r="V19" s="34">
        <f t="shared" ref="V19:V34" si="5">IF(T$12=0,0,T19/T$12)</f>
        <v>0</v>
      </c>
      <c r="W19" s="8"/>
      <c r="X19" s="23">
        <f t="shared" ref="X19:X34" si="6">+P19-T19</f>
        <v>-1813.5600000000004</v>
      </c>
      <c r="Y19" s="8"/>
      <c r="Z19" s="34">
        <f t="shared" ref="Z19:Z34" si="7">IF(T19=0,0,X19/T19)</f>
        <v>-0.20603836606245138</v>
      </c>
    </row>
    <row r="20" spans="1:26" s="68" customFormat="1" ht="15" customHeight="1" outlineLevel="1" collapsed="1" x14ac:dyDescent="0.3">
      <c r="A20" s="20"/>
      <c r="B20" s="11" t="str">
        <f>CONCATENATE("     ","*Payroll                                          ")</f>
        <v xml:space="preserve">     *Payroll                                          </v>
      </c>
      <c r="C20" s="11"/>
      <c r="D20" s="2">
        <f>SUM(OSRRefD22_0x_0)</f>
        <v>0</v>
      </c>
      <c r="E20" s="2"/>
      <c r="F20" s="5">
        <f t="shared" si="0"/>
        <v>0</v>
      </c>
      <c r="G20" s="2"/>
      <c r="H20" s="2">
        <f>SUM(OSRRefH22_0x_0)</f>
        <v>0</v>
      </c>
      <c r="I20" s="2"/>
      <c r="J20" s="5">
        <f t="shared" si="1"/>
        <v>0</v>
      </c>
      <c r="K20" s="2"/>
      <c r="L20" s="2">
        <f t="shared" si="2"/>
        <v>0</v>
      </c>
      <c r="M20" s="2"/>
      <c r="N20" s="5">
        <f t="shared" si="3"/>
        <v>0</v>
      </c>
      <c r="O20" s="11"/>
      <c r="P20" s="2">
        <f>SUM(OSRRefP22_0x_0)</f>
        <v>-262.52999999999997</v>
      </c>
      <c r="Q20" s="2"/>
      <c r="R20" s="5">
        <f t="shared" si="4"/>
        <v>0</v>
      </c>
      <c r="S20" s="2"/>
      <c r="T20" s="2">
        <f>SUM(OSRRefT22_0x_0)</f>
        <v>0</v>
      </c>
      <c r="U20" s="2"/>
      <c r="V20" s="5">
        <f t="shared" si="5"/>
        <v>0</v>
      </c>
      <c r="W20" s="2"/>
      <c r="X20" s="2">
        <f t="shared" si="6"/>
        <v>-262.52999999999997</v>
      </c>
      <c r="Y20" s="2"/>
      <c r="Z20" s="5">
        <f t="shared" si="7"/>
        <v>0</v>
      </c>
    </row>
    <row r="21" spans="1:26" s="69" customFormat="1" ht="15" hidden="1" customHeight="1" outlineLevel="2" x14ac:dyDescent="0.3">
      <c r="A21" s="21"/>
      <c r="B21" s="9" t="str">
        <f>CONCATENATE("          ","6002"," - ","STAFF SALARIES")</f>
        <v xml:space="preserve">          6002 - STAFF SALARIES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>
        <v>-262.52999999999997</v>
      </c>
      <c r="Q21" s="3"/>
      <c r="R21" s="7">
        <f t="shared" si="4"/>
        <v>0</v>
      </c>
      <c r="S21" s="3"/>
      <c r="T21" s="6"/>
      <c r="U21" s="3"/>
      <c r="V21" s="7">
        <f t="shared" si="5"/>
        <v>0</v>
      </c>
      <c r="W21" s="3"/>
      <c r="X21" s="6">
        <f t="shared" si="6"/>
        <v>-262.52999999999997</v>
      </c>
      <c r="Y21" s="3"/>
      <c r="Z21" s="7">
        <f t="shared" si="7"/>
        <v>0</v>
      </c>
    </row>
    <row r="22" spans="1:26" s="68" customFormat="1" ht="15" customHeight="1" outlineLevel="1" collapsed="1" x14ac:dyDescent="0.3">
      <c r="A22" s="20"/>
      <c r="B22" s="11" t="str">
        <f>CONCATENATE("     ","Depreciation                                      ")</f>
        <v xml:space="preserve">     Depreciation                                      </v>
      </c>
      <c r="C22" s="11"/>
      <c r="D22" s="2">
        <f>SUM(OSRRefD22_1x_0)</f>
        <v>577.49</v>
      </c>
      <c r="E22" s="2"/>
      <c r="F22" s="5">
        <f t="shared" si="0"/>
        <v>0</v>
      </c>
      <c r="G22" s="2"/>
      <c r="H22" s="2">
        <f>SUM(OSRRefH22_1x_0)</f>
        <v>577.49</v>
      </c>
      <c r="I22" s="2"/>
      <c r="J22" s="5">
        <f t="shared" si="1"/>
        <v>0</v>
      </c>
      <c r="K22" s="2"/>
      <c r="L22" s="2">
        <f t="shared" si="2"/>
        <v>0</v>
      </c>
      <c r="M22" s="2"/>
      <c r="N22" s="5">
        <f t="shared" si="3"/>
        <v>0</v>
      </c>
      <c r="O22" s="11"/>
      <c r="P22" s="2">
        <f>SUM(OSRRefP22_1x_0)</f>
        <v>6928.45</v>
      </c>
      <c r="Q22" s="2"/>
      <c r="R22" s="5">
        <f t="shared" si="4"/>
        <v>0</v>
      </c>
      <c r="S22" s="2"/>
      <c r="T22" s="2">
        <f>SUM(OSRRefT22_1x_0)</f>
        <v>7267.44</v>
      </c>
      <c r="U22" s="2"/>
      <c r="V22" s="5">
        <f t="shared" si="5"/>
        <v>0</v>
      </c>
      <c r="W22" s="2"/>
      <c r="X22" s="2">
        <f t="shared" si="6"/>
        <v>-338.98999999999978</v>
      </c>
      <c r="Y22" s="2"/>
      <c r="Z22" s="5">
        <f t="shared" si="7"/>
        <v>-4.6645035941129176E-2</v>
      </c>
    </row>
    <row r="23" spans="1:26" s="69" customFormat="1" ht="15" hidden="1" customHeight="1" outlineLevel="2" x14ac:dyDescent="0.3">
      <c r="A23" s="21"/>
      <c r="B23" s="9" t="str">
        <f>CONCATENATE("          ","6322"," - ","EQUIPMENT DEPRECIATION EXPENSE")</f>
        <v xml:space="preserve">          6322 - EQUIPMENT DEPRECIATION EXPENSE</v>
      </c>
      <c r="C23" s="9"/>
      <c r="D23" s="6">
        <v>577.49</v>
      </c>
      <c r="E23" s="3"/>
      <c r="F23" s="7">
        <f t="shared" si="0"/>
        <v>0</v>
      </c>
      <c r="G23" s="3"/>
      <c r="H23" s="6">
        <v>577.49</v>
      </c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>
        <v>6928.45</v>
      </c>
      <c r="Q23" s="3"/>
      <c r="R23" s="7">
        <f t="shared" si="4"/>
        <v>0</v>
      </c>
      <c r="S23" s="3"/>
      <c r="T23" s="6">
        <v>7267.44</v>
      </c>
      <c r="U23" s="3"/>
      <c r="V23" s="7">
        <f t="shared" si="5"/>
        <v>0</v>
      </c>
      <c r="W23" s="3"/>
      <c r="X23" s="6">
        <f t="shared" si="6"/>
        <v>-338.98999999999978</v>
      </c>
      <c r="Y23" s="3"/>
      <c r="Z23" s="7">
        <f t="shared" si="7"/>
        <v>-4.6645035941129176E-2</v>
      </c>
    </row>
    <row r="24" spans="1:26" s="68" customFormat="1" ht="15" customHeight="1" outlineLevel="1" collapsed="1" x14ac:dyDescent="0.3">
      <c r="A24" s="20"/>
      <c r="B24" s="11" t="str">
        <f>CONCATENATE("     ","Equipment Rental                                  ")</f>
        <v xml:space="preserve">     Equipment Rental                                  </v>
      </c>
      <c r="C24" s="11"/>
      <c r="D24" s="2">
        <f>SUM(OSRRefD22_2x_0)</f>
        <v>0</v>
      </c>
      <c r="E24" s="2"/>
      <c r="F24" s="5">
        <f t="shared" si="0"/>
        <v>0</v>
      </c>
      <c r="G24" s="2"/>
      <c r="H24" s="2">
        <f>SUM(OSRRefH22_2x_0)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SUM(OSRRefP22_2x_0)</f>
        <v>0</v>
      </c>
      <c r="Q24" s="2"/>
      <c r="R24" s="5">
        <f t="shared" si="4"/>
        <v>0</v>
      </c>
      <c r="S24" s="2"/>
      <c r="T24" s="2">
        <f>SUM(OSRRefT22_2x_0)</f>
        <v>16.239999999999998</v>
      </c>
      <c r="U24" s="2"/>
      <c r="V24" s="5">
        <f t="shared" si="5"/>
        <v>0</v>
      </c>
      <c r="W24" s="2"/>
      <c r="X24" s="2">
        <f t="shared" si="6"/>
        <v>-16.239999999999998</v>
      </c>
      <c r="Y24" s="2"/>
      <c r="Z24" s="5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","6351"," - ","EQUIPMENT RENTAL")</f>
        <v xml:space="preserve">          6351 - EQUIPMENT RENTAL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16.239999999999998</v>
      </c>
      <c r="U25" s="3"/>
      <c r="V25" s="7">
        <f t="shared" si="5"/>
        <v>0</v>
      </c>
      <c r="W25" s="3"/>
      <c r="X25" s="6">
        <f t="shared" si="6"/>
        <v>-16.239999999999998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0"/>
      <c r="B26" s="11" t="str">
        <f>CONCATENATE("     ","Repair and Maintenance                            ")</f>
        <v xml:space="preserve">     Repair and Maintenance                            </v>
      </c>
      <c r="C26" s="11"/>
      <c r="D26" s="2">
        <f>SUM(OSRRefD22_3x_0)</f>
        <v>0</v>
      </c>
      <c r="E26" s="2"/>
      <c r="F26" s="5">
        <f t="shared" si="0"/>
        <v>0</v>
      </c>
      <c r="G26" s="2"/>
      <c r="H26" s="2">
        <f>SUM(OSRRefH22_3x_0)</f>
        <v>60.43</v>
      </c>
      <c r="I26" s="2"/>
      <c r="J26" s="5">
        <f t="shared" si="1"/>
        <v>0</v>
      </c>
      <c r="K26" s="2"/>
      <c r="L26" s="2">
        <f t="shared" si="2"/>
        <v>-60.43</v>
      </c>
      <c r="M26" s="2"/>
      <c r="N26" s="5">
        <f t="shared" si="3"/>
        <v>-1</v>
      </c>
      <c r="O26" s="11"/>
      <c r="P26" s="2">
        <f>SUM(OSRRefP22_3x_0)</f>
        <v>186.97</v>
      </c>
      <c r="Q26" s="2"/>
      <c r="R26" s="5">
        <f t="shared" si="4"/>
        <v>0</v>
      </c>
      <c r="S26" s="2"/>
      <c r="T26" s="2">
        <f>SUM(OSRRefT22_3x_0)</f>
        <v>1737.5600000000002</v>
      </c>
      <c r="U26" s="2"/>
      <c r="V26" s="5">
        <f t="shared" si="5"/>
        <v>0</v>
      </c>
      <c r="W26" s="2"/>
      <c r="X26" s="2">
        <f t="shared" si="6"/>
        <v>-1550.5900000000001</v>
      </c>
      <c r="Y26" s="2"/>
      <c r="Z26" s="5">
        <f t="shared" si="7"/>
        <v>-0.89239508275973201</v>
      </c>
    </row>
    <row r="27" spans="1:26" s="69" customFormat="1" ht="15" hidden="1" customHeight="1" outlineLevel="2" x14ac:dyDescent="0.3">
      <c r="A27" s="21"/>
      <c r="B27" s="9" t="str">
        <f>CONCATENATE("          ","6373"," - ","MAINTENANCE CONTRACTS")</f>
        <v xml:space="preserve">          6373 - MAINTENANCE CONTRACTS</v>
      </c>
      <c r="C27" s="9"/>
      <c r="D27" s="6"/>
      <c r="E27" s="3"/>
      <c r="F27" s="7">
        <f t="shared" si="0"/>
        <v>0</v>
      </c>
      <c r="G27" s="3"/>
      <c r="H27" s="6">
        <v>60.43</v>
      </c>
      <c r="I27" s="3"/>
      <c r="J27" s="7">
        <f t="shared" si="1"/>
        <v>0</v>
      </c>
      <c r="K27" s="3"/>
      <c r="L27" s="6">
        <f t="shared" si="2"/>
        <v>-60.43</v>
      </c>
      <c r="M27" s="3"/>
      <c r="N27" s="7">
        <f t="shared" si="3"/>
        <v>-1</v>
      </c>
      <c r="O27" s="9"/>
      <c r="P27" s="6">
        <v>186.97</v>
      </c>
      <c r="Q27" s="3"/>
      <c r="R27" s="7">
        <f t="shared" si="4"/>
        <v>0</v>
      </c>
      <c r="S27" s="3"/>
      <c r="T27" s="6">
        <v>399.43</v>
      </c>
      <c r="U27" s="3"/>
      <c r="V27" s="7">
        <f t="shared" si="5"/>
        <v>0</v>
      </c>
      <c r="W27" s="3"/>
      <c r="X27" s="6">
        <f t="shared" si="6"/>
        <v>-212.46</v>
      </c>
      <c r="Y27" s="3"/>
      <c r="Z27" s="7">
        <f t="shared" si="7"/>
        <v>-0.53190796885561931</v>
      </c>
    </row>
    <row r="28" spans="1:26" s="69" customFormat="1" ht="15" hidden="1" customHeight="1" outlineLevel="2" x14ac:dyDescent="0.3">
      <c r="A28" s="21"/>
      <c r="B28" s="9" t="str">
        <f>CONCATENATE("          ","6375"," - ","OUTSIDE REPAIRS &amp; MAINTENANCE")</f>
        <v xml:space="preserve">          6375 - OUTSIDE REPAIRS &amp; MAINTENANCE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1338.13</v>
      </c>
      <c r="U28" s="3"/>
      <c r="V28" s="7">
        <f t="shared" si="5"/>
        <v>0</v>
      </c>
      <c r="W28" s="3"/>
      <c r="X28" s="6">
        <f t="shared" si="6"/>
        <v>-1338.13</v>
      </c>
      <c r="Y28" s="3"/>
      <c r="Z28" s="7">
        <f t="shared" si="7"/>
        <v>-1</v>
      </c>
    </row>
    <row r="29" spans="1:26" s="68" customFormat="1" ht="15" customHeight="1" outlineLevel="1" collapsed="1" x14ac:dyDescent="0.3">
      <c r="A29" s="20"/>
      <c r="B29" s="11" t="str">
        <f>CONCATENATE("     ","Services                                          ")</f>
        <v xml:space="preserve">     Services                                          </v>
      </c>
      <c r="C29" s="11"/>
      <c r="D29" s="2">
        <f>SUM(OSRRefD22_4x_0)</f>
        <v>0</v>
      </c>
      <c r="E29" s="2"/>
      <c r="F29" s="5">
        <f t="shared" si="0"/>
        <v>0</v>
      </c>
      <c r="G29" s="2"/>
      <c r="H29" s="2">
        <f>SUM(OSRRefH22_4x_0)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SUM(OSRRefP22_4x_0)</f>
        <v>0</v>
      </c>
      <c r="Q29" s="2"/>
      <c r="R29" s="5">
        <f t="shared" si="4"/>
        <v>0</v>
      </c>
      <c r="S29" s="2"/>
      <c r="T29" s="2">
        <f>SUM(OSRRefT22_4x_0)</f>
        <v>320.58</v>
      </c>
      <c r="U29" s="2"/>
      <c r="V29" s="5">
        <f t="shared" si="5"/>
        <v>0</v>
      </c>
      <c r="W29" s="2"/>
      <c r="X29" s="2">
        <f t="shared" si="6"/>
        <v>-320.58</v>
      </c>
      <c r="Y29" s="2"/>
      <c r="Z29" s="5">
        <f t="shared" si="7"/>
        <v>-1</v>
      </c>
    </row>
    <row r="30" spans="1:26" s="69" customFormat="1" ht="15" hidden="1" customHeight="1" outlineLevel="2" x14ac:dyDescent="0.3">
      <c r="A30" s="21"/>
      <c r="B30" s="9" t="str">
        <f>CONCATENATE("          ","6286"," - ","LAUNDRY EXPENSE")</f>
        <v xml:space="preserve">          6286 - LAUNDRY EXPENSE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320.58</v>
      </c>
      <c r="U30" s="3"/>
      <c r="V30" s="7">
        <f t="shared" si="5"/>
        <v>0</v>
      </c>
      <c r="W30" s="3"/>
      <c r="X30" s="6">
        <f t="shared" si="6"/>
        <v>-320.58</v>
      </c>
      <c r="Y30" s="3"/>
      <c r="Z30" s="7">
        <f t="shared" si="7"/>
        <v>-1</v>
      </c>
    </row>
    <row r="31" spans="1:26" s="68" customFormat="1" ht="15" customHeight="1" outlineLevel="1" collapsed="1" x14ac:dyDescent="0.3">
      <c r="A31" s="20"/>
      <c r="B31" s="11" t="str">
        <f>CONCATENATE("     ","Supplies                                          ")</f>
        <v xml:space="preserve">     Supplies                                          </v>
      </c>
      <c r="C31" s="11"/>
      <c r="D31" s="2">
        <f>SUM(OSRRefD22_5x_0)</f>
        <v>0</v>
      </c>
      <c r="E31" s="2"/>
      <c r="F31" s="5">
        <f t="shared" si="0"/>
        <v>0</v>
      </c>
      <c r="G31" s="2"/>
      <c r="H31" s="2">
        <f>SUM(OSRRefH22_5x_0)</f>
        <v>-1048.8</v>
      </c>
      <c r="I31" s="2"/>
      <c r="J31" s="5">
        <f t="shared" si="1"/>
        <v>0</v>
      </c>
      <c r="K31" s="2"/>
      <c r="L31" s="2">
        <f t="shared" si="2"/>
        <v>1048.8</v>
      </c>
      <c r="M31" s="2"/>
      <c r="N31" s="5">
        <f t="shared" si="3"/>
        <v>-1</v>
      </c>
      <c r="O31" s="11"/>
      <c r="P31" s="2">
        <f>SUM(OSRRefP22_5x_0)</f>
        <v>0</v>
      </c>
      <c r="Q31" s="2"/>
      <c r="R31" s="5">
        <f t="shared" si="4"/>
        <v>0</v>
      </c>
      <c r="S31" s="2"/>
      <c r="T31" s="2">
        <f>SUM(OSRRefT22_5x_0)</f>
        <v>-1048.8</v>
      </c>
      <c r="U31" s="2"/>
      <c r="V31" s="5">
        <f t="shared" si="5"/>
        <v>0</v>
      </c>
      <c r="W31" s="2"/>
      <c r="X31" s="2">
        <f t="shared" si="6"/>
        <v>1048.8</v>
      </c>
      <c r="Y31" s="2"/>
      <c r="Z31" s="5">
        <f t="shared" si="7"/>
        <v>-1</v>
      </c>
    </row>
    <row r="32" spans="1:26" s="69" customFormat="1" ht="15" hidden="1" customHeight="1" outlineLevel="2" x14ac:dyDescent="0.3">
      <c r="A32" s="21"/>
      <c r="B32" s="9" t="str">
        <f>CONCATENATE("          ","6234"," - ","EXPENDABLE SUPPLIES &amp; EQUIPMEN")</f>
        <v xml:space="preserve">          6234 - EXPENDABLE SUPPLIES &amp; EQUIPMEN</v>
      </c>
      <c r="C32" s="9"/>
      <c r="D32" s="6"/>
      <c r="E32" s="3"/>
      <c r="F32" s="7">
        <f t="shared" si="0"/>
        <v>0</v>
      </c>
      <c r="G32" s="3"/>
      <c r="H32" s="6">
        <v>-1048.8</v>
      </c>
      <c r="I32" s="3"/>
      <c r="J32" s="7">
        <f t="shared" si="1"/>
        <v>0</v>
      </c>
      <c r="K32" s="3"/>
      <c r="L32" s="6">
        <f t="shared" si="2"/>
        <v>1048.8</v>
      </c>
      <c r="M32" s="3"/>
      <c r="N32" s="7">
        <f t="shared" si="3"/>
        <v>-1</v>
      </c>
      <c r="O32" s="9"/>
      <c r="P32" s="6"/>
      <c r="Q32" s="3"/>
      <c r="R32" s="7">
        <f t="shared" si="4"/>
        <v>0</v>
      </c>
      <c r="S32" s="3"/>
      <c r="T32" s="6">
        <v>-1048.8</v>
      </c>
      <c r="U32" s="3"/>
      <c r="V32" s="7">
        <f t="shared" si="5"/>
        <v>0</v>
      </c>
      <c r="W32" s="3"/>
      <c r="X32" s="6">
        <f t="shared" si="6"/>
        <v>1048.8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0"/>
      <c r="B33" s="11" t="str">
        <f>CONCATENATE("     ","Telephone/Data Lines                              ")</f>
        <v xml:space="preserve">     Telephone/Data Lines                              </v>
      </c>
      <c r="C33" s="11"/>
      <c r="D33" s="2">
        <f>SUM(OSRRefD22_6x_0)</f>
        <v>0</v>
      </c>
      <c r="E33" s="2"/>
      <c r="F33" s="5">
        <f t="shared" si="0"/>
        <v>0</v>
      </c>
      <c r="G33" s="2"/>
      <c r="H33" s="2">
        <f>SUM(OSRRefH22_6x_0)</f>
        <v>36</v>
      </c>
      <c r="I33" s="2"/>
      <c r="J33" s="5">
        <f t="shared" si="1"/>
        <v>0</v>
      </c>
      <c r="K33" s="2"/>
      <c r="L33" s="2">
        <f t="shared" si="2"/>
        <v>-36</v>
      </c>
      <c r="M33" s="2"/>
      <c r="N33" s="5">
        <f t="shared" si="3"/>
        <v>-1</v>
      </c>
      <c r="O33" s="11"/>
      <c r="P33" s="2">
        <f>SUM(OSRRefP22_6x_0)</f>
        <v>135.6</v>
      </c>
      <c r="Q33" s="2"/>
      <c r="R33" s="5">
        <f t="shared" si="4"/>
        <v>0</v>
      </c>
      <c r="S33" s="2"/>
      <c r="T33" s="2">
        <f>SUM(OSRRefT22_6x_0)</f>
        <v>509.03</v>
      </c>
      <c r="U33" s="2"/>
      <c r="V33" s="5">
        <f t="shared" si="5"/>
        <v>0</v>
      </c>
      <c r="W33" s="2"/>
      <c r="X33" s="2">
        <f t="shared" si="6"/>
        <v>-373.42999999999995</v>
      </c>
      <c r="Y33" s="2"/>
      <c r="Z33" s="5">
        <f t="shared" si="7"/>
        <v>-0.73361098560006277</v>
      </c>
    </row>
    <row r="34" spans="1:26" s="69" customFormat="1" ht="15" hidden="1" customHeight="1" outlineLevel="2" x14ac:dyDescent="0.3">
      <c r="A34" s="21"/>
      <c r="B34" s="9" t="str">
        <f>CONCATENATE("          ","6309"," - ","TELEPHONE")</f>
        <v xml:space="preserve">          6309 - TELEPHONE</v>
      </c>
      <c r="C34" s="9"/>
      <c r="D34" s="6"/>
      <c r="E34" s="3"/>
      <c r="F34" s="7">
        <f t="shared" si="0"/>
        <v>0</v>
      </c>
      <c r="G34" s="3"/>
      <c r="H34" s="6">
        <v>36</v>
      </c>
      <c r="I34" s="3"/>
      <c r="J34" s="7">
        <f t="shared" si="1"/>
        <v>0</v>
      </c>
      <c r="K34" s="3"/>
      <c r="L34" s="6">
        <f t="shared" si="2"/>
        <v>-36</v>
      </c>
      <c r="M34" s="3"/>
      <c r="N34" s="7">
        <f t="shared" si="3"/>
        <v>-1</v>
      </c>
      <c r="O34" s="9"/>
      <c r="P34" s="6">
        <v>135.6</v>
      </c>
      <c r="Q34" s="3"/>
      <c r="R34" s="7">
        <f t="shared" si="4"/>
        <v>0</v>
      </c>
      <c r="S34" s="3"/>
      <c r="T34" s="6">
        <v>509.03</v>
      </c>
      <c r="U34" s="3"/>
      <c r="V34" s="7">
        <f t="shared" si="5"/>
        <v>0</v>
      </c>
      <c r="W34" s="3"/>
      <c r="X34" s="6">
        <f t="shared" si="6"/>
        <v>-373.42999999999995</v>
      </c>
      <c r="Y34" s="3"/>
      <c r="Z34" s="7">
        <f t="shared" si="7"/>
        <v>-0.73361098560006277</v>
      </c>
    </row>
    <row r="35" spans="1:26" s="64" customFormat="1" ht="15" customHeight="1" x14ac:dyDescent="0.3">
      <c r="A35" s="37"/>
      <c r="B35" s="37"/>
      <c r="C35" s="37"/>
      <c r="D35" s="2"/>
      <c r="E35" s="2"/>
      <c r="F35" s="5"/>
      <c r="G35" s="2"/>
      <c r="H35" s="2"/>
      <c r="I35" s="2"/>
      <c r="J35" s="5"/>
      <c r="K35" s="2"/>
      <c r="L35" s="2"/>
      <c r="M35" s="2"/>
      <c r="N35" s="5"/>
      <c r="O35" s="37"/>
      <c r="P35" s="2"/>
      <c r="Q35" s="2"/>
      <c r="R35" s="5"/>
      <c r="S35" s="2"/>
      <c r="T35" s="2"/>
      <c r="U35" s="2"/>
      <c r="V35" s="5"/>
      <c r="W35" s="2"/>
      <c r="X35" s="2"/>
      <c r="Y35" s="2"/>
      <c r="Z35" s="5"/>
    </row>
    <row r="36" spans="1:26" s="62" customFormat="1" ht="15" customHeight="1" x14ac:dyDescent="0.3">
      <c r="A36" s="13"/>
      <c r="B36" s="27" t="s">
        <v>290</v>
      </c>
      <c r="C36" s="13"/>
      <c r="D36" s="8">
        <f>SUM(0)</f>
        <v>0</v>
      </c>
      <c r="E36" s="8"/>
      <c r="F36" s="14">
        <f>IF(D$12=0,0,D36/D$12)</f>
        <v>0</v>
      </c>
      <c r="G36" s="8"/>
      <c r="H36" s="8">
        <f>SUM(0)</f>
        <v>0</v>
      </c>
      <c r="I36" s="8"/>
      <c r="J36" s="14">
        <f>IF(H$12=0,0,H36/H$12)</f>
        <v>0</v>
      </c>
      <c r="K36" s="8"/>
      <c r="L36" s="8">
        <f>+D36-H36</f>
        <v>0</v>
      </c>
      <c r="M36" s="8"/>
      <c r="N36" s="14">
        <f>IF(H36=0,0,L36/H36)</f>
        <v>0</v>
      </c>
      <c r="O36" s="13"/>
      <c r="P36" s="8">
        <f>SUM(0)</f>
        <v>0</v>
      </c>
      <c r="Q36" s="8"/>
      <c r="R36" s="14">
        <f>IF(P$12=0,0,P36/P$12)</f>
        <v>0</v>
      </c>
      <c r="S36" s="8"/>
      <c r="T36" s="8">
        <f>SUM(0)</f>
        <v>0</v>
      </c>
      <c r="U36" s="8"/>
      <c r="V36" s="14">
        <f>IF(T$12=0,0,T36/T$12)</f>
        <v>0</v>
      </c>
      <c r="W36" s="8"/>
      <c r="X36" s="8">
        <f>+P36-T36</f>
        <v>0</v>
      </c>
      <c r="Y36" s="8"/>
      <c r="Z36" s="14">
        <f>IF(T36=0,0,X36/T36)</f>
        <v>0</v>
      </c>
    </row>
    <row r="37" spans="1:26" ht="15" customHeight="1" x14ac:dyDescent="0.3">
      <c r="A37" s="12"/>
      <c r="B37" s="13"/>
      <c r="C37" s="13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O37" s="13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x14ac:dyDescent="0.3">
      <c r="A38" s="13"/>
      <c r="B38" s="28" t="s">
        <v>291</v>
      </c>
      <c r="C38" s="28"/>
      <c r="D38" s="22">
        <f>+D17-D19+D36</f>
        <v>-2920.49</v>
      </c>
      <c r="E38" s="15"/>
      <c r="F38" s="24">
        <f>IF(D$12=0,0,D38/D$12)</f>
        <v>0</v>
      </c>
      <c r="G38" s="15"/>
      <c r="H38" s="22">
        <f>+H17-H19+H36</f>
        <v>374.88</v>
      </c>
      <c r="I38" s="15"/>
      <c r="J38" s="24">
        <f>IF(H$12=0,0,H38/H$12)</f>
        <v>0</v>
      </c>
      <c r="K38" s="17"/>
      <c r="L38" s="22">
        <f>+D38-H38</f>
        <v>-3295.37</v>
      </c>
      <c r="M38" s="17"/>
      <c r="N38" s="24">
        <f>IF(H38=0,0,L38/H38)</f>
        <v>-8.790466282543747</v>
      </c>
      <c r="O38" s="27"/>
      <c r="P38" s="22">
        <f>+P17-P19+P36</f>
        <v>-9331.4900000000016</v>
      </c>
      <c r="Q38" s="15"/>
      <c r="R38" s="24">
        <f>IF(P$12=0,0,P38/P$12)</f>
        <v>0</v>
      </c>
      <c r="S38" s="15"/>
      <c r="T38" s="22">
        <f>+T17-T19+T36</f>
        <v>-8802.0500000000011</v>
      </c>
      <c r="U38" s="15"/>
      <c r="V38" s="24">
        <f>IF(T$12=0,0,T38/T$12)</f>
        <v>0</v>
      </c>
      <c r="W38" s="17"/>
      <c r="X38" s="22">
        <f>+P38-T38</f>
        <v>-529.44000000000051</v>
      </c>
      <c r="Y38" s="17"/>
      <c r="Z38" s="24">
        <f>IF(T38=0,0,X38/T38)</f>
        <v>6.0149624235263426E-2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2" customFormat="1" ht="15" customHeight="1" x14ac:dyDescent="0.3">
      <c r="A40" s="48"/>
      <c r="B40" s="13" t="s">
        <v>292</v>
      </c>
      <c r="C40" s="13"/>
      <c r="D40" s="8"/>
      <c r="E40" s="8"/>
      <c r="F40" s="14">
        <f>IF(D$12=0,0,D40/D$12)</f>
        <v>0</v>
      </c>
      <c r="G40" s="8"/>
      <c r="H40" s="8"/>
      <c r="I40" s="8"/>
      <c r="J40" s="14">
        <f>IF(H$12=0,0,H40/H$12)</f>
        <v>0</v>
      </c>
      <c r="K40" s="8"/>
      <c r="L40" s="8">
        <f>+D40-H40</f>
        <v>0</v>
      </c>
      <c r="M40" s="8"/>
      <c r="N40" s="14">
        <f>IF(H40=0,0,L40/H40)</f>
        <v>0</v>
      </c>
      <c r="O40" s="13"/>
      <c r="P40" s="8"/>
      <c r="Q40" s="8"/>
      <c r="R40" s="14">
        <f>IF(P$12=0,0,P40/P$12)</f>
        <v>0</v>
      </c>
      <c r="S40" s="8"/>
      <c r="T40" s="8"/>
      <c r="U40" s="8"/>
      <c r="V40" s="14">
        <f>IF(T$12=0,0,T40/T$12)</f>
        <v>0</v>
      </c>
      <c r="W40" s="8"/>
      <c r="X40" s="8">
        <f>+P40-T40</f>
        <v>0</v>
      </c>
      <c r="Y40" s="8"/>
      <c r="Z40" s="14">
        <f>IF(T40=0,0,X40/T40)</f>
        <v>0</v>
      </c>
    </row>
    <row r="41" spans="1:26" ht="15" customHeight="1" x14ac:dyDescent="0.3">
      <c r="A41" s="12"/>
      <c r="B41" s="13"/>
      <c r="C41" s="13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O41" s="13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s="62" customFormat="1" ht="15" customHeight="1" x14ac:dyDescent="0.3">
      <c r="A42" s="13"/>
      <c r="B42" s="28" t="s">
        <v>293</v>
      </c>
      <c r="C42" s="28"/>
      <c r="D42" s="29">
        <f>+D38-D40</f>
        <v>-2920.49</v>
      </c>
      <c r="E42" s="15"/>
      <c r="F42" s="31">
        <f>IF(D$12=0,0,D42/D$12)</f>
        <v>0</v>
      </c>
      <c r="G42" s="15"/>
      <c r="H42" s="29">
        <f>+H38-H40</f>
        <v>374.88</v>
      </c>
      <c r="I42" s="15"/>
      <c r="J42" s="31">
        <f>IF(H$12=0,0,H42/H$12)</f>
        <v>0</v>
      </c>
      <c r="K42" s="17"/>
      <c r="L42" s="29">
        <f>D42-H42</f>
        <v>-3295.37</v>
      </c>
      <c r="M42" s="17"/>
      <c r="N42" s="31">
        <f>IF(H42=0,0,L42/H42)</f>
        <v>-8.790466282543747</v>
      </c>
      <c r="O42" s="27"/>
      <c r="P42" s="29">
        <f>+P38-P40</f>
        <v>-9331.4900000000016</v>
      </c>
      <c r="Q42" s="15"/>
      <c r="R42" s="31">
        <f>IF(P$12=0,0,P42/P$12)</f>
        <v>0</v>
      </c>
      <c r="S42" s="15"/>
      <c r="T42" s="29">
        <f>+T38-T40</f>
        <v>-8802.0500000000011</v>
      </c>
      <c r="U42" s="15"/>
      <c r="V42" s="31">
        <f>IF(T$12=0,0,T42/T$12)</f>
        <v>0</v>
      </c>
      <c r="W42" s="17"/>
      <c r="X42" s="29">
        <f>P42-T42</f>
        <v>-529.44000000000051</v>
      </c>
      <c r="Y42" s="17"/>
      <c r="Z42" s="31">
        <f>IF(T42=0,0,X42/T42)</f>
        <v>6.0149624235263426E-2</v>
      </c>
    </row>
    <row r="43" spans="1:26" ht="15" customHeight="1" x14ac:dyDescent="0.3">
      <c r="A43" s="12"/>
      <c r="B43" s="12"/>
      <c r="C43" s="12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ht="15" customHeight="1" x14ac:dyDescent="0.3">
      <c r="A44" s="12"/>
      <c r="B44" s="12"/>
      <c r="C44" s="12"/>
      <c r="D44" s="4"/>
      <c r="E44" s="4"/>
      <c r="F44" s="10"/>
      <c r="G44" s="4"/>
      <c r="H44" s="4"/>
      <c r="I44" s="4"/>
      <c r="J44" s="10"/>
      <c r="K44" s="4"/>
      <c r="L44" s="4"/>
      <c r="M44" s="4"/>
      <c r="N44" s="10"/>
      <c r="P44" s="4"/>
      <c r="Q44" s="4"/>
      <c r="R44" s="10"/>
      <c r="S44" s="4"/>
      <c r="T44" s="4"/>
      <c r="U44" s="4"/>
      <c r="V44" s="10"/>
      <c r="W44" s="4"/>
      <c r="X44" s="4"/>
      <c r="Y44" s="4"/>
      <c r="Z44" s="10"/>
    </row>
    <row r="45" spans="1:26" s="62" customFormat="1" ht="15" customHeight="1" x14ac:dyDescent="0.3">
      <c r="A45" s="13"/>
      <c r="B45" s="28" t="s">
        <v>296</v>
      </c>
      <c r="C45" s="28"/>
      <c r="D45" s="30">
        <f>SUM(D42:D44)</f>
        <v>-2920.49</v>
      </c>
      <c r="E45" s="15"/>
      <c r="F45" s="35">
        <f>IF(D$12=0,0,D45/D$12)</f>
        <v>0</v>
      </c>
      <c r="G45" s="15"/>
      <c r="H45" s="30">
        <f>SUM(H42:H44)</f>
        <v>374.88</v>
      </c>
      <c r="I45" s="15"/>
      <c r="J45" s="35">
        <f>IF(H$12=0,0,H45/H$12)</f>
        <v>0</v>
      </c>
      <c r="K45" s="17"/>
      <c r="L45" s="30">
        <f>+D45-H45</f>
        <v>-3295.37</v>
      </c>
      <c r="M45" s="17"/>
      <c r="N45" s="35">
        <f>IF(H45=0,0,L45/H45)</f>
        <v>-8.790466282543747</v>
      </c>
      <c r="O45" s="27"/>
      <c r="P45" s="30">
        <f>SUM(P42:P44)</f>
        <v>-9331.4900000000016</v>
      </c>
      <c r="Q45" s="15"/>
      <c r="R45" s="35">
        <f>IF(P$12=0,0,P45/P$12)</f>
        <v>0</v>
      </c>
      <c r="S45" s="15"/>
      <c r="T45" s="30">
        <f>SUM(T42:T44)</f>
        <v>-8802.0500000000011</v>
      </c>
      <c r="U45" s="15"/>
      <c r="V45" s="35">
        <f>IF(T$12=0,0,T45/T$12)</f>
        <v>0</v>
      </c>
      <c r="W45" s="17"/>
      <c r="X45" s="30">
        <f>+P45-T45</f>
        <v>-529.44000000000051</v>
      </c>
      <c r="Y45" s="17"/>
      <c r="Z45" s="35">
        <f>IF(T45=0,0,X45/T45)</f>
        <v>6.0149624235263426E-2</v>
      </c>
    </row>
    <row r="46" spans="1:26" ht="15" customHeight="1" x14ac:dyDescent="0.3">
      <c r="A46" s="12"/>
      <c r="C46" s="12"/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4">
        <v>44767.815885219905</v>
      </c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3" t="s">
        <v>297</v>
      </c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1:24" ht="15" customHeight="1" x14ac:dyDescent="0.3">
      <c r="A49" s="12"/>
      <c r="B49" s="51"/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  <row r="50" spans="1:24" ht="15" customHeight="1" x14ac:dyDescent="0.3">
      <c r="D50" s="19"/>
      <c r="E50" s="19"/>
      <c r="G50" s="19"/>
      <c r="H50" s="19"/>
      <c r="I50" s="19"/>
      <c r="J50" s="41"/>
      <c r="K50" s="19"/>
      <c r="L50" s="19"/>
      <c r="M50" s="19"/>
      <c r="P50" s="19"/>
      <c r="Q50" s="19"/>
      <c r="R50" s="41"/>
      <c r="S50" s="19"/>
      <c r="T50" s="19"/>
      <c r="U50" s="19"/>
      <c r="V50" s="41"/>
      <c r="W50" s="19"/>
      <c r="X5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E1F26-1E43-FC01-C765-24534F73640F}">
  <sheetPr>
    <tabColor rgb="FF92D050"/>
    <outlinePr summaryBelow="0" summaryRight="0"/>
  </sheetPr>
  <dimension ref="A2:Z5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","413"," - ","Beach Walk")</f>
        <v>Department 413 - Beach Walk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58.07</v>
      </c>
      <c r="E18" s="23"/>
      <c r="F18" s="34">
        <f t="shared" ref="F18:F35" si="0">IF(D$12=0,0,D18/D$12)</f>
        <v>0</v>
      </c>
      <c r="G18" s="23"/>
      <c r="H18" s="23" cm="1">
        <f t="array" ref="H18">SUM(OSRRefH22x_0)</f>
        <v>223.16</v>
      </c>
      <c r="I18" s="23"/>
      <c r="J18" s="34">
        <f t="shared" ref="J18:J35" si="1">IF(H$12=0,0,H18/H$12)</f>
        <v>0</v>
      </c>
      <c r="K18" s="8"/>
      <c r="L18" s="23">
        <f t="shared" ref="L18:L35" si="2">+D18-H18</f>
        <v>-165.09</v>
      </c>
      <c r="M18" s="8"/>
      <c r="N18" s="34">
        <f t="shared" ref="N18:N35" si="3">IF(H18=0,0,L18/H18)</f>
        <v>-0.73978311525362972</v>
      </c>
      <c r="O18" s="13"/>
      <c r="P18" s="23" cm="1">
        <f t="array" ref="P18">SUM(OSRRefP22x_0)</f>
        <v>1061.21</v>
      </c>
      <c r="Q18" s="23"/>
      <c r="R18" s="34">
        <f t="shared" ref="R18:R35" si="4">IF(P$12=0,0,P18/P$12)</f>
        <v>0</v>
      </c>
      <c r="S18" s="23"/>
      <c r="T18" s="23" cm="1">
        <f t="array" ref="T18">SUM(OSRRefT22x_0)</f>
        <v>5526.57</v>
      </c>
      <c r="U18" s="23"/>
      <c r="V18" s="34">
        <f t="shared" ref="V18:V35" si="5">IF(T$12=0,0,T18/T$12)</f>
        <v>0</v>
      </c>
      <c r="W18" s="8"/>
      <c r="X18" s="23">
        <f t="shared" ref="X18:X35" si="6">+P18-T18</f>
        <v>-4465.3599999999997</v>
      </c>
      <c r="Y18" s="8"/>
      <c r="Z18" s="34">
        <f t="shared" ref="Z18:Z35" si="7">IF(T18=0,0,X18/T18)</f>
        <v>-0.80798035671311497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0</v>
      </c>
      <c r="Q19" s="2"/>
      <c r="R19" s="5">
        <f t="shared" si="4"/>
        <v>0</v>
      </c>
      <c r="S19" s="2"/>
      <c r="T19" s="2">
        <f>SUM(OSRRefT22_0x_0)</f>
        <v>1493.43</v>
      </c>
      <c r="U19" s="2"/>
      <c r="V19" s="5">
        <f t="shared" si="5"/>
        <v>0</v>
      </c>
      <c r="W19" s="2"/>
      <c r="X19" s="2">
        <f t="shared" si="6"/>
        <v>-1493.43</v>
      </c>
      <c r="Y19" s="2"/>
      <c r="Z19" s="5">
        <f t="shared" si="7"/>
        <v>-1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/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/>
      <c r="Q20" s="3"/>
      <c r="R20" s="7">
        <f t="shared" si="4"/>
        <v>0</v>
      </c>
      <c r="S20" s="3"/>
      <c r="T20" s="6">
        <v>191.51</v>
      </c>
      <c r="U20" s="3"/>
      <c r="V20" s="7">
        <f t="shared" si="5"/>
        <v>0</v>
      </c>
      <c r="W20" s="3"/>
      <c r="X20" s="6">
        <f t="shared" si="6"/>
        <v>-191.51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1"/>
      <c r="B21" s="9" t="str">
        <f>CONCATENATE("          ","6113"," - ","GROUP INSURANCE")</f>
        <v xml:space="preserve">          6113 - GROUP INSURANCE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/>
      <c r="Q21" s="3"/>
      <c r="R21" s="7">
        <f t="shared" si="4"/>
        <v>0</v>
      </c>
      <c r="S21" s="3"/>
      <c r="T21" s="6">
        <v>718.51</v>
      </c>
      <c r="U21" s="3"/>
      <c r="V21" s="7">
        <f t="shared" si="5"/>
        <v>0</v>
      </c>
      <c r="W21" s="3"/>
      <c r="X21" s="6">
        <f t="shared" si="6"/>
        <v>-718.51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1"/>
      <c r="B22" s="9" t="str">
        <f>CONCATENATE("          ","6115"," - ","P.E.R.S.")</f>
        <v xml:space="preserve">          6115 - P.E.R.S.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377.03</v>
      </c>
      <c r="U22" s="3"/>
      <c r="V22" s="7">
        <f t="shared" si="5"/>
        <v>0</v>
      </c>
      <c r="W22" s="3"/>
      <c r="X22" s="6">
        <f t="shared" si="6"/>
        <v>-377.03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1"/>
      <c r="B23" s="9" t="str">
        <f>CONCATENATE("          ","6118"," - ","VACATION")</f>
        <v xml:space="preserve">          6118 - VACATION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/>
      <c r="Q23" s="3"/>
      <c r="R23" s="7">
        <f t="shared" si="4"/>
        <v>0</v>
      </c>
      <c r="S23" s="3"/>
      <c r="T23" s="6">
        <v>93.89</v>
      </c>
      <c r="U23" s="3"/>
      <c r="V23" s="7">
        <f t="shared" si="5"/>
        <v>0</v>
      </c>
      <c r="W23" s="3"/>
      <c r="X23" s="6">
        <f t="shared" si="6"/>
        <v>-93.89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1"/>
      <c r="B24" s="9" t="str">
        <f>CONCATENATE("          ","6119"," - ","SICK LEAVE")</f>
        <v xml:space="preserve">          6119 - SICK LEAVE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112.49</v>
      </c>
      <c r="U24" s="3"/>
      <c r="V24" s="7">
        <f t="shared" si="5"/>
        <v>0</v>
      </c>
      <c r="W24" s="3"/>
      <c r="X24" s="6">
        <f t="shared" si="6"/>
        <v>-112.49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0"/>
      <c r="B25" s="11" t="str">
        <f>CONCATENATE("     ","*Payroll                                          ")</f>
        <v xml:space="preserve">     *Payroll                                          </v>
      </c>
      <c r="C25" s="11"/>
      <c r="D25" s="2">
        <f>SUM(OSRRefD22_1x_0)</f>
        <v>0</v>
      </c>
      <c r="E25" s="2"/>
      <c r="F25" s="5">
        <f t="shared" si="0"/>
        <v>0</v>
      </c>
      <c r="G25" s="2"/>
      <c r="H25" s="2">
        <f>SUM(OSRRefH22_1x_0)</f>
        <v>0</v>
      </c>
      <c r="I25" s="2"/>
      <c r="J25" s="5">
        <f t="shared" si="1"/>
        <v>0</v>
      </c>
      <c r="K25" s="2"/>
      <c r="L25" s="2">
        <f t="shared" si="2"/>
        <v>0</v>
      </c>
      <c r="M25" s="2"/>
      <c r="N25" s="5">
        <f t="shared" si="3"/>
        <v>0</v>
      </c>
      <c r="O25" s="11"/>
      <c r="P25" s="2">
        <f>SUM(OSRRefP22_1x_0)</f>
        <v>0</v>
      </c>
      <c r="Q25" s="2"/>
      <c r="R25" s="5">
        <f t="shared" si="4"/>
        <v>0</v>
      </c>
      <c r="S25" s="2"/>
      <c r="T25" s="2">
        <f>SUM(OSRRefT22_1x_0)</f>
        <v>2259.48</v>
      </c>
      <c r="U25" s="2"/>
      <c r="V25" s="5">
        <f t="shared" si="5"/>
        <v>0</v>
      </c>
      <c r="W25" s="2"/>
      <c r="X25" s="2">
        <f t="shared" si="6"/>
        <v>-2259.48</v>
      </c>
      <c r="Y25" s="2"/>
      <c r="Z25" s="5">
        <f t="shared" si="7"/>
        <v>-1</v>
      </c>
    </row>
    <row r="26" spans="1:26" s="69" customFormat="1" ht="15" hidden="1" customHeight="1" outlineLevel="2" x14ac:dyDescent="0.3">
      <c r="A26" s="21"/>
      <c r="B26" s="9" t="str">
        <f>CONCATENATE("          ","6002"," - ","STAFF SALARIES")</f>
        <v xml:space="preserve">          6002 - STAFF SALARIES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2259.48</v>
      </c>
      <c r="U26" s="3"/>
      <c r="V26" s="7">
        <f t="shared" si="5"/>
        <v>0</v>
      </c>
      <c r="W26" s="3"/>
      <c r="X26" s="6">
        <f t="shared" si="6"/>
        <v>-2259.48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0"/>
      <c r="B27" s="11" t="str">
        <f>CONCATENATE("     ","Depreciation                                      ")</f>
        <v xml:space="preserve">     Depreciation                                      </v>
      </c>
      <c r="C27" s="11"/>
      <c r="D27" s="2">
        <f>SUM(OSRRefD22_2x_0)</f>
        <v>58.07</v>
      </c>
      <c r="E27" s="2"/>
      <c r="F27" s="5">
        <f t="shared" si="0"/>
        <v>0</v>
      </c>
      <c r="G27" s="2"/>
      <c r="H27" s="2">
        <f>SUM(OSRRefH22_2x_0)</f>
        <v>58.07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SUM(OSRRefP22_2x_0)</f>
        <v>696.4</v>
      </c>
      <c r="Q27" s="2"/>
      <c r="R27" s="5">
        <f t="shared" si="4"/>
        <v>0</v>
      </c>
      <c r="S27" s="2"/>
      <c r="T27" s="2">
        <f>SUM(OSRRefT22_2x_0)</f>
        <v>696.4</v>
      </c>
      <c r="U27" s="2"/>
      <c r="V27" s="5">
        <f t="shared" si="5"/>
        <v>0</v>
      </c>
      <c r="W27" s="2"/>
      <c r="X27" s="2">
        <f t="shared" si="6"/>
        <v>0</v>
      </c>
      <c r="Y27" s="2"/>
      <c r="Z27" s="5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","6322"," - ","EQUIPMENT DEPRECIATION EXPENSE")</f>
        <v xml:space="preserve">          6322 - EQUIPMENT DEPRECIATION EXPENSE</v>
      </c>
      <c r="C28" s="9"/>
      <c r="D28" s="6">
        <v>58.07</v>
      </c>
      <c r="E28" s="3"/>
      <c r="F28" s="7">
        <f t="shared" si="0"/>
        <v>0</v>
      </c>
      <c r="G28" s="3"/>
      <c r="H28" s="6">
        <v>58.07</v>
      </c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>
        <v>696.4</v>
      </c>
      <c r="Q28" s="3"/>
      <c r="R28" s="7">
        <f t="shared" si="4"/>
        <v>0</v>
      </c>
      <c r="S28" s="3"/>
      <c r="T28" s="6">
        <v>696.4</v>
      </c>
      <c r="U28" s="3"/>
      <c r="V28" s="7">
        <f t="shared" si="5"/>
        <v>0</v>
      </c>
      <c r="W28" s="3"/>
      <c r="X28" s="6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0"/>
      <c r="B29" s="11" t="str">
        <f>CONCATENATE("     ","Repair and Maintenance                            ")</f>
        <v xml:space="preserve">     Repair and Maintenance                            </v>
      </c>
      <c r="C29" s="11"/>
      <c r="D29" s="2">
        <f>SUM(OSRRefD22_3x_0)</f>
        <v>0</v>
      </c>
      <c r="E29" s="2"/>
      <c r="F29" s="5">
        <f t="shared" si="0"/>
        <v>0</v>
      </c>
      <c r="G29" s="2"/>
      <c r="H29" s="2">
        <f>SUM(OSRRefH22_3x_0)</f>
        <v>165.09</v>
      </c>
      <c r="I29" s="2"/>
      <c r="J29" s="5">
        <f t="shared" si="1"/>
        <v>0</v>
      </c>
      <c r="K29" s="2"/>
      <c r="L29" s="2">
        <f t="shared" si="2"/>
        <v>-165.09</v>
      </c>
      <c r="M29" s="2"/>
      <c r="N29" s="5">
        <f t="shared" si="3"/>
        <v>-1</v>
      </c>
      <c r="O29" s="11"/>
      <c r="P29" s="2">
        <f>SUM(OSRRefP22_3x_0)</f>
        <v>364.81</v>
      </c>
      <c r="Q29" s="2"/>
      <c r="R29" s="5">
        <f t="shared" si="4"/>
        <v>0</v>
      </c>
      <c r="S29" s="2"/>
      <c r="T29" s="2">
        <f>SUM(OSRRefT22_3x_0)</f>
        <v>740.94</v>
      </c>
      <c r="U29" s="2"/>
      <c r="V29" s="5">
        <f t="shared" si="5"/>
        <v>0</v>
      </c>
      <c r="W29" s="2"/>
      <c r="X29" s="2">
        <f t="shared" si="6"/>
        <v>-376.13000000000005</v>
      </c>
      <c r="Y29" s="2"/>
      <c r="Z29" s="5">
        <f t="shared" si="7"/>
        <v>-0.50763894512376173</v>
      </c>
    </row>
    <row r="30" spans="1:26" s="69" customFormat="1" ht="15" hidden="1" customHeight="1" outlineLevel="2" x14ac:dyDescent="0.3">
      <c r="A30" s="21"/>
      <c r="B30" s="9" t="str">
        <f>CONCATENATE("          ","6373"," - ","MAINTENANCE CONTRACTS")</f>
        <v xml:space="preserve">          6373 - MAINTENANCE CONTRACTS</v>
      </c>
      <c r="C30" s="9"/>
      <c r="D30" s="6"/>
      <c r="E30" s="3"/>
      <c r="F30" s="7">
        <f t="shared" si="0"/>
        <v>0</v>
      </c>
      <c r="G30" s="3"/>
      <c r="H30" s="6">
        <v>165.09</v>
      </c>
      <c r="I30" s="3"/>
      <c r="J30" s="7">
        <f t="shared" si="1"/>
        <v>0</v>
      </c>
      <c r="K30" s="3"/>
      <c r="L30" s="6">
        <f t="shared" si="2"/>
        <v>-165.09</v>
      </c>
      <c r="M30" s="3"/>
      <c r="N30" s="7">
        <f t="shared" si="3"/>
        <v>-1</v>
      </c>
      <c r="O30" s="9"/>
      <c r="P30" s="6">
        <v>364.81</v>
      </c>
      <c r="Q30" s="3"/>
      <c r="R30" s="7">
        <f t="shared" si="4"/>
        <v>0</v>
      </c>
      <c r="S30" s="3"/>
      <c r="T30" s="6">
        <v>740.94</v>
      </c>
      <c r="U30" s="3"/>
      <c r="V30" s="7">
        <f t="shared" si="5"/>
        <v>0</v>
      </c>
      <c r="W30" s="3"/>
      <c r="X30" s="6">
        <f t="shared" si="6"/>
        <v>-376.13000000000005</v>
      </c>
      <c r="Y30" s="3"/>
      <c r="Z30" s="7">
        <f t="shared" si="7"/>
        <v>-0.50763894512376173</v>
      </c>
    </row>
    <row r="31" spans="1:26" s="69" customFormat="1" ht="15" hidden="1" customHeight="1" outlineLevel="2" x14ac:dyDescent="0.3">
      <c r="A31" s="21"/>
      <c r="B31" s="9" t="str">
        <f>CONCATENATE("          ","6375"," - ","OUTSIDE REPAIRS &amp; MAINTENANCE")</f>
        <v xml:space="preserve">          6375 - OUTSIDE REPAIRS &amp; MAINTENANCE</v>
      </c>
      <c r="C31" s="9"/>
      <c r="D31" s="6"/>
      <c r="E31" s="3"/>
      <c r="F31" s="7">
        <f t="shared" si="0"/>
        <v>0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0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0"/>
      <c r="B32" s="11" t="str">
        <f>CONCATENATE("     ","Services                                          ")</f>
        <v xml:space="preserve">     Services                                          </v>
      </c>
      <c r="C32" s="11"/>
      <c r="D32" s="2">
        <f>SUM(OSRRefD22_4x_0)</f>
        <v>0</v>
      </c>
      <c r="E32" s="2"/>
      <c r="F32" s="5">
        <f t="shared" si="0"/>
        <v>0</v>
      </c>
      <c r="G32" s="2"/>
      <c r="H32" s="2">
        <f>SUM(OSRRefH22_4x_0)</f>
        <v>0</v>
      </c>
      <c r="I32" s="2"/>
      <c r="J32" s="5">
        <f t="shared" si="1"/>
        <v>0</v>
      </c>
      <c r="K32" s="2"/>
      <c r="L32" s="2">
        <f t="shared" si="2"/>
        <v>0</v>
      </c>
      <c r="M32" s="2"/>
      <c r="N32" s="5">
        <f t="shared" si="3"/>
        <v>0</v>
      </c>
      <c r="O32" s="11"/>
      <c r="P32" s="2">
        <f>SUM(OSRRefP22_4x_0)</f>
        <v>0</v>
      </c>
      <c r="Q32" s="2"/>
      <c r="R32" s="5">
        <f t="shared" si="4"/>
        <v>0</v>
      </c>
      <c r="S32" s="2"/>
      <c r="T32" s="2">
        <f>SUM(OSRRefT22_4x_0)</f>
        <v>286.62</v>
      </c>
      <c r="U32" s="2"/>
      <c r="V32" s="5">
        <f t="shared" si="5"/>
        <v>0</v>
      </c>
      <c r="W32" s="2"/>
      <c r="X32" s="2">
        <f t="shared" si="6"/>
        <v>-286.62</v>
      </c>
      <c r="Y32" s="2"/>
      <c r="Z32" s="5">
        <f t="shared" si="7"/>
        <v>-1</v>
      </c>
    </row>
    <row r="33" spans="1:26" s="69" customFormat="1" ht="15" hidden="1" customHeight="1" outlineLevel="2" x14ac:dyDescent="0.3">
      <c r="A33" s="21"/>
      <c r="B33" s="9" t="str">
        <f>CONCATENATE("          ","6282"," - ","JANITORIAL/EXTERMINATOR EXPENS")</f>
        <v xml:space="preserve">          6282 - JANITORIAL/EXTERMINATOR EXPENS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286.62</v>
      </c>
      <c r="U33" s="3"/>
      <c r="V33" s="7">
        <f t="shared" si="5"/>
        <v>0</v>
      </c>
      <c r="W33" s="3"/>
      <c r="X33" s="6">
        <f t="shared" si="6"/>
        <v>-286.62</v>
      </c>
      <c r="Y33" s="3"/>
      <c r="Z33" s="7">
        <f t="shared" si="7"/>
        <v>-1</v>
      </c>
    </row>
    <row r="34" spans="1:26" s="68" customFormat="1" ht="15" customHeight="1" outlineLevel="1" collapsed="1" x14ac:dyDescent="0.3">
      <c r="A34" s="20"/>
      <c r="B34" s="11" t="str">
        <f>CONCATENATE("     ","Telephone/Data Lines                              ")</f>
        <v xml:space="preserve">     Telephone/Data Lines                              </v>
      </c>
      <c r="C34" s="11"/>
      <c r="D34" s="2">
        <f>SUM(OSRRefD22_5x_0)</f>
        <v>0</v>
      </c>
      <c r="E34" s="2"/>
      <c r="F34" s="5">
        <f t="shared" si="0"/>
        <v>0</v>
      </c>
      <c r="G34" s="2"/>
      <c r="H34" s="2">
        <f>SUM(OSRRefH22_5x_0)</f>
        <v>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SUM(OSRRefP22_5x_0)</f>
        <v>0</v>
      </c>
      <c r="Q34" s="2"/>
      <c r="R34" s="5">
        <f t="shared" si="4"/>
        <v>0</v>
      </c>
      <c r="S34" s="2"/>
      <c r="T34" s="2">
        <f>SUM(OSRRefT22_5x_0)</f>
        <v>49.7</v>
      </c>
      <c r="U34" s="2"/>
      <c r="V34" s="5">
        <f t="shared" si="5"/>
        <v>0</v>
      </c>
      <c r="W34" s="2"/>
      <c r="X34" s="2">
        <f t="shared" si="6"/>
        <v>-49.7</v>
      </c>
      <c r="Y34" s="2"/>
      <c r="Z34" s="5">
        <f t="shared" si="7"/>
        <v>-1</v>
      </c>
    </row>
    <row r="35" spans="1:26" s="69" customFormat="1" ht="15" hidden="1" customHeight="1" outlineLevel="2" x14ac:dyDescent="0.3">
      <c r="A35" s="21"/>
      <c r="B35" s="9" t="str">
        <f>CONCATENATE("          ","6309"," - ","TELEPHONE")</f>
        <v xml:space="preserve">          6309 - TELEPHONE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49.7</v>
      </c>
      <c r="U35" s="3"/>
      <c r="V35" s="7">
        <f t="shared" si="5"/>
        <v>0</v>
      </c>
      <c r="W35" s="3"/>
      <c r="X35" s="6">
        <f t="shared" si="6"/>
        <v>-49.7</v>
      </c>
      <c r="Y35" s="3"/>
      <c r="Z35" s="7">
        <f t="shared" si="7"/>
        <v>-1</v>
      </c>
    </row>
    <row r="36" spans="1:26" s="64" customFormat="1" ht="15" customHeight="1" x14ac:dyDescent="0.3">
      <c r="A36" s="37"/>
      <c r="B36" s="37"/>
      <c r="C36" s="37"/>
      <c r="D36" s="2"/>
      <c r="E36" s="2"/>
      <c r="F36" s="5"/>
      <c r="G36" s="2"/>
      <c r="H36" s="2"/>
      <c r="I36" s="2"/>
      <c r="J36" s="5"/>
      <c r="K36" s="2"/>
      <c r="L36" s="2"/>
      <c r="M36" s="2"/>
      <c r="N36" s="5"/>
      <c r="O36" s="37"/>
      <c r="P36" s="2"/>
      <c r="Q36" s="2"/>
      <c r="R36" s="5"/>
      <c r="S36" s="2"/>
      <c r="T36" s="2"/>
      <c r="U36" s="2"/>
      <c r="V36" s="5"/>
      <c r="W36" s="2"/>
      <c r="X36" s="2"/>
      <c r="Y36" s="2"/>
      <c r="Z36" s="5"/>
    </row>
    <row r="37" spans="1:26" s="62" customFormat="1" ht="15" customHeight="1" x14ac:dyDescent="0.3">
      <c r="A37" s="13"/>
      <c r="B37" s="27" t="s">
        <v>290</v>
      </c>
      <c r="C37" s="13"/>
      <c r="D37" s="8">
        <f>SUM(0)</f>
        <v>0</v>
      </c>
      <c r="E37" s="8"/>
      <c r="F37" s="14">
        <f>IF(D$12=0,0,D37/D$12)</f>
        <v>0</v>
      </c>
      <c r="G37" s="8"/>
      <c r="H37" s="8">
        <f>SUM(0)</f>
        <v>0</v>
      </c>
      <c r="I37" s="8"/>
      <c r="J37" s="14">
        <f>IF(H$12=0,0,H37/H$12)</f>
        <v>0</v>
      </c>
      <c r="K37" s="8"/>
      <c r="L37" s="8">
        <f>+D37-H37</f>
        <v>0</v>
      </c>
      <c r="M37" s="8"/>
      <c r="N37" s="14">
        <f>IF(H37=0,0,L37/H37)</f>
        <v>0</v>
      </c>
      <c r="O37" s="13"/>
      <c r="P37" s="8">
        <f>SUM(0)</f>
        <v>0</v>
      </c>
      <c r="Q37" s="8"/>
      <c r="R37" s="14">
        <f>IF(P$12=0,0,P37/P$12)</f>
        <v>0</v>
      </c>
      <c r="S37" s="8"/>
      <c r="T37" s="8">
        <f>SUM(0)</f>
        <v>0</v>
      </c>
      <c r="U37" s="8"/>
      <c r="V37" s="14">
        <f>IF(T$12=0,0,T37/T$12)</f>
        <v>0</v>
      </c>
      <c r="W37" s="8"/>
      <c r="X37" s="8">
        <f>+P37-T37</f>
        <v>0</v>
      </c>
      <c r="Y37" s="8"/>
      <c r="Z37" s="14">
        <f>IF(T37=0,0,X37/T37)</f>
        <v>0</v>
      </c>
    </row>
    <row r="38" spans="1:26" ht="15" customHeight="1" x14ac:dyDescent="0.3">
      <c r="A38" s="12"/>
      <c r="B38" s="13"/>
      <c r="C38" s="13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O38" s="13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2" customFormat="1" ht="15" customHeight="1" x14ac:dyDescent="0.3">
      <c r="A39" s="13"/>
      <c r="B39" s="28" t="s">
        <v>291</v>
      </c>
      <c r="C39" s="28"/>
      <c r="D39" s="22">
        <f>+D16-D18+D37</f>
        <v>-58.07</v>
      </c>
      <c r="E39" s="15"/>
      <c r="F39" s="24">
        <f>IF(D$12=0,0,D39/D$12)</f>
        <v>0</v>
      </c>
      <c r="G39" s="15"/>
      <c r="H39" s="22">
        <f>+H16-H18+H37</f>
        <v>-223.16</v>
      </c>
      <c r="I39" s="15"/>
      <c r="J39" s="24">
        <f>IF(H$12=0,0,H39/H$12)</f>
        <v>0</v>
      </c>
      <c r="K39" s="17"/>
      <c r="L39" s="22">
        <f>+D39-H39</f>
        <v>165.09</v>
      </c>
      <c r="M39" s="17"/>
      <c r="N39" s="24">
        <f>IF(H39=0,0,L39/H39)</f>
        <v>-0.73978311525362972</v>
      </c>
      <c r="O39" s="27"/>
      <c r="P39" s="22">
        <f>+P16-P18+P37</f>
        <v>-1061.21</v>
      </c>
      <c r="Q39" s="15"/>
      <c r="R39" s="24">
        <f>IF(P$12=0,0,P39/P$12)</f>
        <v>0</v>
      </c>
      <c r="S39" s="15"/>
      <c r="T39" s="22">
        <f>+T16-T18+T37</f>
        <v>-5526.57</v>
      </c>
      <c r="U39" s="15"/>
      <c r="V39" s="24">
        <f>IF(T$12=0,0,T39/T$12)</f>
        <v>0</v>
      </c>
      <c r="W39" s="17"/>
      <c r="X39" s="22">
        <f>+P39-T39</f>
        <v>4465.3599999999997</v>
      </c>
      <c r="Y39" s="17"/>
      <c r="Z39" s="24">
        <f>IF(T39=0,0,X39/T39)</f>
        <v>-0.80798035671311497</v>
      </c>
    </row>
    <row r="40" spans="1:26" ht="15" customHeight="1" x14ac:dyDescent="0.3">
      <c r="A40" s="12"/>
      <c r="B40" s="13"/>
      <c r="C40" s="12"/>
      <c r="D40" s="4"/>
      <c r="E40" s="4"/>
      <c r="F40" s="10"/>
      <c r="G40" s="4"/>
      <c r="H40" s="4"/>
      <c r="I40" s="4"/>
      <c r="J40" s="10"/>
      <c r="K40" s="4"/>
      <c r="L40" s="4"/>
      <c r="M40" s="4"/>
      <c r="N40" s="10"/>
      <c r="P40" s="4"/>
      <c r="Q40" s="4"/>
      <c r="R40" s="10"/>
      <c r="S40" s="4"/>
      <c r="T40" s="4"/>
      <c r="U40" s="4"/>
      <c r="V40" s="10"/>
      <c r="W40" s="4"/>
      <c r="X40" s="4"/>
      <c r="Y40" s="4"/>
      <c r="Z40" s="10"/>
    </row>
    <row r="41" spans="1:26" s="62" customFormat="1" ht="15" customHeight="1" x14ac:dyDescent="0.3">
      <c r="A41" s="48"/>
      <c r="B41" s="13" t="s">
        <v>292</v>
      </c>
      <c r="C41" s="13"/>
      <c r="D41" s="8"/>
      <c r="E41" s="8"/>
      <c r="F41" s="14">
        <f>IF(D$12=0,0,D41/D$12)</f>
        <v>0</v>
      </c>
      <c r="G41" s="8"/>
      <c r="H41" s="8"/>
      <c r="I41" s="8"/>
      <c r="J41" s="14">
        <f>IF(H$12=0,0,H41/H$12)</f>
        <v>0</v>
      </c>
      <c r="K41" s="8"/>
      <c r="L41" s="8">
        <f>+D41-H41</f>
        <v>0</v>
      </c>
      <c r="M41" s="8"/>
      <c r="N41" s="14">
        <f>IF(H41=0,0,L41/H41)</f>
        <v>0</v>
      </c>
      <c r="O41" s="13"/>
      <c r="P41" s="8"/>
      <c r="Q41" s="8"/>
      <c r="R41" s="14">
        <f>IF(P$12=0,0,P41/P$12)</f>
        <v>0</v>
      </c>
      <c r="S41" s="8"/>
      <c r="T41" s="8"/>
      <c r="U41" s="8"/>
      <c r="V41" s="14">
        <f>IF(T$12=0,0,T41/T$12)</f>
        <v>0</v>
      </c>
      <c r="W41" s="8"/>
      <c r="X41" s="8">
        <f>+P41-T41</f>
        <v>0</v>
      </c>
      <c r="Y41" s="8"/>
      <c r="Z41" s="14">
        <f>IF(T41=0,0,X41/T41)</f>
        <v>0</v>
      </c>
    </row>
    <row r="42" spans="1:26" ht="15" customHeight="1" x14ac:dyDescent="0.3">
      <c r="A42" s="12"/>
      <c r="B42" s="13"/>
      <c r="C42" s="13"/>
      <c r="D42" s="4"/>
      <c r="E42" s="4"/>
      <c r="F42" s="10"/>
      <c r="G42" s="4"/>
      <c r="H42" s="4"/>
      <c r="I42" s="4"/>
      <c r="J42" s="10"/>
      <c r="K42" s="4"/>
      <c r="L42" s="4"/>
      <c r="M42" s="4"/>
      <c r="N42" s="10"/>
      <c r="O42" s="13"/>
      <c r="P42" s="4"/>
      <c r="Q42" s="4"/>
      <c r="R42" s="10"/>
      <c r="S42" s="4"/>
      <c r="T42" s="4"/>
      <c r="U42" s="4"/>
      <c r="V42" s="10"/>
      <c r="W42" s="4"/>
      <c r="X42" s="4"/>
      <c r="Y42" s="4"/>
      <c r="Z42" s="10"/>
    </row>
    <row r="43" spans="1:26" s="62" customFormat="1" ht="15" customHeight="1" x14ac:dyDescent="0.3">
      <c r="A43" s="13"/>
      <c r="B43" s="28" t="s">
        <v>293</v>
      </c>
      <c r="C43" s="28"/>
      <c r="D43" s="29">
        <f>+D39-D41</f>
        <v>-58.07</v>
      </c>
      <c r="E43" s="15"/>
      <c r="F43" s="31">
        <f>IF(D$12=0,0,D43/D$12)</f>
        <v>0</v>
      </c>
      <c r="G43" s="15"/>
      <c r="H43" s="29">
        <f>+H39-H41</f>
        <v>-223.16</v>
      </c>
      <c r="I43" s="15"/>
      <c r="J43" s="31">
        <f>IF(H$12=0,0,H43/H$12)</f>
        <v>0</v>
      </c>
      <c r="K43" s="17"/>
      <c r="L43" s="29">
        <f>D43-H43</f>
        <v>165.09</v>
      </c>
      <c r="M43" s="17"/>
      <c r="N43" s="31">
        <f>IF(H43=0,0,L43/H43)</f>
        <v>-0.73978311525362972</v>
      </c>
      <c r="O43" s="27"/>
      <c r="P43" s="29">
        <f>+P39-P41</f>
        <v>-1061.21</v>
      </c>
      <c r="Q43" s="15"/>
      <c r="R43" s="31">
        <f>IF(P$12=0,0,P43/P$12)</f>
        <v>0</v>
      </c>
      <c r="S43" s="15"/>
      <c r="T43" s="29">
        <f>+T39-T41</f>
        <v>-5526.57</v>
      </c>
      <c r="U43" s="15"/>
      <c r="V43" s="31">
        <f>IF(T$12=0,0,T43/T$12)</f>
        <v>0</v>
      </c>
      <c r="W43" s="17"/>
      <c r="X43" s="29">
        <f>P43-T43</f>
        <v>4465.3599999999997</v>
      </c>
      <c r="Y43" s="17"/>
      <c r="Z43" s="31">
        <f>IF(T43=0,0,X43/T43)</f>
        <v>-0.80798035671311497</v>
      </c>
    </row>
    <row r="44" spans="1:26" ht="15" customHeight="1" x14ac:dyDescent="0.3">
      <c r="A44" s="12"/>
      <c r="B44" s="12"/>
      <c r="C44" s="12"/>
      <c r="D44" s="4"/>
      <c r="E44" s="4"/>
      <c r="F44" s="10"/>
      <c r="G44" s="4"/>
      <c r="H44" s="4"/>
      <c r="I44" s="4"/>
      <c r="J44" s="10"/>
      <c r="K44" s="4"/>
      <c r="L44" s="4"/>
      <c r="M44" s="4"/>
      <c r="N44" s="10"/>
      <c r="P44" s="4"/>
      <c r="Q44" s="4"/>
      <c r="R44" s="10"/>
      <c r="S44" s="4"/>
      <c r="T44" s="4"/>
      <c r="U44" s="4"/>
      <c r="V44" s="10"/>
      <c r="W44" s="4"/>
      <c r="X44" s="4"/>
      <c r="Y44" s="4"/>
      <c r="Z44" s="10"/>
    </row>
    <row r="45" spans="1:26" ht="15" customHeight="1" x14ac:dyDescent="0.3">
      <c r="A45" s="12"/>
      <c r="B45" s="12"/>
      <c r="C45" s="12"/>
      <c r="D45" s="4"/>
      <c r="E45" s="4"/>
      <c r="F45" s="10"/>
      <c r="G45" s="4"/>
      <c r="H45" s="4"/>
      <c r="I45" s="4"/>
      <c r="J45" s="10"/>
      <c r="K45" s="4"/>
      <c r="L45" s="4"/>
      <c r="M45" s="4"/>
      <c r="N45" s="10"/>
      <c r="P45" s="4"/>
      <c r="Q45" s="4"/>
      <c r="R45" s="10"/>
      <c r="S45" s="4"/>
      <c r="T45" s="4"/>
      <c r="U45" s="4"/>
      <c r="V45" s="10"/>
      <c r="W45" s="4"/>
      <c r="X45" s="4"/>
      <c r="Y45" s="4"/>
      <c r="Z45" s="10"/>
    </row>
    <row r="46" spans="1:26" s="62" customFormat="1" ht="15" customHeight="1" x14ac:dyDescent="0.3">
      <c r="A46" s="13"/>
      <c r="B46" s="28" t="s">
        <v>296</v>
      </c>
      <c r="C46" s="28"/>
      <c r="D46" s="30">
        <f>SUM(D43:D45)</f>
        <v>-58.07</v>
      </c>
      <c r="E46" s="15"/>
      <c r="F46" s="35">
        <f>IF(D$12=0,0,D46/D$12)</f>
        <v>0</v>
      </c>
      <c r="G46" s="15"/>
      <c r="H46" s="30">
        <f>SUM(H43:H45)</f>
        <v>-223.16</v>
      </c>
      <c r="I46" s="15"/>
      <c r="J46" s="35">
        <f>IF(H$12=0,0,H46/H$12)</f>
        <v>0</v>
      </c>
      <c r="K46" s="17"/>
      <c r="L46" s="30">
        <f>+D46-H46</f>
        <v>165.09</v>
      </c>
      <c r="M46" s="17"/>
      <c r="N46" s="35">
        <f>IF(H46=0,0,L46/H46)</f>
        <v>-0.73978311525362972</v>
      </c>
      <c r="O46" s="27"/>
      <c r="P46" s="30">
        <f>SUM(P43:P45)</f>
        <v>-1061.21</v>
      </c>
      <c r="Q46" s="15"/>
      <c r="R46" s="35">
        <f>IF(P$12=0,0,P46/P$12)</f>
        <v>0</v>
      </c>
      <c r="S46" s="15"/>
      <c r="T46" s="30">
        <f>SUM(T43:T45)</f>
        <v>-5526.57</v>
      </c>
      <c r="U46" s="15"/>
      <c r="V46" s="35">
        <f>IF(T$12=0,0,T46/T$12)</f>
        <v>0</v>
      </c>
      <c r="W46" s="17"/>
      <c r="X46" s="30">
        <f>+P46-T46</f>
        <v>4465.3599999999997</v>
      </c>
      <c r="Y46" s="17"/>
      <c r="Z46" s="35">
        <f>IF(T46=0,0,X46/T46)</f>
        <v>-0.80798035671311497</v>
      </c>
    </row>
    <row r="47" spans="1:26" ht="15" customHeight="1" x14ac:dyDescent="0.3">
      <c r="A47" s="12"/>
      <c r="C47" s="12"/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4">
        <v>44767.815885219905</v>
      </c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1:24" ht="15" customHeight="1" x14ac:dyDescent="0.3">
      <c r="A49" s="12"/>
      <c r="B49" s="53" t="s">
        <v>297</v>
      </c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  <row r="50" spans="1:24" ht="15" customHeight="1" x14ac:dyDescent="0.3">
      <c r="A50" s="12"/>
      <c r="B50" s="51"/>
      <c r="D50" s="19"/>
      <c r="E50" s="19"/>
      <c r="G50" s="19"/>
      <c r="H50" s="19"/>
      <c r="I50" s="19"/>
      <c r="J50" s="41"/>
      <c r="K50" s="19"/>
      <c r="L50" s="19"/>
      <c r="M50" s="19"/>
      <c r="P50" s="19"/>
      <c r="Q50" s="19"/>
      <c r="R50" s="41"/>
      <c r="S50" s="19"/>
      <c r="T50" s="19"/>
      <c r="U50" s="19"/>
      <c r="V50" s="41"/>
      <c r="W50" s="19"/>
      <c r="X50" s="19"/>
    </row>
    <row r="51" spans="1:24" ht="15" customHeight="1" x14ac:dyDescent="0.3">
      <c r="D51" s="19"/>
      <c r="E51" s="19"/>
      <c r="G51" s="19"/>
      <c r="H51" s="19"/>
      <c r="I51" s="19"/>
      <c r="J51" s="41"/>
      <c r="K51" s="19"/>
      <c r="L51" s="19"/>
      <c r="M51" s="19"/>
      <c r="P51" s="19"/>
      <c r="Q51" s="19"/>
      <c r="R51" s="41"/>
      <c r="S51" s="19"/>
      <c r="T51" s="19"/>
      <c r="U51" s="19"/>
      <c r="V51" s="41"/>
      <c r="W51" s="19"/>
      <c r="X5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526FC-4362-7E06-1536-EDC6F8F883DC}">
  <sheetPr>
    <tabColor rgb="FF92D050"/>
    <outlinePr summaryBelow="0" summaryRight="0"/>
  </sheetPr>
  <dimension ref="A2:Z4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","414"," - ","Starbucks UDP")</f>
        <v>Department 414 - Starbucks UDP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0</v>
      </c>
      <c r="Q12" s="8"/>
      <c r="R12" s="14"/>
      <c r="S12" s="8"/>
      <c r="T12" s="8">
        <f>SUM(OSRRefT13x_0)</f>
        <v>974.91</v>
      </c>
      <c r="U12" s="8"/>
      <c r="V12" s="14"/>
      <c r="W12" s="8"/>
      <c r="X12" s="8">
        <f>+P12-T12</f>
        <v>-974.91</v>
      </c>
      <c r="Y12" s="8"/>
      <c r="Z12" s="14">
        <f>IF(T12=0,0,X12/T12)</f>
        <v>-1</v>
      </c>
    </row>
    <row r="13" spans="1:26" s="69" customFormat="1" ht="15" hidden="1" customHeight="1" outlineLevel="1" x14ac:dyDescent="0.3">
      <c r="A13" s="47"/>
      <c r="B13" s="9" t="str">
        <f>CONCATENATE("          ","4058"," - ","TAXABLE SALES-FOOD")</f>
        <v xml:space="preserve">          4058 - TAXABLE SALES-FOOD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0</f>
        <v>0</v>
      </c>
      <c r="Q13" s="3"/>
      <c r="R13" s="26"/>
      <c r="S13" s="3"/>
      <c r="T13" s="3">
        <f>--974.91</f>
        <v>974.91</v>
      </c>
      <c r="U13" s="3"/>
      <c r="V13" s="26"/>
      <c r="W13" s="3"/>
      <c r="X13" s="3">
        <f>+P13-T13</f>
        <v>-974.91</v>
      </c>
      <c r="Y13" s="3"/>
      <c r="Z13" s="26">
        <f>IF(T13=0,0,X13/T13)</f>
        <v>-1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2" customFormat="1" ht="15" customHeight="1" collapsed="1" x14ac:dyDescent="0.3">
      <c r="A15" s="13"/>
      <c r="B15" s="27" t="s">
        <v>287</v>
      </c>
      <c r="C15" s="13"/>
      <c r="D15" s="8">
        <f>SUM(OSRRefD16x_0)</f>
        <v>0</v>
      </c>
      <c r="E15" s="8"/>
      <c r="F15" s="14">
        <f>IF(D$12=0,0,D15/D$12)</f>
        <v>0</v>
      </c>
      <c r="G15" s="8"/>
      <c r="H15" s="8">
        <f>SUM(OSRRefH16x_0)</f>
        <v>0</v>
      </c>
      <c r="I15" s="8"/>
      <c r="J15" s="14">
        <f>IF(H$12=0,0,H15/H$12)</f>
        <v>0</v>
      </c>
      <c r="K15" s="8"/>
      <c r="L15" s="8">
        <f>+D15-H15</f>
        <v>0</v>
      </c>
      <c r="M15" s="8"/>
      <c r="N15" s="14">
        <f>IF(H15=0,0,L15/H15)</f>
        <v>0</v>
      </c>
      <c r="O15" s="13"/>
      <c r="P15" s="8">
        <f>SUM(OSRRefP16x_0)</f>
        <v>0</v>
      </c>
      <c r="Q15" s="8"/>
      <c r="R15" s="14">
        <f>IF(P$12=0,0,P15/P$12)</f>
        <v>0</v>
      </c>
      <c r="S15" s="8"/>
      <c r="T15" s="8">
        <f>SUM(OSRRefT16x_0)</f>
        <v>-2369.56</v>
      </c>
      <c r="U15" s="8"/>
      <c r="V15" s="14">
        <f>IF(T$12=0,0,T15/T$12)</f>
        <v>-2.4305423064693152</v>
      </c>
      <c r="W15" s="8"/>
      <c r="X15" s="8">
        <f>+P15-T15</f>
        <v>2369.56</v>
      </c>
      <c r="Y15" s="8"/>
      <c r="Z15" s="14">
        <f>IF(T15=0,0,X15/T15)</f>
        <v>-1</v>
      </c>
    </row>
    <row r="16" spans="1:26" s="69" customFormat="1" ht="15" hidden="1" customHeight="1" outlineLevel="1" x14ac:dyDescent="0.3">
      <c r="A16" s="47"/>
      <c r="B16" s="9" t="str">
        <f>CONCATENATE("          ","5053"," - ","PURCHASES @ COST-FOOD")</f>
        <v xml:space="preserve">          5053 - PURCHASES @ COST-FOOD</v>
      </c>
      <c r="C16" s="9"/>
      <c r="D16" s="3"/>
      <c r="E16" s="3"/>
      <c r="F16" s="26">
        <f>IF(D$12=0,0,D16/D$12)</f>
        <v>0</v>
      </c>
      <c r="G16" s="3"/>
      <c r="H16" s="3"/>
      <c r="I16" s="3"/>
      <c r="J16" s="26">
        <f>IF(H$12=0,0,H16/H$12)</f>
        <v>0</v>
      </c>
      <c r="K16" s="3"/>
      <c r="L16" s="3">
        <f>+D16-H16</f>
        <v>0</v>
      </c>
      <c r="M16" s="3"/>
      <c r="N16" s="26">
        <f>IF(H16=0,0,L16/H16)</f>
        <v>0</v>
      </c>
      <c r="O16" s="9"/>
      <c r="P16" s="3"/>
      <c r="Q16" s="3"/>
      <c r="R16" s="26">
        <f>IF(P$12=0,0,P16/P$12)</f>
        <v>0</v>
      </c>
      <c r="S16" s="3"/>
      <c r="T16" s="3">
        <v>-2369.56</v>
      </c>
      <c r="U16" s="3"/>
      <c r="V16" s="26">
        <f>IF(T$12=0,0,T16/T$12)</f>
        <v>-2.4305423064693152</v>
      </c>
      <c r="W16" s="3"/>
      <c r="X16" s="3">
        <f>+P16-T16</f>
        <v>2369.56</v>
      </c>
      <c r="Y16" s="3"/>
      <c r="Z16" s="26">
        <f>IF(T16=0,0,X16/T16)</f>
        <v>-1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x14ac:dyDescent="0.3">
      <c r="A18" s="13"/>
      <c r="B18" s="28" t="s">
        <v>288</v>
      </c>
      <c r="C18" s="28"/>
      <c r="D18" s="22">
        <f>D12-D15</f>
        <v>0</v>
      </c>
      <c r="E18" s="15"/>
      <c r="F18" s="24">
        <f>IF(D$12=0,0,D18/D$12)</f>
        <v>0</v>
      </c>
      <c r="G18" s="15"/>
      <c r="H18" s="22">
        <f>H12-H15</f>
        <v>0</v>
      </c>
      <c r="I18" s="15"/>
      <c r="J18" s="24">
        <f>IF(H$12=0,0,H18/H$12)</f>
        <v>0</v>
      </c>
      <c r="K18" s="17"/>
      <c r="L18" s="22">
        <f>+D18-H18</f>
        <v>0</v>
      </c>
      <c r="M18" s="17"/>
      <c r="N18" s="24">
        <f>IF(H18=0,0,L18/H18)</f>
        <v>0</v>
      </c>
      <c r="O18" s="27"/>
      <c r="P18" s="22">
        <f>P12-P15</f>
        <v>0</v>
      </c>
      <c r="Q18" s="15"/>
      <c r="R18" s="24">
        <f>IF(P$12=0,0,P18/P$12)</f>
        <v>0</v>
      </c>
      <c r="S18" s="15"/>
      <c r="T18" s="22">
        <f>T12-T15</f>
        <v>3344.47</v>
      </c>
      <c r="U18" s="15"/>
      <c r="V18" s="24">
        <f>IF(T$12=0,0,T18/T$12)</f>
        <v>3.4305423064693152</v>
      </c>
      <c r="W18" s="17"/>
      <c r="X18" s="22">
        <f>+P18-T18</f>
        <v>-3344.47</v>
      </c>
      <c r="Y18" s="17"/>
      <c r="Z18" s="24">
        <f>IF(T18=0,0,X18/T18)</f>
        <v>-1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289</v>
      </c>
      <c r="C20" s="13"/>
      <c r="D20" s="23" cm="1">
        <f t="array" ref="D20">SUM(OSRRefD22x_0)</f>
        <v>0</v>
      </c>
      <c r="E20" s="23"/>
      <c r="F20" s="34">
        <f t="shared" ref="F20:F33" si="0">IF(D$12=0,0,D20/D$12)</f>
        <v>0</v>
      </c>
      <c r="G20" s="23"/>
      <c r="H20" s="23" cm="1">
        <f t="array" ref="H20">SUM(OSRRefH22x_0)</f>
        <v>-1036.0899999999999</v>
      </c>
      <c r="I20" s="23"/>
      <c r="J20" s="34">
        <f t="shared" ref="J20:J33" si="1">IF(H$12=0,0,H20/H$12)</f>
        <v>0</v>
      </c>
      <c r="K20" s="8"/>
      <c r="L20" s="23">
        <f t="shared" ref="L20:L33" si="2">+D20-H20</f>
        <v>1036.0899999999999</v>
      </c>
      <c r="M20" s="8"/>
      <c r="N20" s="34">
        <f t="shared" ref="N20:N33" si="3">IF(H20=0,0,L20/H20)</f>
        <v>-1</v>
      </c>
      <c r="O20" s="13"/>
      <c r="P20" s="23" cm="1">
        <f t="array" ref="P20">SUM(OSRRefP22x_0)</f>
        <v>372.9</v>
      </c>
      <c r="Q20" s="23"/>
      <c r="R20" s="34">
        <f t="shared" ref="R20:R33" si="4">IF(P$12=0,0,P20/P$12)</f>
        <v>0</v>
      </c>
      <c r="S20" s="23"/>
      <c r="T20" s="23" cm="1">
        <f t="array" ref="T20">SUM(OSRRefT22x_0)</f>
        <v>20706.489999999998</v>
      </c>
      <c r="U20" s="23"/>
      <c r="V20" s="34">
        <f t="shared" ref="V20:V33" si="5">IF(T$12=0,0,T20/T$12)</f>
        <v>21.23938619975177</v>
      </c>
      <c r="W20" s="8"/>
      <c r="X20" s="23">
        <f t="shared" ref="X20:X33" si="6">+P20-T20</f>
        <v>-20333.589999999997</v>
      </c>
      <c r="Y20" s="8"/>
      <c r="Z20" s="34">
        <f t="shared" ref="Z20:Z33" si="7">IF(T20=0,0,X20/T20)</f>
        <v>-0.98199115349825095</v>
      </c>
    </row>
    <row r="21" spans="1:26" s="68" customFormat="1" ht="15" customHeight="1" outlineLevel="1" collapsed="1" x14ac:dyDescent="0.3">
      <c r="A21" s="20"/>
      <c r="B21" s="11" t="str">
        <f>CONCATENATE("     ","*Benefits                                         ")</f>
        <v xml:space="preserve">     *Benefits                                         </v>
      </c>
      <c r="C21" s="11"/>
      <c r="D21" s="2">
        <f>SUM(OSRRefD22_0x_0)</f>
        <v>0</v>
      </c>
      <c r="E21" s="2"/>
      <c r="F21" s="5">
        <f t="shared" si="0"/>
        <v>0</v>
      </c>
      <c r="G21" s="2"/>
      <c r="H21" s="2">
        <f>SUM(OSRRefH22_0x_0)</f>
        <v>0</v>
      </c>
      <c r="I21" s="2"/>
      <c r="J21" s="5">
        <f t="shared" si="1"/>
        <v>0</v>
      </c>
      <c r="K21" s="2"/>
      <c r="L21" s="2">
        <f t="shared" si="2"/>
        <v>0</v>
      </c>
      <c r="M21" s="2"/>
      <c r="N21" s="5">
        <f t="shared" si="3"/>
        <v>0</v>
      </c>
      <c r="O21" s="11"/>
      <c r="P21" s="2">
        <f>SUM(OSRRefP22_0x_0)</f>
        <v>0</v>
      </c>
      <c r="Q21" s="2"/>
      <c r="R21" s="5">
        <f t="shared" si="4"/>
        <v>0</v>
      </c>
      <c r="S21" s="2"/>
      <c r="T21" s="2">
        <f>SUM(OSRRefT22_0x_0)</f>
        <v>702.51</v>
      </c>
      <c r="U21" s="2"/>
      <c r="V21" s="5">
        <f t="shared" si="5"/>
        <v>0.72058959288549718</v>
      </c>
      <c r="W21" s="2"/>
      <c r="X21" s="2">
        <f t="shared" si="6"/>
        <v>-702.51</v>
      </c>
      <c r="Y21" s="2"/>
      <c r="Z21" s="5">
        <f t="shared" si="7"/>
        <v>-1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702.51</v>
      </c>
      <c r="U22" s="3"/>
      <c r="V22" s="7">
        <f t="shared" si="5"/>
        <v>0.72058959288549718</v>
      </c>
      <c r="W22" s="3"/>
      <c r="X22" s="6">
        <f t="shared" si="6"/>
        <v>-702.51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0"/>
      <c r="B23" s="11" t="str">
        <f>CONCATENATE("     ","Advertising/Promo                                 ")</f>
        <v xml:space="preserve">     Advertising/Promo                                 </v>
      </c>
      <c r="C23" s="11"/>
      <c r="D23" s="2">
        <f>SUM(OSRRefD22_1x_0)</f>
        <v>0</v>
      </c>
      <c r="E23" s="2"/>
      <c r="F23" s="5">
        <f t="shared" si="0"/>
        <v>0</v>
      </c>
      <c r="G23" s="2"/>
      <c r="H23" s="2">
        <f>SUM(OSRRefH22_1x_0)</f>
        <v>0</v>
      </c>
      <c r="I23" s="2"/>
      <c r="J23" s="5">
        <f t="shared" si="1"/>
        <v>0</v>
      </c>
      <c r="K23" s="2"/>
      <c r="L23" s="2">
        <f t="shared" si="2"/>
        <v>0</v>
      </c>
      <c r="M23" s="2"/>
      <c r="N23" s="5">
        <f t="shared" si="3"/>
        <v>0</v>
      </c>
      <c r="O23" s="11"/>
      <c r="P23" s="2">
        <f>SUM(OSRRefP22_1x_0)</f>
        <v>0</v>
      </c>
      <c r="Q23" s="2"/>
      <c r="R23" s="5">
        <f t="shared" si="4"/>
        <v>0</v>
      </c>
      <c r="S23" s="2"/>
      <c r="T23" s="2">
        <f>SUM(OSRRefT22_1x_0)</f>
        <v>83.83</v>
      </c>
      <c r="U23" s="2"/>
      <c r="V23" s="5">
        <f t="shared" si="5"/>
        <v>8.5987424480208435E-2</v>
      </c>
      <c r="W23" s="2"/>
      <c r="X23" s="2">
        <f t="shared" si="6"/>
        <v>-83.83</v>
      </c>
      <c r="Y23" s="2"/>
      <c r="Z23" s="5">
        <f t="shared" si="7"/>
        <v>-1</v>
      </c>
    </row>
    <row r="24" spans="1:26" s="69" customFormat="1" ht="15" hidden="1" customHeight="1" outlineLevel="2" x14ac:dyDescent="0.3">
      <c r="A24" s="21"/>
      <c r="B24" s="9" t="str">
        <f>CONCATENATE("          ","6362"," - ","ADVERTISING EXPENSE")</f>
        <v xml:space="preserve">          6362 - ADVERTISING EXPENSE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83.83</v>
      </c>
      <c r="U24" s="3"/>
      <c r="V24" s="7">
        <f t="shared" si="5"/>
        <v>8.5987424480208435E-2</v>
      </c>
      <c r="W24" s="3"/>
      <c r="X24" s="6">
        <f t="shared" si="6"/>
        <v>-83.83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0"/>
      <c r="B25" s="11" t="str">
        <f>CONCATENATE("     ","Depreciation                                      ")</f>
        <v xml:space="preserve">     Depreciation                                      </v>
      </c>
      <c r="C25" s="11"/>
      <c r="D25" s="2">
        <f>SUM(OSRRefD22_2x_0)</f>
        <v>0</v>
      </c>
      <c r="E25" s="2"/>
      <c r="F25" s="5">
        <f t="shared" si="0"/>
        <v>0</v>
      </c>
      <c r="G25" s="2"/>
      <c r="H25" s="2">
        <f>SUM(OSRRefH22_2x_0)</f>
        <v>-1165.26</v>
      </c>
      <c r="I25" s="2"/>
      <c r="J25" s="5">
        <f t="shared" si="1"/>
        <v>0</v>
      </c>
      <c r="K25" s="2"/>
      <c r="L25" s="2">
        <f t="shared" si="2"/>
        <v>1165.26</v>
      </c>
      <c r="M25" s="2"/>
      <c r="N25" s="5">
        <f t="shared" si="3"/>
        <v>-1</v>
      </c>
      <c r="O25" s="11"/>
      <c r="P25" s="2">
        <f>SUM(OSRRefP22_2x_0)</f>
        <v>0</v>
      </c>
      <c r="Q25" s="2"/>
      <c r="R25" s="5">
        <f t="shared" si="4"/>
        <v>0</v>
      </c>
      <c r="S25" s="2"/>
      <c r="T25" s="2">
        <f>SUM(OSRRefT22_2x_0)</f>
        <v>19059.36</v>
      </c>
      <c r="U25" s="2"/>
      <c r="V25" s="5">
        <f t="shared" si="5"/>
        <v>19.549866141489986</v>
      </c>
      <c r="W25" s="2"/>
      <c r="X25" s="2">
        <f t="shared" si="6"/>
        <v>-19059.36</v>
      </c>
      <c r="Y25" s="2"/>
      <c r="Z25" s="5">
        <f t="shared" si="7"/>
        <v>-1</v>
      </c>
    </row>
    <row r="26" spans="1:26" s="69" customFormat="1" ht="15" hidden="1" customHeight="1" outlineLevel="2" x14ac:dyDescent="0.3">
      <c r="A26" s="21"/>
      <c r="B26" s="9" t="str">
        <f>CONCATENATE("          ","6322"," - ","EQUIPMENT DEPRECIATION EXPENSE")</f>
        <v xml:space="preserve">          6322 - EQUIPMENT DEPRECIATION EXPENSE</v>
      </c>
      <c r="C26" s="9"/>
      <c r="D26" s="6"/>
      <c r="E26" s="3"/>
      <c r="F26" s="7">
        <f t="shared" si="0"/>
        <v>0</v>
      </c>
      <c r="G26" s="3"/>
      <c r="H26" s="6">
        <v>-1165.26</v>
      </c>
      <c r="I26" s="3"/>
      <c r="J26" s="7">
        <f t="shared" si="1"/>
        <v>0</v>
      </c>
      <c r="K26" s="3"/>
      <c r="L26" s="6">
        <f t="shared" si="2"/>
        <v>1165.26</v>
      </c>
      <c r="M26" s="3"/>
      <c r="N26" s="7">
        <f t="shared" si="3"/>
        <v>-1</v>
      </c>
      <c r="O26" s="9"/>
      <c r="P26" s="6"/>
      <c r="Q26" s="3"/>
      <c r="R26" s="7">
        <f t="shared" si="4"/>
        <v>0</v>
      </c>
      <c r="S26" s="3"/>
      <c r="T26" s="6">
        <v>19059.36</v>
      </c>
      <c r="U26" s="3"/>
      <c r="V26" s="7">
        <f t="shared" si="5"/>
        <v>19.549866141489986</v>
      </c>
      <c r="W26" s="3"/>
      <c r="X26" s="6">
        <f t="shared" si="6"/>
        <v>-19059.36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0"/>
      <c r="B27" s="11" t="str">
        <f>CONCATENATE("     ","Equipment Rental                                  ")</f>
        <v xml:space="preserve">     Equipment Rental                                  </v>
      </c>
      <c r="C27" s="11"/>
      <c r="D27" s="2">
        <f>SUM(OSRRefD22_3x_0)</f>
        <v>0</v>
      </c>
      <c r="E27" s="2"/>
      <c r="F27" s="5">
        <f t="shared" si="0"/>
        <v>0</v>
      </c>
      <c r="G27" s="2"/>
      <c r="H27" s="2">
        <f>SUM(OSRRefH22_3x_0)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SUM(OSRRefP22_3x_0)</f>
        <v>118.91</v>
      </c>
      <c r="Q27" s="2"/>
      <c r="R27" s="5">
        <f t="shared" si="4"/>
        <v>0</v>
      </c>
      <c r="S27" s="2"/>
      <c r="T27" s="2">
        <f>SUM(OSRRefT22_3x_0)</f>
        <v>96.3</v>
      </c>
      <c r="U27" s="2"/>
      <c r="V27" s="5">
        <f t="shared" si="5"/>
        <v>9.8778348770655749E-2</v>
      </c>
      <c r="W27" s="2"/>
      <c r="X27" s="2">
        <f t="shared" si="6"/>
        <v>22.61</v>
      </c>
      <c r="Y27" s="2"/>
      <c r="Z27" s="5">
        <f t="shared" si="7"/>
        <v>0.2347871235721703</v>
      </c>
    </row>
    <row r="28" spans="1:26" s="69" customFormat="1" ht="15" hidden="1" customHeight="1" outlineLevel="2" x14ac:dyDescent="0.3">
      <c r="A28" s="21"/>
      <c r="B28" s="9" t="str">
        <f>CONCATENATE("          ","6351"," - ","EQUIPMENT RENTAL")</f>
        <v xml:space="preserve">          6351 - EQUIPMENT RENTAL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>
        <v>118.91</v>
      </c>
      <c r="Q28" s="3"/>
      <c r="R28" s="7">
        <f t="shared" si="4"/>
        <v>0</v>
      </c>
      <c r="S28" s="3"/>
      <c r="T28" s="6">
        <v>96.3</v>
      </c>
      <c r="U28" s="3"/>
      <c r="V28" s="7">
        <f t="shared" si="5"/>
        <v>9.8778348770655749E-2</v>
      </c>
      <c r="W28" s="3"/>
      <c r="X28" s="6">
        <f t="shared" si="6"/>
        <v>22.61</v>
      </c>
      <c r="Y28" s="3"/>
      <c r="Z28" s="7">
        <f t="shared" si="7"/>
        <v>0.2347871235721703</v>
      </c>
    </row>
    <row r="29" spans="1:26" s="68" customFormat="1" ht="15" customHeight="1" outlineLevel="1" collapsed="1" x14ac:dyDescent="0.3">
      <c r="A29" s="20"/>
      <c r="B29" s="11" t="str">
        <f>CONCATENATE("     ","General                                           ")</f>
        <v xml:space="preserve">     General                                           </v>
      </c>
      <c r="C29" s="11"/>
      <c r="D29" s="2">
        <f>SUM(OSRRefD22_4x_0)</f>
        <v>0</v>
      </c>
      <c r="E29" s="2"/>
      <c r="F29" s="5">
        <f t="shared" si="0"/>
        <v>0</v>
      </c>
      <c r="G29" s="2"/>
      <c r="H29" s="2">
        <f>SUM(OSRRefH22_4x_0)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SUM(OSRRefP22_4x_0)</f>
        <v>0</v>
      </c>
      <c r="Q29" s="2"/>
      <c r="R29" s="5">
        <f t="shared" si="4"/>
        <v>0</v>
      </c>
      <c r="S29" s="2"/>
      <c r="T29" s="2">
        <f>SUM(OSRRefT22_4x_0)</f>
        <v>7.28</v>
      </c>
      <c r="U29" s="2"/>
      <c r="V29" s="5">
        <f t="shared" si="5"/>
        <v>7.467355961063073E-3</v>
      </c>
      <c r="W29" s="2"/>
      <c r="X29" s="2">
        <f t="shared" si="6"/>
        <v>-7.28</v>
      </c>
      <c r="Y29" s="2"/>
      <c r="Z29" s="5">
        <f t="shared" si="7"/>
        <v>-1</v>
      </c>
    </row>
    <row r="30" spans="1:26" s="69" customFormat="1" ht="15" hidden="1" customHeight="1" outlineLevel="2" x14ac:dyDescent="0.3">
      <c r="A30" s="21"/>
      <c r="B30" s="9" t="str">
        <f>CONCATENATE("          ","6279"," - ","GENERAL EXPENSE")</f>
        <v xml:space="preserve">          6279 - GENERAL EXPENSE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7.28</v>
      </c>
      <c r="U30" s="3"/>
      <c r="V30" s="7">
        <f t="shared" si="5"/>
        <v>7.467355961063073E-3</v>
      </c>
      <c r="W30" s="3"/>
      <c r="X30" s="6">
        <f t="shared" si="6"/>
        <v>-7.28</v>
      </c>
      <c r="Y30" s="3"/>
      <c r="Z30" s="7">
        <f t="shared" si="7"/>
        <v>-1</v>
      </c>
    </row>
    <row r="31" spans="1:26" s="68" customFormat="1" ht="15" customHeight="1" outlineLevel="1" collapsed="1" x14ac:dyDescent="0.3">
      <c r="A31" s="20"/>
      <c r="B31" s="11" t="str">
        <f>CONCATENATE("     ","Repair and Maintenance                            ")</f>
        <v xml:space="preserve">     Repair and Maintenance                            </v>
      </c>
      <c r="C31" s="11"/>
      <c r="D31" s="2">
        <f>SUM(OSRRefD22_5x_0)</f>
        <v>0</v>
      </c>
      <c r="E31" s="2"/>
      <c r="F31" s="5">
        <f t="shared" si="0"/>
        <v>0</v>
      </c>
      <c r="G31" s="2"/>
      <c r="H31" s="2">
        <f>SUM(OSRRefH22_5x_0)</f>
        <v>129.16999999999999</v>
      </c>
      <c r="I31" s="2"/>
      <c r="J31" s="5">
        <f t="shared" si="1"/>
        <v>0</v>
      </c>
      <c r="K31" s="2"/>
      <c r="L31" s="2">
        <f t="shared" si="2"/>
        <v>-129.16999999999999</v>
      </c>
      <c r="M31" s="2"/>
      <c r="N31" s="5">
        <f t="shared" si="3"/>
        <v>-1</v>
      </c>
      <c r="O31" s="11"/>
      <c r="P31" s="2">
        <f>SUM(OSRRefP22_5x_0)</f>
        <v>253.99</v>
      </c>
      <c r="Q31" s="2"/>
      <c r="R31" s="5">
        <f t="shared" si="4"/>
        <v>0</v>
      </c>
      <c r="S31" s="2"/>
      <c r="T31" s="2">
        <f>SUM(OSRRefT22_5x_0)</f>
        <v>757.21</v>
      </c>
      <c r="U31" s="2"/>
      <c r="V31" s="5">
        <f t="shared" si="5"/>
        <v>0.77669733616436398</v>
      </c>
      <c r="W31" s="2"/>
      <c r="X31" s="2">
        <f t="shared" si="6"/>
        <v>-503.22</v>
      </c>
      <c r="Y31" s="2"/>
      <c r="Z31" s="5">
        <f t="shared" si="7"/>
        <v>-0.66457125500191494</v>
      </c>
    </row>
    <row r="32" spans="1:26" s="69" customFormat="1" ht="15" hidden="1" customHeight="1" outlineLevel="2" x14ac:dyDescent="0.3">
      <c r="A32" s="21"/>
      <c r="B32" s="9" t="str">
        <f>CONCATENATE("          ","6373"," - ","MAINTENANCE CONTRACTS")</f>
        <v xml:space="preserve">          6373 - MAINTENANCE CONTRACTS</v>
      </c>
      <c r="C32" s="9"/>
      <c r="D32" s="6"/>
      <c r="E32" s="3"/>
      <c r="F32" s="7">
        <f t="shared" si="0"/>
        <v>0</v>
      </c>
      <c r="G32" s="3"/>
      <c r="H32" s="6">
        <v>129.16999999999999</v>
      </c>
      <c r="I32" s="3"/>
      <c r="J32" s="7">
        <f t="shared" si="1"/>
        <v>0</v>
      </c>
      <c r="K32" s="3"/>
      <c r="L32" s="6">
        <f t="shared" si="2"/>
        <v>-129.16999999999999</v>
      </c>
      <c r="M32" s="3"/>
      <c r="N32" s="7">
        <f t="shared" si="3"/>
        <v>-1</v>
      </c>
      <c r="O32" s="9"/>
      <c r="P32" s="6">
        <v>253.99</v>
      </c>
      <c r="Q32" s="3"/>
      <c r="R32" s="7">
        <f t="shared" si="4"/>
        <v>0</v>
      </c>
      <c r="S32" s="3"/>
      <c r="T32" s="6">
        <v>557.21</v>
      </c>
      <c r="U32" s="3"/>
      <c r="V32" s="7">
        <f t="shared" si="5"/>
        <v>0.5715501943769169</v>
      </c>
      <c r="W32" s="3"/>
      <c r="X32" s="6">
        <f t="shared" si="6"/>
        <v>-303.22000000000003</v>
      </c>
      <c r="Y32" s="3"/>
      <c r="Z32" s="7">
        <f t="shared" si="7"/>
        <v>-0.54417544552323183</v>
      </c>
    </row>
    <row r="33" spans="1:26" s="69" customFormat="1" ht="15" hidden="1" customHeight="1" outlineLevel="2" x14ac:dyDescent="0.3">
      <c r="A33" s="21"/>
      <c r="B33" s="9" t="str">
        <f>CONCATENATE("          ","6375"," - ","OUTSIDE REPAIRS &amp; MAINTENANCE")</f>
        <v xml:space="preserve">          6375 - OUTSIDE REPAIRS &amp; MAINTENANCE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200</v>
      </c>
      <c r="U33" s="3"/>
      <c r="V33" s="7">
        <f t="shared" si="5"/>
        <v>0.20514714178744706</v>
      </c>
      <c r="W33" s="3"/>
      <c r="X33" s="6">
        <f t="shared" si="6"/>
        <v>-200</v>
      </c>
      <c r="Y33" s="3"/>
      <c r="Z33" s="7">
        <f t="shared" si="7"/>
        <v>-1</v>
      </c>
    </row>
    <row r="34" spans="1:26" s="64" customFormat="1" ht="15" customHeight="1" x14ac:dyDescent="0.3">
      <c r="A34" s="37"/>
      <c r="B34" s="37"/>
      <c r="C34" s="37"/>
      <c r="D34" s="2"/>
      <c r="E34" s="2"/>
      <c r="F34" s="5"/>
      <c r="G34" s="2"/>
      <c r="H34" s="2"/>
      <c r="I34" s="2"/>
      <c r="J34" s="5"/>
      <c r="K34" s="2"/>
      <c r="L34" s="2"/>
      <c r="M34" s="2"/>
      <c r="N34" s="5"/>
      <c r="O34" s="37"/>
      <c r="P34" s="2"/>
      <c r="Q34" s="2"/>
      <c r="R34" s="5"/>
      <c r="S34" s="2"/>
      <c r="T34" s="2"/>
      <c r="U34" s="2"/>
      <c r="V34" s="5"/>
      <c r="W34" s="2"/>
      <c r="X34" s="2"/>
      <c r="Y34" s="2"/>
      <c r="Z34" s="5"/>
    </row>
    <row r="35" spans="1:26" s="62" customFormat="1" ht="15" customHeight="1" x14ac:dyDescent="0.3">
      <c r="A35" s="13"/>
      <c r="B35" s="27" t="s">
        <v>290</v>
      </c>
      <c r="C35" s="13"/>
      <c r="D35" s="8">
        <f>SUM(0)</f>
        <v>0</v>
      </c>
      <c r="E35" s="8"/>
      <c r="F35" s="14">
        <f>IF(D$12=0,0,D35/D$12)</f>
        <v>0</v>
      </c>
      <c r="G35" s="8"/>
      <c r="H35" s="8">
        <f>SUM(0)</f>
        <v>0</v>
      </c>
      <c r="I35" s="8"/>
      <c r="J35" s="14">
        <f>IF(H$12=0,0,H35/H$12)</f>
        <v>0</v>
      </c>
      <c r="K35" s="8"/>
      <c r="L35" s="8">
        <f>+D35-H35</f>
        <v>0</v>
      </c>
      <c r="M35" s="8"/>
      <c r="N35" s="14">
        <f>IF(H35=0,0,L35/H35)</f>
        <v>0</v>
      </c>
      <c r="O35" s="13"/>
      <c r="P35" s="8">
        <f>SUM(0)</f>
        <v>0</v>
      </c>
      <c r="Q35" s="8"/>
      <c r="R35" s="14">
        <f>IF(P$12=0,0,P35/P$12)</f>
        <v>0</v>
      </c>
      <c r="S35" s="8"/>
      <c r="T35" s="8">
        <f>SUM(0)</f>
        <v>0</v>
      </c>
      <c r="U35" s="8"/>
      <c r="V35" s="14">
        <f>IF(T$12=0,0,T35/T$12)</f>
        <v>0</v>
      </c>
      <c r="W35" s="8"/>
      <c r="X35" s="8">
        <f>+P35-T35</f>
        <v>0</v>
      </c>
      <c r="Y35" s="8"/>
      <c r="Z35" s="14">
        <f>IF(T35=0,0,X35/T35)</f>
        <v>0</v>
      </c>
    </row>
    <row r="36" spans="1:26" ht="15" customHeight="1" x14ac:dyDescent="0.3">
      <c r="A36" s="12"/>
      <c r="B36" s="13"/>
      <c r="C36" s="13"/>
      <c r="D36" s="4"/>
      <c r="E36" s="4"/>
      <c r="F36" s="10"/>
      <c r="G36" s="4"/>
      <c r="H36" s="4"/>
      <c r="I36" s="4"/>
      <c r="J36" s="10"/>
      <c r="K36" s="4"/>
      <c r="L36" s="4"/>
      <c r="M36" s="4"/>
      <c r="N36" s="10"/>
      <c r="O36" s="13"/>
      <c r="P36" s="4"/>
      <c r="Q36" s="4"/>
      <c r="R36" s="10"/>
      <c r="S36" s="4"/>
      <c r="T36" s="4"/>
      <c r="U36" s="4"/>
      <c r="V36" s="10"/>
      <c r="W36" s="4"/>
      <c r="X36" s="4"/>
      <c r="Y36" s="4"/>
      <c r="Z36" s="10"/>
    </row>
    <row r="37" spans="1:26" s="62" customFormat="1" ht="15" customHeight="1" x14ac:dyDescent="0.3">
      <c r="A37" s="13"/>
      <c r="B37" s="28" t="s">
        <v>291</v>
      </c>
      <c r="C37" s="28"/>
      <c r="D37" s="22">
        <f>+D18-D20+D35</f>
        <v>0</v>
      </c>
      <c r="E37" s="15"/>
      <c r="F37" s="24">
        <f>IF(D$12=0,0,D37/D$12)</f>
        <v>0</v>
      </c>
      <c r="G37" s="15"/>
      <c r="H37" s="22">
        <f>+H18-H20+H35</f>
        <v>1036.0899999999999</v>
      </c>
      <c r="I37" s="15"/>
      <c r="J37" s="24">
        <f>IF(H$12=0,0,H37/H$12)</f>
        <v>0</v>
      </c>
      <c r="K37" s="17"/>
      <c r="L37" s="22">
        <f>+D37-H37</f>
        <v>-1036.0899999999999</v>
      </c>
      <c r="M37" s="17"/>
      <c r="N37" s="24">
        <f>IF(H37=0,0,L37/H37)</f>
        <v>-1</v>
      </c>
      <c r="O37" s="27"/>
      <c r="P37" s="22">
        <f>+P18-P20+P35</f>
        <v>-372.9</v>
      </c>
      <c r="Q37" s="15"/>
      <c r="R37" s="24">
        <f>IF(P$12=0,0,P37/P$12)</f>
        <v>0</v>
      </c>
      <c r="S37" s="15"/>
      <c r="T37" s="22">
        <f>+T18-T20+T35</f>
        <v>-17362.019999999997</v>
      </c>
      <c r="U37" s="15"/>
      <c r="V37" s="24">
        <f>IF(T$12=0,0,T37/T$12)</f>
        <v>-17.808843893282454</v>
      </c>
      <c r="W37" s="17"/>
      <c r="X37" s="22">
        <f>+P37-T37</f>
        <v>16989.119999999995</v>
      </c>
      <c r="Y37" s="17"/>
      <c r="Z37" s="24">
        <f>IF(T37=0,0,X37/T37)</f>
        <v>-0.97852208441183675</v>
      </c>
    </row>
    <row r="38" spans="1:26" ht="15" customHeight="1" x14ac:dyDescent="0.3">
      <c r="A38" s="12"/>
      <c r="B38" s="13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2" customFormat="1" ht="15" customHeight="1" x14ac:dyDescent="0.3">
      <c r="A39" s="48"/>
      <c r="B39" s="13" t="s">
        <v>292</v>
      </c>
      <c r="C39" s="13"/>
      <c r="D39" s="8"/>
      <c r="E39" s="8"/>
      <c r="F39" s="14">
        <f>IF(D$12=0,0,D39/D$12)</f>
        <v>0</v>
      </c>
      <c r="G39" s="8"/>
      <c r="H39" s="8">
        <v>61.52</v>
      </c>
      <c r="I39" s="8"/>
      <c r="J39" s="14">
        <f>IF(H$12=0,0,H39/H$12)</f>
        <v>0</v>
      </c>
      <c r="K39" s="8"/>
      <c r="L39" s="8">
        <f>+D39-H39</f>
        <v>-61.52</v>
      </c>
      <c r="M39" s="8"/>
      <c r="N39" s="14">
        <f>IF(H39=0,0,L39/H39)</f>
        <v>-1</v>
      </c>
      <c r="O39" s="13"/>
      <c r="P39" s="8"/>
      <c r="Q39" s="8"/>
      <c r="R39" s="14">
        <f>IF(P$12=0,0,P39/P$12)</f>
        <v>0</v>
      </c>
      <c r="S39" s="8"/>
      <c r="T39" s="8">
        <v>269.85000000000002</v>
      </c>
      <c r="U39" s="8"/>
      <c r="V39" s="14">
        <f>IF(T$12=0,0,T39/T$12)</f>
        <v>0.27679478105671296</v>
      </c>
      <c r="W39" s="8"/>
      <c r="X39" s="8">
        <f>+P39-T39</f>
        <v>-269.85000000000002</v>
      </c>
      <c r="Y39" s="8"/>
      <c r="Z39" s="14">
        <f>IF(T39=0,0,X39/T39)</f>
        <v>-1</v>
      </c>
    </row>
    <row r="40" spans="1:26" ht="15" customHeight="1" x14ac:dyDescent="0.3">
      <c r="A40" s="12"/>
      <c r="B40" s="13"/>
      <c r="C40" s="13"/>
      <c r="D40" s="4"/>
      <c r="E40" s="4"/>
      <c r="F40" s="10"/>
      <c r="G40" s="4"/>
      <c r="H40" s="4"/>
      <c r="I40" s="4"/>
      <c r="J40" s="10"/>
      <c r="K40" s="4"/>
      <c r="L40" s="4"/>
      <c r="M40" s="4"/>
      <c r="N40" s="10"/>
      <c r="O40" s="13"/>
      <c r="P40" s="4"/>
      <c r="Q40" s="4"/>
      <c r="R40" s="10"/>
      <c r="S40" s="4"/>
      <c r="T40" s="4"/>
      <c r="U40" s="4"/>
      <c r="V40" s="10"/>
      <c r="W40" s="4"/>
      <c r="X40" s="4"/>
      <c r="Y40" s="4"/>
      <c r="Z40" s="10"/>
    </row>
    <row r="41" spans="1:26" s="62" customFormat="1" ht="15" customHeight="1" x14ac:dyDescent="0.3">
      <c r="A41" s="13"/>
      <c r="B41" s="28" t="s">
        <v>293</v>
      </c>
      <c r="C41" s="28"/>
      <c r="D41" s="29">
        <f>+D37-D39</f>
        <v>0</v>
      </c>
      <c r="E41" s="15"/>
      <c r="F41" s="31">
        <f>IF(D$12=0,0,D41/D$12)</f>
        <v>0</v>
      </c>
      <c r="G41" s="15"/>
      <c r="H41" s="29">
        <f>+H37-H39</f>
        <v>974.56999999999994</v>
      </c>
      <c r="I41" s="15"/>
      <c r="J41" s="31">
        <f>IF(H$12=0,0,H41/H$12)</f>
        <v>0</v>
      </c>
      <c r="K41" s="17"/>
      <c r="L41" s="29">
        <f>D41-H41</f>
        <v>-974.56999999999994</v>
      </c>
      <c r="M41" s="17"/>
      <c r="N41" s="31">
        <f>IF(H41=0,0,L41/H41)</f>
        <v>-1</v>
      </c>
      <c r="O41" s="27"/>
      <c r="P41" s="29">
        <f>+P37-P39</f>
        <v>-372.9</v>
      </c>
      <c r="Q41" s="15"/>
      <c r="R41" s="31">
        <f>IF(P$12=0,0,P41/P$12)</f>
        <v>0</v>
      </c>
      <c r="S41" s="15"/>
      <c r="T41" s="29">
        <f>+T37-T39</f>
        <v>-17631.869999999995</v>
      </c>
      <c r="U41" s="15"/>
      <c r="V41" s="31">
        <f>IF(T$12=0,0,T41/T$12)</f>
        <v>-18.085638674339165</v>
      </c>
      <c r="W41" s="17"/>
      <c r="X41" s="29">
        <f>P41-T41</f>
        <v>17258.969999999994</v>
      </c>
      <c r="Y41" s="17"/>
      <c r="Z41" s="31">
        <f>IF(T41=0,0,X41/T41)</f>
        <v>-0.97885079688087528</v>
      </c>
    </row>
    <row r="42" spans="1:26" ht="15" customHeight="1" x14ac:dyDescent="0.3">
      <c r="A42" s="12"/>
      <c r="B42" s="12"/>
      <c r="C42" s="12"/>
      <c r="D42" s="4"/>
      <c r="E42" s="4"/>
      <c r="F42" s="10"/>
      <c r="G42" s="4"/>
      <c r="H42" s="4"/>
      <c r="I42" s="4"/>
      <c r="J42" s="10"/>
      <c r="K42" s="4"/>
      <c r="L42" s="4"/>
      <c r="M42" s="4"/>
      <c r="N42" s="10"/>
      <c r="P42" s="4"/>
      <c r="Q42" s="4"/>
      <c r="R42" s="10"/>
      <c r="S42" s="4"/>
      <c r="T42" s="4"/>
      <c r="U42" s="4"/>
      <c r="V42" s="10"/>
      <c r="W42" s="4"/>
      <c r="X42" s="4"/>
      <c r="Y42" s="4"/>
      <c r="Z42" s="10"/>
    </row>
    <row r="43" spans="1:26" ht="15" customHeight="1" x14ac:dyDescent="0.3">
      <c r="A43" s="12"/>
      <c r="B43" s="12"/>
      <c r="C43" s="12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s="62" customFormat="1" ht="15" customHeight="1" x14ac:dyDescent="0.3">
      <c r="A44" s="13"/>
      <c r="B44" s="28" t="s">
        <v>296</v>
      </c>
      <c r="C44" s="28"/>
      <c r="D44" s="30">
        <f>SUM(D41:D43)</f>
        <v>0</v>
      </c>
      <c r="E44" s="15"/>
      <c r="F44" s="35">
        <f>IF(D$12=0,0,D44/D$12)</f>
        <v>0</v>
      </c>
      <c r="G44" s="15"/>
      <c r="H44" s="30">
        <f>SUM(H41:H43)</f>
        <v>974.56999999999994</v>
      </c>
      <c r="I44" s="15"/>
      <c r="J44" s="35">
        <f>IF(H$12=0,0,H44/H$12)</f>
        <v>0</v>
      </c>
      <c r="K44" s="17"/>
      <c r="L44" s="30">
        <f>+D44-H44</f>
        <v>-974.56999999999994</v>
      </c>
      <c r="M44" s="17"/>
      <c r="N44" s="35">
        <f>IF(H44=0,0,L44/H44)</f>
        <v>-1</v>
      </c>
      <c r="O44" s="27"/>
      <c r="P44" s="30">
        <f>SUM(P41:P43)</f>
        <v>-372.9</v>
      </c>
      <c r="Q44" s="15"/>
      <c r="R44" s="35">
        <f>IF(P$12=0,0,P44/P$12)</f>
        <v>0</v>
      </c>
      <c r="S44" s="15"/>
      <c r="T44" s="30">
        <f>SUM(T41:T43)</f>
        <v>-17631.869999999995</v>
      </c>
      <c r="U44" s="15"/>
      <c r="V44" s="35">
        <f>IF(T$12=0,0,T44/T$12)</f>
        <v>-18.085638674339165</v>
      </c>
      <c r="W44" s="17"/>
      <c r="X44" s="30">
        <f>+P44-T44</f>
        <v>17258.969999999994</v>
      </c>
      <c r="Y44" s="17"/>
      <c r="Z44" s="35">
        <f>IF(T44=0,0,X44/T44)</f>
        <v>-0.97885079688087528</v>
      </c>
    </row>
    <row r="45" spans="1:26" ht="15" customHeight="1" x14ac:dyDescent="0.3">
      <c r="A45" s="12"/>
      <c r="C45" s="12"/>
      <c r="D45" s="19"/>
      <c r="E45" s="19"/>
      <c r="G45" s="19"/>
      <c r="H45" s="19"/>
      <c r="I45" s="19"/>
      <c r="J45" s="41"/>
      <c r="K45" s="19"/>
      <c r="L45" s="19"/>
      <c r="M45" s="19"/>
      <c r="P45" s="19"/>
      <c r="Q45" s="19"/>
      <c r="R45" s="41"/>
      <c r="S45" s="19"/>
      <c r="T45" s="19"/>
      <c r="U45" s="19"/>
      <c r="V45" s="41"/>
      <c r="W45" s="19"/>
      <c r="X45" s="19"/>
    </row>
    <row r="46" spans="1:26" ht="15" customHeight="1" x14ac:dyDescent="0.3">
      <c r="A46" s="12"/>
      <c r="B46" s="54">
        <v>44767.815885219905</v>
      </c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3" t="s">
        <v>297</v>
      </c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1"/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4:24" ht="15" customHeight="1" x14ac:dyDescent="0.3"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9FF6E-C699-98A1-9BF3-EA08B03B35F7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","415"," - ","Outpost")</f>
        <v>Department 415 - Outpost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32807.31</v>
      </c>
      <c r="E12" s="8"/>
      <c r="F12" s="14"/>
      <c r="G12" s="8"/>
      <c r="H12" s="8">
        <f>SUM(OSRRefH13x_0)</f>
        <v>17061.97</v>
      </c>
      <c r="I12" s="8"/>
      <c r="J12" s="14"/>
      <c r="K12" s="8"/>
      <c r="L12" s="8">
        <f>+D12-H12</f>
        <v>15745.339999999997</v>
      </c>
      <c r="M12" s="8"/>
      <c r="N12" s="14">
        <f>IF(H12=0,0,L12/H12)</f>
        <v>0.92283247479628649</v>
      </c>
      <c r="O12" s="13"/>
      <c r="P12" s="8">
        <f>SUM(OSRRefP13x_0)</f>
        <v>843972.23</v>
      </c>
      <c r="Q12" s="8"/>
      <c r="R12" s="14"/>
      <c r="S12" s="8"/>
      <c r="T12" s="8">
        <f>SUM(OSRRefT13x_0)</f>
        <v>94228.160000000003</v>
      </c>
      <c r="U12" s="8"/>
      <c r="V12" s="14"/>
      <c r="W12" s="8"/>
      <c r="X12" s="8">
        <f>+P12-T12</f>
        <v>749744.07</v>
      </c>
      <c r="Y12" s="8"/>
      <c r="Z12" s="14">
        <f>IF(T12=0,0,X12/T12)</f>
        <v>7.9566880006995779</v>
      </c>
    </row>
    <row r="13" spans="1:26" s="69" customFormat="1" ht="15" hidden="1" customHeight="1" outlineLevel="1" x14ac:dyDescent="0.3">
      <c r="A13" s="47"/>
      <c r="B13" s="9" t="str">
        <f>CONCATENATE("          ","4051"," - ","TAXABLE SALES-FOOD")</f>
        <v xml:space="preserve">          4051 - TAXABLE SALES-FOOD</v>
      </c>
      <c r="C13" s="9"/>
      <c r="D13" s="3">
        <f>--13755.32</f>
        <v>13755.32</v>
      </c>
      <c r="E13" s="3"/>
      <c r="F13" s="26"/>
      <c r="G13" s="3"/>
      <c r="H13" s="3">
        <f>--9799.52</f>
        <v>9799.52</v>
      </c>
      <c r="I13" s="3"/>
      <c r="J13" s="26"/>
      <c r="K13" s="3"/>
      <c r="L13" s="3">
        <f>+D13-H13</f>
        <v>3955.7999999999993</v>
      </c>
      <c r="M13" s="3"/>
      <c r="N13" s="26">
        <f>IF(H13=0,0,L13/H13)</f>
        <v>0.40367283295508344</v>
      </c>
      <c r="O13" s="9"/>
      <c r="P13" s="3">
        <f>--295364.67</f>
        <v>295364.67</v>
      </c>
      <c r="Q13" s="3"/>
      <c r="R13" s="26"/>
      <c r="S13" s="3"/>
      <c r="T13" s="3">
        <f>--49082.44</f>
        <v>49082.44</v>
      </c>
      <c r="U13" s="3"/>
      <c r="V13" s="26"/>
      <c r="W13" s="3"/>
      <c r="X13" s="3">
        <f>+P13-T13</f>
        <v>246282.22999999998</v>
      </c>
      <c r="Y13" s="3"/>
      <c r="Z13" s="26">
        <f>IF(T13=0,0,X13/T13)</f>
        <v>5.0177258913778529</v>
      </c>
    </row>
    <row r="14" spans="1:26" s="69" customFormat="1" ht="15" hidden="1" customHeight="1" outlineLevel="1" x14ac:dyDescent="0.3">
      <c r="A14" s="47"/>
      <c r="B14" s="9" t="str">
        <f>CONCATENATE("          ","4151"," - ","NON-TAXABLE SALES-FOOD")</f>
        <v xml:space="preserve">          4151 - NON-TAXABLE SALES-FOOD</v>
      </c>
      <c r="C14" s="9"/>
      <c r="D14" s="3">
        <f>--19051.99</f>
        <v>19051.990000000002</v>
      </c>
      <c r="E14" s="3"/>
      <c r="F14" s="26"/>
      <c r="G14" s="3"/>
      <c r="H14" s="3">
        <f>--7262.45</f>
        <v>7262.45</v>
      </c>
      <c r="I14" s="3"/>
      <c r="J14" s="26"/>
      <c r="K14" s="3"/>
      <c r="L14" s="3">
        <f>+D14-H14</f>
        <v>11789.54</v>
      </c>
      <c r="M14" s="3"/>
      <c r="N14" s="26">
        <f>IF(H14=0,0,L14/H14)</f>
        <v>1.6233557546007202</v>
      </c>
      <c r="O14" s="9"/>
      <c r="P14" s="3">
        <f>--548607.56</f>
        <v>548607.56000000006</v>
      </c>
      <c r="Q14" s="3"/>
      <c r="R14" s="26"/>
      <c r="S14" s="3"/>
      <c r="T14" s="3">
        <f>--45145.72</f>
        <v>45145.72</v>
      </c>
      <c r="U14" s="3"/>
      <c r="V14" s="26"/>
      <c r="W14" s="3"/>
      <c r="X14" s="3">
        <f>+P14-T14</f>
        <v>503461.84000000008</v>
      </c>
      <c r="Y14" s="3"/>
      <c r="Z14" s="26">
        <f>IF(T14=0,0,X14/T14)</f>
        <v>11.151928466308657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collapsed="1" x14ac:dyDescent="0.3">
      <c r="A16" s="13"/>
      <c r="B16" s="27" t="s">
        <v>287</v>
      </c>
      <c r="C16" s="13"/>
      <c r="D16" s="8">
        <f>SUM(OSRRefD16x_0)</f>
        <v>14950.36</v>
      </c>
      <c r="E16" s="8"/>
      <c r="F16" s="14">
        <f>IF(D$12=0,0,D16/D$12)</f>
        <v>0.45570209809947848</v>
      </c>
      <c r="G16" s="8"/>
      <c r="H16" s="8">
        <f>SUM(OSRRefH16x_0)</f>
        <v>5421.68</v>
      </c>
      <c r="I16" s="8"/>
      <c r="J16" s="14">
        <f>IF(H$12=0,0,H16/H$12)</f>
        <v>0.31776400966594126</v>
      </c>
      <c r="K16" s="8"/>
      <c r="L16" s="8">
        <f>+D16-H16</f>
        <v>9528.68</v>
      </c>
      <c r="M16" s="8"/>
      <c r="N16" s="14">
        <f>IF(H16=0,0,L16/H16)</f>
        <v>1.7575142760177658</v>
      </c>
      <c r="O16" s="13"/>
      <c r="P16" s="8">
        <f>SUM(OSRRefP16x_0)</f>
        <v>297101.52</v>
      </c>
      <c r="Q16" s="8"/>
      <c r="R16" s="14">
        <f>IF(P$12=0,0,P16/P$12)</f>
        <v>0.35202760166646718</v>
      </c>
      <c r="S16" s="8"/>
      <c r="T16" s="8">
        <f>SUM(OSRRefT16x_0)</f>
        <v>34819.31</v>
      </c>
      <c r="U16" s="8"/>
      <c r="V16" s="14">
        <f>IF(T$12=0,0,T16/T$12)</f>
        <v>0.36952127686670305</v>
      </c>
      <c r="W16" s="8"/>
      <c r="X16" s="8">
        <f>+P16-T16</f>
        <v>262282.21000000002</v>
      </c>
      <c r="Y16" s="8"/>
      <c r="Z16" s="14">
        <f>IF(T16=0,0,X16/T16)</f>
        <v>7.5326653514960533</v>
      </c>
    </row>
    <row r="17" spans="1:26" s="69" customFormat="1" ht="15" hidden="1" customHeight="1" outlineLevel="1" x14ac:dyDescent="0.3">
      <c r="A17" s="47"/>
      <c r="B17" s="9" t="str">
        <f>CONCATENATE("          ","5053"," - ","PURCHASES @ COST-FOOD")</f>
        <v xml:space="preserve">          5053 - PURCHASES @ COST-FOOD</v>
      </c>
      <c r="C17" s="9"/>
      <c r="D17" s="3">
        <v>12059.4</v>
      </c>
      <c r="E17" s="3"/>
      <c r="F17" s="26">
        <f>IF(D$12=0,0,D17/D$12)</f>
        <v>0.36758271251132751</v>
      </c>
      <c r="G17" s="3"/>
      <c r="H17" s="3">
        <v>5530.68</v>
      </c>
      <c r="I17" s="3"/>
      <c r="J17" s="26">
        <f>IF(H$12=0,0,H17/H$12)</f>
        <v>0.32415248649481859</v>
      </c>
      <c r="K17" s="3"/>
      <c r="L17" s="3">
        <f>+D17-H17</f>
        <v>6528.7199999999993</v>
      </c>
      <c r="M17" s="3"/>
      <c r="N17" s="26">
        <f>IF(H17=0,0,L17/H17)</f>
        <v>1.1804552062314215</v>
      </c>
      <c r="O17" s="9"/>
      <c r="P17" s="3">
        <v>292638.38</v>
      </c>
      <c r="Q17" s="3"/>
      <c r="R17" s="26">
        <f>IF(P$12=0,0,P17/P$12)</f>
        <v>0.34673934709913384</v>
      </c>
      <c r="S17" s="3"/>
      <c r="T17" s="3">
        <v>29292.3</v>
      </c>
      <c r="U17" s="3"/>
      <c r="V17" s="26">
        <f>IF(T$12=0,0,T17/T$12)</f>
        <v>0.31086566903142326</v>
      </c>
      <c r="W17" s="3"/>
      <c r="X17" s="3">
        <f>+P17-T17</f>
        <v>263346.08</v>
      </c>
      <c r="Y17" s="3"/>
      <c r="Z17" s="26">
        <f>IF(T17=0,0,X17/T17)</f>
        <v>8.9902834533307399</v>
      </c>
    </row>
    <row r="18" spans="1:26" s="69" customFormat="1" ht="15" hidden="1" customHeight="1" outlineLevel="1" x14ac:dyDescent="0.3">
      <c r="A18" s="47"/>
      <c r="B18" s="9" t="str">
        <f>CONCATENATE("          ","5059"," - ","PURCHASES @ COST-FOOD")</f>
        <v xml:space="preserve">          5059 - PURCHASES @ COST-FOOD</v>
      </c>
      <c r="C18" s="9"/>
      <c r="D18" s="3">
        <v>2890.96</v>
      </c>
      <c r="E18" s="3"/>
      <c r="F18" s="26">
        <f>IF(D$12=0,0,D18/D$12)</f>
        <v>8.8119385588150939E-2</v>
      </c>
      <c r="G18" s="3"/>
      <c r="H18" s="3">
        <v>-109</v>
      </c>
      <c r="I18" s="3"/>
      <c r="J18" s="26">
        <f>IF(H$12=0,0,H18/H$12)</f>
        <v>-6.3884768288773215E-3</v>
      </c>
      <c r="K18" s="3"/>
      <c r="L18" s="3">
        <f>+D18-H18</f>
        <v>2999.96</v>
      </c>
      <c r="M18" s="3"/>
      <c r="N18" s="26">
        <f>IF(H18=0,0,L18/H18)</f>
        <v>-27.52256880733945</v>
      </c>
      <c r="O18" s="9"/>
      <c r="P18" s="3">
        <v>4463.1400000000003</v>
      </c>
      <c r="Q18" s="3"/>
      <c r="R18" s="26">
        <f>IF(P$12=0,0,P18/P$12)</f>
        <v>5.2882545673333357E-3</v>
      </c>
      <c r="S18" s="3"/>
      <c r="T18" s="3">
        <v>5527.01</v>
      </c>
      <c r="U18" s="3"/>
      <c r="V18" s="26">
        <f>IF(T$12=0,0,T18/T$12)</f>
        <v>5.8655607835279816E-2</v>
      </c>
      <c r="W18" s="3"/>
      <c r="X18" s="3">
        <f>+P18-T18</f>
        <v>-1063.8699999999999</v>
      </c>
      <c r="Y18" s="3"/>
      <c r="Z18" s="26">
        <f>IF(T18=0,0,X18/T18)</f>
        <v>-0.19248562966233096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2" customFormat="1" ht="15" customHeight="1" x14ac:dyDescent="0.3">
      <c r="A20" s="13"/>
      <c r="B20" s="28" t="s">
        <v>288</v>
      </c>
      <c r="C20" s="28"/>
      <c r="D20" s="22">
        <f>D12-D16</f>
        <v>17856.949999999997</v>
      </c>
      <c r="E20" s="15"/>
      <c r="F20" s="24">
        <f>IF(D$12=0,0,D20/D$12)</f>
        <v>0.54429790190052152</v>
      </c>
      <c r="G20" s="15"/>
      <c r="H20" s="22">
        <f>H12-H16</f>
        <v>11640.29</v>
      </c>
      <c r="I20" s="15"/>
      <c r="J20" s="24">
        <f>IF(H$12=0,0,H20/H$12)</f>
        <v>0.68223599033405868</v>
      </c>
      <c r="K20" s="17"/>
      <c r="L20" s="22">
        <f>+D20-H20</f>
        <v>6216.6599999999962</v>
      </c>
      <c r="M20" s="17"/>
      <c r="N20" s="24">
        <f>IF(H20=0,0,L20/H20)</f>
        <v>0.53406401386906988</v>
      </c>
      <c r="O20" s="27"/>
      <c r="P20" s="22">
        <f>P12-P16</f>
        <v>546870.71</v>
      </c>
      <c r="Q20" s="15"/>
      <c r="R20" s="24">
        <f>IF(P$12=0,0,P20/P$12)</f>
        <v>0.64797239833353282</v>
      </c>
      <c r="S20" s="15"/>
      <c r="T20" s="22">
        <f>T12-T16</f>
        <v>59408.850000000006</v>
      </c>
      <c r="U20" s="15"/>
      <c r="V20" s="24">
        <f>IF(T$12=0,0,T20/T$12)</f>
        <v>0.63047872313329689</v>
      </c>
      <c r="W20" s="17"/>
      <c r="X20" s="22">
        <f>+P20-T20</f>
        <v>487461.86</v>
      </c>
      <c r="Y20" s="17"/>
      <c r="Z20" s="24">
        <f>IF(T20=0,0,X20/T20)</f>
        <v>8.205206126696611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7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2" customFormat="1" ht="15" customHeight="1" x14ac:dyDescent="0.3">
      <c r="A22" s="13"/>
      <c r="B22" s="27" t="s">
        <v>289</v>
      </c>
      <c r="C22" s="13"/>
      <c r="D22" s="23" cm="1">
        <f t="array" ref="D22">SUM(OSRRefD22x_0)</f>
        <v>59631.12</v>
      </c>
      <c r="E22" s="23"/>
      <c r="F22" s="34">
        <f t="shared" ref="F22:F53" si="0">IF(D$12=0,0,D22/D$12)</f>
        <v>1.817616866484939</v>
      </c>
      <c r="G22" s="23"/>
      <c r="H22" s="23" cm="1">
        <f t="array" ref="H22">SUM(OSRRefH22x_0)</f>
        <v>52241.710000000006</v>
      </c>
      <c r="I22" s="23"/>
      <c r="J22" s="34">
        <f t="shared" ref="J22:J53" si="1">IF(H$12=0,0,H22/H$12)</f>
        <v>3.0618803104213641</v>
      </c>
      <c r="K22" s="8"/>
      <c r="L22" s="23">
        <f t="shared" ref="L22:L53" si="2">+D22-H22</f>
        <v>7389.4099999999962</v>
      </c>
      <c r="M22" s="8"/>
      <c r="N22" s="34">
        <f t="shared" ref="N22:N53" si="3">IF(H22=0,0,L22/H22)</f>
        <v>0.1414465567838418</v>
      </c>
      <c r="O22" s="13"/>
      <c r="P22" s="23" cm="1">
        <f t="array" ref="P22">SUM(OSRRefP22x_0)</f>
        <v>935913.60999999987</v>
      </c>
      <c r="Q22" s="23"/>
      <c r="R22" s="34">
        <f t="shared" ref="R22:R53" si="4">IF(P$12=0,0,P22/P$12)</f>
        <v>1.1089388687587505</v>
      </c>
      <c r="S22" s="23"/>
      <c r="T22" s="23" cm="1">
        <f t="array" ref="T22">SUM(OSRRefT22x_0)</f>
        <v>721319.13999999966</v>
      </c>
      <c r="U22" s="23"/>
      <c r="V22" s="34">
        <f t="shared" ref="V22:V53" si="5">IF(T$12=0,0,T22/T$12)</f>
        <v>7.655027329409803</v>
      </c>
      <c r="W22" s="8"/>
      <c r="X22" s="23">
        <f t="shared" ref="X22:X53" si="6">+P22-T22</f>
        <v>214594.4700000002</v>
      </c>
      <c r="Y22" s="8"/>
      <c r="Z22" s="34">
        <f t="shared" ref="Z22:Z53" si="7">IF(T22=0,0,X22/T22)</f>
        <v>0.29750280853492989</v>
      </c>
    </row>
    <row r="23" spans="1:26" s="68" customFormat="1" ht="15" customHeight="1" outlineLevel="1" collapsed="1" x14ac:dyDescent="0.3">
      <c r="A23" s="20"/>
      <c r="B23" s="11" t="str">
        <f>CONCATENATE("     ","*Benefits                                         ")</f>
        <v xml:space="preserve">     *Benefits                                         </v>
      </c>
      <c r="C23" s="11"/>
      <c r="D23" s="2">
        <f>SUM(OSRRefD22_0x_0)</f>
        <v>1845.0799999999992</v>
      </c>
      <c r="E23" s="2"/>
      <c r="F23" s="5">
        <f t="shared" si="0"/>
        <v>5.6239905069937139E-2</v>
      </c>
      <c r="G23" s="2"/>
      <c r="H23" s="2">
        <f>SUM(OSRRefH22_0x_0)</f>
        <v>14117.14</v>
      </c>
      <c r="I23" s="2"/>
      <c r="J23" s="5">
        <f t="shared" si="1"/>
        <v>0.82740386954144207</v>
      </c>
      <c r="K23" s="2"/>
      <c r="L23" s="2">
        <f t="shared" si="2"/>
        <v>-12272.06</v>
      </c>
      <c r="M23" s="2"/>
      <c r="N23" s="5">
        <f t="shared" si="3"/>
        <v>-0.86930213910182941</v>
      </c>
      <c r="O23" s="11"/>
      <c r="P23" s="2">
        <f>SUM(OSRRefP22_0x_0)</f>
        <v>137968.12999999998</v>
      </c>
      <c r="Q23" s="2"/>
      <c r="R23" s="5">
        <f t="shared" si="4"/>
        <v>0.16347472712461164</v>
      </c>
      <c r="S23" s="2"/>
      <c r="T23" s="2">
        <f>SUM(OSRRefT22_0x_0)</f>
        <v>163160.98000000001</v>
      </c>
      <c r="U23" s="2"/>
      <c r="V23" s="5">
        <f t="shared" si="5"/>
        <v>1.7315522238787215</v>
      </c>
      <c r="W23" s="2"/>
      <c r="X23" s="2">
        <f t="shared" si="6"/>
        <v>-25192.850000000035</v>
      </c>
      <c r="Y23" s="2"/>
      <c r="Z23" s="5">
        <f t="shared" si="7"/>
        <v>-0.15440487057628627</v>
      </c>
    </row>
    <row r="24" spans="1:26" s="69" customFormat="1" ht="15" hidden="1" customHeight="1" outlineLevel="2" x14ac:dyDescent="0.3">
      <c r="A24" s="21"/>
      <c r="B24" s="9" t="str">
        <f>CONCATENATE("          ","6111"," - ","F.I.C.A.")</f>
        <v xml:space="preserve">          6111 - F.I.C.A.</v>
      </c>
      <c r="C24" s="9"/>
      <c r="D24" s="6">
        <v>1441.35</v>
      </c>
      <c r="E24" s="3"/>
      <c r="F24" s="7">
        <f t="shared" si="0"/>
        <v>4.3933806215748869E-2</v>
      </c>
      <c r="G24" s="3"/>
      <c r="H24" s="6">
        <v>1530.77</v>
      </c>
      <c r="I24" s="3"/>
      <c r="J24" s="7">
        <f t="shared" si="1"/>
        <v>8.9718244727894844E-2</v>
      </c>
      <c r="K24" s="3"/>
      <c r="L24" s="6">
        <f t="shared" si="2"/>
        <v>-89.420000000000073</v>
      </c>
      <c r="M24" s="3"/>
      <c r="N24" s="7">
        <f t="shared" si="3"/>
        <v>-5.8415046022589984E-2</v>
      </c>
      <c r="O24" s="9"/>
      <c r="P24" s="6">
        <v>22405.88</v>
      </c>
      <c r="Q24" s="3"/>
      <c r="R24" s="7">
        <f t="shared" si="4"/>
        <v>2.6548124693628845E-2</v>
      </c>
      <c r="S24" s="3"/>
      <c r="T24" s="6">
        <v>18875.099999999999</v>
      </c>
      <c r="U24" s="3"/>
      <c r="V24" s="7">
        <f t="shared" si="5"/>
        <v>0.20031273029209101</v>
      </c>
      <c r="W24" s="3"/>
      <c r="X24" s="6">
        <f t="shared" si="6"/>
        <v>3530.7800000000025</v>
      </c>
      <c r="Y24" s="3"/>
      <c r="Z24" s="7">
        <f t="shared" si="7"/>
        <v>0.18706020100555773</v>
      </c>
    </row>
    <row r="25" spans="1:26" s="69" customFormat="1" ht="15" hidden="1" customHeight="1" outlineLevel="2" x14ac:dyDescent="0.3">
      <c r="A25" s="21"/>
      <c r="B25" s="9" t="str">
        <f>CONCATENATE("          ","6112"," - ","COMPENSATION INSURANCE")</f>
        <v xml:space="preserve">          6112 - COMPENSATION INSURANCE</v>
      </c>
      <c r="C25" s="9"/>
      <c r="D25" s="6">
        <v>-5012.5600000000004</v>
      </c>
      <c r="E25" s="3"/>
      <c r="F25" s="7">
        <f t="shared" si="0"/>
        <v>-0.15278790001374695</v>
      </c>
      <c r="G25" s="3"/>
      <c r="H25" s="6">
        <v>608.28</v>
      </c>
      <c r="I25" s="3"/>
      <c r="J25" s="7">
        <f t="shared" si="1"/>
        <v>3.5651217297885292E-2</v>
      </c>
      <c r="K25" s="3"/>
      <c r="L25" s="6">
        <f t="shared" si="2"/>
        <v>-5620.84</v>
      </c>
      <c r="M25" s="3"/>
      <c r="N25" s="7">
        <f t="shared" si="3"/>
        <v>-9.2405471164595259</v>
      </c>
      <c r="O25" s="9"/>
      <c r="P25" s="6">
        <v>7593.94</v>
      </c>
      <c r="Q25" s="3"/>
      <c r="R25" s="7">
        <f t="shared" si="4"/>
        <v>8.9978552967317424E-3</v>
      </c>
      <c r="S25" s="3"/>
      <c r="T25" s="6">
        <v>7974.22</v>
      </c>
      <c r="U25" s="3"/>
      <c r="V25" s="7">
        <f t="shared" si="5"/>
        <v>8.4626718806777079E-2</v>
      </c>
      <c r="W25" s="3"/>
      <c r="X25" s="6">
        <f t="shared" si="6"/>
        <v>-380.28000000000065</v>
      </c>
      <c r="Y25" s="3"/>
      <c r="Z25" s="7">
        <f t="shared" si="7"/>
        <v>-4.7688676760861956E-2</v>
      </c>
    </row>
    <row r="26" spans="1:26" s="69" customFormat="1" ht="15" hidden="1" customHeight="1" outlineLevel="2" x14ac:dyDescent="0.3">
      <c r="A26" s="21"/>
      <c r="B26" s="9" t="str">
        <f>CONCATENATE("          ","6113"," - ","GROUP INSURANCE")</f>
        <v xml:space="preserve">          6113 - GROUP INSURANCE</v>
      </c>
      <c r="C26" s="9"/>
      <c r="D26" s="6">
        <v>4330.21</v>
      </c>
      <c r="E26" s="3"/>
      <c r="F26" s="7">
        <f t="shared" si="0"/>
        <v>0.13198918167932697</v>
      </c>
      <c r="G26" s="3"/>
      <c r="H26" s="6">
        <v>6634.06</v>
      </c>
      <c r="I26" s="3"/>
      <c r="J26" s="7">
        <f t="shared" si="1"/>
        <v>0.38882145496680631</v>
      </c>
      <c r="K26" s="3"/>
      <c r="L26" s="6">
        <f t="shared" si="2"/>
        <v>-2303.8500000000004</v>
      </c>
      <c r="M26" s="3"/>
      <c r="N26" s="7">
        <f t="shared" si="3"/>
        <v>-0.34727602704829325</v>
      </c>
      <c r="O26" s="9"/>
      <c r="P26" s="6">
        <v>68753.33</v>
      </c>
      <c r="Q26" s="3"/>
      <c r="R26" s="7">
        <f t="shared" si="4"/>
        <v>8.1463971865519791E-2</v>
      </c>
      <c r="S26" s="3"/>
      <c r="T26" s="6">
        <v>80735.75</v>
      </c>
      <c r="U26" s="3"/>
      <c r="V26" s="7">
        <f t="shared" si="5"/>
        <v>0.85681127594977968</v>
      </c>
      <c r="W26" s="3"/>
      <c r="X26" s="6">
        <f t="shared" si="6"/>
        <v>-11982.419999999998</v>
      </c>
      <c r="Y26" s="3"/>
      <c r="Z26" s="7">
        <f t="shared" si="7"/>
        <v>-0.14841529310125934</v>
      </c>
    </row>
    <row r="27" spans="1:26" s="69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>
        <v>51.8</v>
      </c>
      <c r="I27" s="3"/>
      <c r="J27" s="7">
        <f t="shared" si="1"/>
        <v>3.0359917406958276E-3</v>
      </c>
      <c r="K27" s="3"/>
      <c r="L27" s="6">
        <f t="shared" si="2"/>
        <v>-51.8</v>
      </c>
      <c r="M27" s="3"/>
      <c r="N27" s="7">
        <f t="shared" si="3"/>
        <v>-1</v>
      </c>
      <c r="O27" s="9"/>
      <c r="P27" s="6">
        <v>910.48</v>
      </c>
      <c r="Q27" s="3"/>
      <c r="R27" s="7">
        <f t="shared" si="4"/>
        <v>1.0788032682070593E-3</v>
      </c>
      <c r="S27" s="3"/>
      <c r="T27" s="6">
        <v>698.73</v>
      </c>
      <c r="U27" s="3"/>
      <c r="V27" s="7">
        <f t="shared" si="5"/>
        <v>7.4152992056726987E-3</v>
      </c>
      <c r="W27" s="3"/>
      <c r="X27" s="6">
        <f t="shared" si="6"/>
        <v>211.75</v>
      </c>
      <c r="Y27" s="3"/>
      <c r="Z27" s="7">
        <f t="shared" si="7"/>
        <v>0.30304981895725103</v>
      </c>
    </row>
    <row r="28" spans="1:26" s="69" customFormat="1" ht="15" hidden="1" customHeight="1" outlineLevel="2" x14ac:dyDescent="0.3">
      <c r="A28" s="21"/>
      <c r="B28" s="9" t="str">
        <f>CONCATENATE("          ","6115"," - ","P.E.R.S.")</f>
        <v xml:space="preserve">          6115 - P.E.R.S.</v>
      </c>
      <c r="C28" s="9"/>
      <c r="D28" s="6"/>
      <c r="E28" s="3"/>
      <c r="F28" s="7">
        <f t="shared" si="0"/>
        <v>0</v>
      </c>
      <c r="G28" s="3"/>
      <c r="H28" s="6">
        <v>2343.89</v>
      </c>
      <c r="I28" s="3"/>
      <c r="J28" s="7">
        <f t="shared" si="1"/>
        <v>0.13737510967373637</v>
      </c>
      <c r="K28" s="3"/>
      <c r="L28" s="6">
        <f t="shared" si="2"/>
        <v>-2343.89</v>
      </c>
      <c r="M28" s="3"/>
      <c r="N28" s="7">
        <f t="shared" si="3"/>
        <v>-1</v>
      </c>
      <c r="O28" s="9"/>
      <c r="P28" s="6">
        <v>7130.78</v>
      </c>
      <c r="Q28" s="3"/>
      <c r="R28" s="7">
        <f t="shared" si="4"/>
        <v>8.4490694676055862E-3</v>
      </c>
      <c r="S28" s="3"/>
      <c r="T28" s="6">
        <v>19834.61</v>
      </c>
      <c r="U28" s="3"/>
      <c r="V28" s="7">
        <f t="shared" si="5"/>
        <v>0.21049556735481198</v>
      </c>
      <c r="W28" s="3"/>
      <c r="X28" s="6">
        <f t="shared" si="6"/>
        <v>-12703.830000000002</v>
      </c>
      <c r="Y28" s="3"/>
      <c r="Z28" s="7">
        <f t="shared" si="7"/>
        <v>-0.64048801564537949</v>
      </c>
    </row>
    <row r="29" spans="1:26" s="69" customFormat="1" ht="15" hidden="1" customHeight="1" outlineLevel="2" x14ac:dyDescent="0.3">
      <c r="A29" s="21"/>
      <c r="B29" s="9" t="str">
        <f>CONCATENATE("          ","6117"," - ","RETIREMENT STAFF HOURLY")</f>
        <v xml:space="preserve">          6117 - RETIREMENT STAFF HOURLY</v>
      </c>
      <c r="C29" s="9"/>
      <c r="D29" s="6">
        <v>54.93</v>
      </c>
      <c r="E29" s="3"/>
      <c r="F29" s="7">
        <f t="shared" si="0"/>
        <v>1.6743219727554622E-3</v>
      </c>
      <c r="G29" s="3"/>
      <c r="H29" s="6"/>
      <c r="I29" s="3"/>
      <c r="J29" s="7">
        <f t="shared" si="1"/>
        <v>0</v>
      </c>
      <c r="K29" s="3"/>
      <c r="L29" s="6">
        <f t="shared" si="2"/>
        <v>54.93</v>
      </c>
      <c r="M29" s="3"/>
      <c r="N29" s="7">
        <f t="shared" si="3"/>
        <v>0</v>
      </c>
      <c r="O29" s="9"/>
      <c r="P29" s="6">
        <v>337.18</v>
      </c>
      <c r="Q29" s="3"/>
      <c r="R29" s="7">
        <f t="shared" si="4"/>
        <v>3.9951551486474857E-4</v>
      </c>
      <c r="S29" s="3"/>
      <c r="T29" s="6"/>
      <c r="U29" s="3"/>
      <c r="V29" s="7">
        <f t="shared" si="5"/>
        <v>0</v>
      </c>
      <c r="W29" s="3"/>
      <c r="X29" s="6">
        <f t="shared" si="6"/>
        <v>337.18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","6118"," - ","VACATION")</f>
        <v xml:space="preserve">          6118 - VACATION</v>
      </c>
      <c r="C30" s="9"/>
      <c r="D30" s="6">
        <v>279.52</v>
      </c>
      <c r="E30" s="3"/>
      <c r="F30" s="7">
        <f t="shared" si="0"/>
        <v>8.5200523907629118E-3</v>
      </c>
      <c r="G30" s="3"/>
      <c r="H30" s="6">
        <v>1440.4</v>
      </c>
      <c r="I30" s="3"/>
      <c r="J30" s="7">
        <f t="shared" si="1"/>
        <v>8.4421669947843073E-2</v>
      </c>
      <c r="K30" s="3"/>
      <c r="L30" s="6">
        <f t="shared" si="2"/>
        <v>-1160.8800000000001</v>
      </c>
      <c r="M30" s="3"/>
      <c r="N30" s="7">
        <f t="shared" si="3"/>
        <v>-0.80594279366842547</v>
      </c>
      <c r="O30" s="9"/>
      <c r="P30" s="6">
        <v>12376.5</v>
      </c>
      <c r="Q30" s="3"/>
      <c r="R30" s="7">
        <f t="shared" si="4"/>
        <v>1.4664582032515455E-2</v>
      </c>
      <c r="S30" s="3"/>
      <c r="T30" s="6">
        <v>18139.68</v>
      </c>
      <c r="U30" s="3"/>
      <c r="V30" s="7">
        <f t="shared" si="5"/>
        <v>0.19250805703942431</v>
      </c>
      <c r="W30" s="3"/>
      <c r="X30" s="6">
        <f t="shared" si="6"/>
        <v>-5763.18</v>
      </c>
      <c r="Y30" s="3"/>
      <c r="Z30" s="7">
        <f t="shared" si="7"/>
        <v>-0.31771122754094894</v>
      </c>
    </row>
    <row r="31" spans="1:26" s="69" customFormat="1" ht="15" hidden="1" customHeight="1" outlineLevel="2" x14ac:dyDescent="0.3">
      <c r="A31" s="21"/>
      <c r="B31" s="9" t="str">
        <f>CONCATENATE("          ","6119"," - ","SICK LEAVE")</f>
        <v xml:space="preserve">          6119 - SICK LEAVE</v>
      </c>
      <c r="C31" s="9"/>
      <c r="D31" s="6">
        <v>253.14</v>
      </c>
      <c r="E31" s="3"/>
      <c r="F31" s="7">
        <f t="shared" si="0"/>
        <v>7.7159633020811519E-3</v>
      </c>
      <c r="G31" s="3"/>
      <c r="H31" s="6">
        <v>872.28</v>
      </c>
      <c r="I31" s="3"/>
      <c r="J31" s="7">
        <f t="shared" si="1"/>
        <v>5.1124225397184496E-2</v>
      </c>
      <c r="K31" s="3"/>
      <c r="L31" s="6">
        <f t="shared" si="2"/>
        <v>-619.14</v>
      </c>
      <c r="M31" s="3"/>
      <c r="N31" s="7">
        <f t="shared" si="3"/>
        <v>-0.7097950199477232</v>
      </c>
      <c r="O31" s="9"/>
      <c r="P31" s="6">
        <v>10203.94</v>
      </c>
      <c r="Q31" s="3"/>
      <c r="R31" s="7">
        <f t="shared" si="4"/>
        <v>1.2090374111005999E-2</v>
      </c>
      <c r="S31" s="3"/>
      <c r="T31" s="6">
        <v>11254.42</v>
      </c>
      <c r="U31" s="3"/>
      <c r="V31" s="7">
        <f t="shared" si="5"/>
        <v>0.11943796843746073</v>
      </c>
      <c r="W31" s="3"/>
      <c r="X31" s="6">
        <f t="shared" si="6"/>
        <v>-1050.4799999999996</v>
      </c>
      <c r="Y31" s="3"/>
      <c r="Z31" s="7">
        <f t="shared" si="7"/>
        <v>-9.3339328015126469E-2</v>
      </c>
    </row>
    <row r="32" spans="1:26" s="69" customFormat="1" ht="15" hidden="1" customHeight="1" outlineLevel="2" x14ac:dyDescent="0.3">
      <c r="A32" s="21"/>
      <c r="B32" s="9" t="str">
        <f>CONCATENATE("          ","6156"," - ","EMPLOYEE MEALS")</f>
        <v xml:space="preserve">          6156 - EMPLOYEE MEALS</v>
      </c>
      <c r="C32" s="9"/>
      <c r="D32" s="6">
        <v>498.49</v>
      </c>
      <c r="E32" s="3"/>
      <c r="F32" s="7">
        <f t="shared" si="0"/>
        <v>1.5194479523008746E-2</v>
      </c>
      <c r="G32" s="3"/>
      <c r="H32" s="6">
        <v>635.66</v>
      </c>
      <c r="I32" s="3"/>
      <c r="J32" s="7">
        <f t="shared" si="1"/>
        <v>3.7255955789395945E-2</v>
      </c>
      <c r="K32" s="3"/>
      <c r="L32" s="6">
        <f t="shared" si="2"/>
        <v>-137.16999999999996</v>
      </c>
      <c r="M32" s="3"/>
      <c r="N32" s="7">
        <f t="shared" si="3"/>
        <v>-0.21579146084384729</v>
      </c>
      <c r="O32" s="9"/>
      <c r="P32" s="6">
        <v>8256.1</v>
      </c>
      <c r="Q32" s="3"/>
      <c r="R32" s="7">
        <f t="shared" si="4"/>
        <v>9.7824308745324481E-3</v>
      </c>
      <c r="S32" s="3"/>
      <c r="T32" s="6">
        <v>5648.47</v>
      </c>
      <c r="U32" s="3"/>
      <c r="V32" s="7">
        <f t="shared" si="5"/>
        <v>5.9944606792704004E-2</v>
      </c>
      <c r="W32" s="3"/>
      <c r="X32" s="6">
        <f t="shared" si="6"/>
        <v>2607.63</v>
      </c>
      <c r="Y32" s="3"/>
      <c r="Z32" s="7">
        <f t="shared" si="7"/>
        <v>0.46165244747692735</v>
      </c>
    </row>
    <row r="33" spans="1:26" s="68" customFormat="1" ht="15" customHeight="1" outlineLevel="1" collapsed="1" x14ac:dyDescent="0.3">
      <c r="A33" s="20"/>
      <c r="B33" s="11" t="str">
        <f>CONCATENATE("     ","*Payroll                                          ")</f>
        <v xml:space="preserve">     *Payroll                                          </v>
      </c>
      <c r="C33" s="11"/>
      <c r="D33" s="2">
        <f>SUM(OSRRefD22_1x_0)</f>
        <v>14675.169999999998</v>
      </c>
      <c r="E33" s="2"/>
      <c r="F33" s="5">
        <f t="shared" si="0"/>
        <v>0.4473140284893824</v>
      </c>
      <c r="G33" s="2"/>
      <c r="H33" s="2">
        <f>SUM(OSRRefH22_1x_0)</f>
        <v>16852.73</v>
      </c>
      <c r="I33" s="2"/>
      <c r="J33" s="5">
        <f t="shared" si="1"/>
        <v>0.98773646888372202</v>
      </c>
      <c r="K33" s="2"/>
      <c r="L33" s="2">
        <f t="shared" si="2"/>
        <v>-2177.5600000000013</v>
      </c>
      <c r="M33" s="2"/>
      <c r="N33" s="5">
        <f t="shared" si="3"/>
        <v>-0.12921111297694804</v>
      </c>
      <c r="O33" s="11"/>
      <c r="P33" s="2">
        <f>SUM(OSRRefP22_1x_0)</f>
        <v>336875.36</v>
      </c>
      <c r="Q33" s="2"/>
      <c r="R33" s="5">
        <f t="shared" si="4"/>
        <v>0.39915455512084796</v>
      </c>
      <c r="S33" s="2"/>
      <c r="T33" s="2">
        <f>SUM(OSRRefT22_1x_0)</f>
        <v>208764.41999999998</v>
      </c>
      <c r="U33" s="2"/>
      <c r="V33" s="5">
        <f t="shared" si="5"/>
        <v>2.2155204983308598</v>
      </c>
      <c r="W33" s="2"/>
      <c r="X33" s="2">
        <f t="shared" si="6"/>
        <v>128110.94</v>
      </c>
      <c r="Y33" s="2"/>
      <c r="Z33" s="5">
        <f t="shared" si="7"/>
        <v>0.61366271129917638</v>
      </c>
    </row>
    <row r="34" spans="1:26" s="69" customFormat="1" ht="15" hidden="1" customHeight="1" outlineLevel="2" x14ac:dyDescent="0.3">
      <c r="A34" s="21"/>
      <c r="B34" s="9" t="str">
        <f>CONCATENATE("          ","6002"," - ","STAFF SALARIES")</f>
        <v xml:space="preserve">          6002 - STAFF SALARIES</v>
      </c>
      <c r="C34" s="9"/>
      <c r="D34" s="6">
        <v>1575.16</v>
      </c>
      <c r="E34" s="3"/>
      <c r="F34" s="7">
        <f t="shared" si="0"/>
        <v>4.8012470391507266E-2</v>
      </c>
      <c r="G34" s="3"/>
      <c r="H34" s="6">
        <v>12905.62</v>
      </c>
      <c r="I34" s="3"/>
      <c r="J34" s="7">
        <f t="shared" si="1"/>
        <v>0.75639682873665814</v>
      </c>
      <c r="K34" s="3"/>
      <c r="L34" s="6">
        <f t="shared" si="2"/>
        <v>-11330.460000000001</v>
      </c>
      <c r="M34" s="3"/>
      <c r="N34" s="7">
        <f t="shared" si="3"/>
        <v>-0.87794774679558207</v>
      </c>
      <c r="O34" s="9"/>
      <c r="P34" s="6">
        <v>77879.59</v>
      </c>
      <c r="Q34" s="3"/>
      <c r="R34" s="7">
        <f t="shared" si="4"/>
        <v>9.2277431924507755E-2</v>
      </c>
      <c r="S34" s="3"/>
      <c r="T34" s="6">
        <v>169250.19</v>
      </c>
      <c r="U34" s="3"/>
      <c r="V34" s="7">
        <f t="shared" si="5"/>
        <v>1.796174201003182</v>
      </c>
      <c r="W34" s="3"/>
      <c r="X34" s="6">
        <f t="shared" si="6"/>
        <v>-91370.6</v>
      </c>
      <c r="Y34" s="3"/>
      <c r="Z34" s="7">
        <f t="shared" si="7"/>
        <v>-0.53985522852293399</v>
      </c>
    </row>
    <row r="35" spans="1:26" s="69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4527.29</v>
      </c>
      <c r="E35" s="3"/>
      <c r="F35" s="7">
        <f t="shared" si="0"/>
        <v>0.13799637946543011</v>
      </c>
      <c r="G35" s="3"/>
      <c r="H35" s="6">
        <v>3068.89</v>
      </c>
      <c r="I35" s="3"/>
      <c r="J35" s="7">
        <f t="shared" si="1"/>
        <v>0.17986727206764516</v>
      </c>
      <c r="K35" s="3"/>
      <c r="L35" s="6">
        <f t="shared" si="2"/>
        <v>1458.4</v>
      </c>
      <c r="M35" s="3"/>
      <c r="N35" s="7">
        <f t="shared" si="3"/>
        <v>0.4752206823965669</v>
      </c>
      <c r="O35" s="9"/>
      <c r="P35" s="6">
        <v>79370.81</v>
      </c>
      <c r="Q35" s="3"/>
      <c r="R35" s="7">
        <f t="shared" si="4"/>
        <v>9.4044338401987462E-2</v>
      </c>
      <c r="S35" s="3"/>
      <c r="T35" s="6">
        <v>34461.919999999998</v>
      </c>
      <c r="U35" s="3"/>
      <c r="V35" s="7">
        <f t="shared" si="5"/>
        <v>0.3657284616403419</v>
      </c>
      <c r="W35" s="3"/>
      <c r="X35" s="6">
        <f t="shared" si="6"/>
        <v>44908.89</v>
      </c>
      <c r="Y35" s="3"/>
      <c r="Z35" s="7">
        <f t="shared" si="7"/>
        <v>1.3031453267838822</v>
      </c>
    </row>
    <row r="36" spans="1:26" s="69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7140.67</v>
      </c>
      <c r="E36" s="3"/>
      <c r="F36" s="7">
        <f t="shared" si="0"/>
        <v>0.21765484582551878</v>
      </c>
      <c r="G36" s="3"/>
      <c r="H36" s="6">
        <v>792.54</v>
      </c>
      <c r="I36" s="3"/>
      <c r="J36" s="7">
        <f t="shared" si="1"/>
        <v>4.6450673632646169E-2</v>
      </c>
      <c r="K36" s="3"/>
      <c r="L36" s="6">
        <f t="shared" si="2"/>
        <v>6348.13</v>
      </c>
      <c r="M36" s="3"/>
      <c r="N36" s="7">
        <f t="shared" si="3"/>
        <v>8.009854392207334</v>
      </c>
      <c r="O36" s="9"/>
      <c r="P36" s="6">
        <v>102200.54</v>
      </c>
      <c r="Q36" s="3"/>
      <c r="R36" s="7">
        <f t="shared" si="4"/>
        <v>0.12109467156283092</v>
      </c>
      <c r="S36" s="3"/>
      <c r="T36" s="6">
        <v>4818.9399999999996</v>
      </c>
      <c r="U36" s="3"/>
      <c r="V36" s="7">
        <f t="shared" si="5"/>
        <v>5.1141187517616808E-2</v>
      </c>
      <c r="W36" s="3"/>
      <c r="X36" s="6">
        <f t="shared" si="6"/>
        <v>97381.599999999991</v>
      </c>
      <c r="Y36" s="3"/>
      <c r="Z36" s="7">
        <f t="shared" si="7"/>
        <v>20.20809555628416</v>
      </c>
    </row>
    <row r="37" spans="1:26" s="69" customFormat="1" ht="15" hidden="1" customHeight="1" outlineLevel="2" x14ac:dyDescent="0.3">
      <c r="A37" s="21"/>
      <c r="B37" s="9" t="str">
        <f>CONCATENATE("          ","6007"," - ","STUDENT HOURLY")</f>
        <v xml:space="preserve">          6007 - STUDENT HOURLY</v>
      </c>
      <c r="C37" s="9"/>
      <c r="D37" s="6">
        <v>1432.05</v>
      </c>
      <c r="E37" s="3"/>
      <c r="F37" s="7">
        <f t="shared" si="0"/>
        <v>4.3650332806926262E-2</v>
      </c>
      <c r="G37" s="3"/>
      <c r="H37" s="6">
        <v>85.68</v>
      </c>
      <c r="I37" s="3"/>
      <c r="J37" s="7">
        <f t="shared" si="1"/>
        <v>5.0216944467725592E-3</v>
      </c>
      <c r="K37" s="3"/>
      <c r="L37" s="6">
        <f t="shared" si="2"/>
        <v>1346.37</v>
      </c>
      <c r="M37" s="3"/>
      <c r="N37" s="7">
        <f t="shared" si="3"/>
        <v>15.713935574229689</v>
      </c>
      <c r="O37" s="9"/>
      <c r="P37" s="6">
        <v>68155.05</v>
      </c>
      <c r="Q37" s="3"/>
      <c r="R37" s="7">
        <f t="shared" si="4"/>
        <v>8.0755085981916733E-2</v>
      </c>
      <c r="S37" s="3"/>
      <c r="T37" s="6">
        <v>233.37</v>
      </c>
      <c r="U37" s="3"/>
      <c r="V37" s="7">
        <f t="shared" si="5"/>
        <v>2.4766481697191156E-3</v>
      </c>
      <c r="W37" s="3"/>
      <c r="X37" s="6">
        <f t="shared" si="6"/>
        <v>67921.680000000008</v>
      </c>
      <c r="Y37" s="3"/>
      <c r="Z37" s="7">
        <f t="shared" si="7"/>
        <v>291.04717830055279</v>
      </c>
    </row>
    <row r="38" spans="1:26" s="69" customFormat="1" ht="15" hidden="1" customHeight="1" outlineLevel="2" x14ac:dyDescent="0.3">
      <c r="A38" s="21"/>
      <c r="B38" s="9" t="str">
        <f>CONCATENATE("          ","6008"," - ","STUDENT HOURLY-FICA EXEMPT")</f>
        <v xml:space="preserve">          6008 - STUDENT HOURLY-FICA EXEMPT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>
        <v>9269.3700000000008</v>
      </c>
      <c r="Q38" s="3"/>
      <c r="R38" s="7">
        <f t="shared" si="4"/>
        <v>1.0983027249605121E-2</v>
      </c>
      <c r="S38" s="3"/>
      <c r="T38" s="6"/>
      <c r="U38" s="3"/>
      <c r="V38" s="7">
        <f t="shared" si="5"/>
        <v>0</v>
      </c>
      <c r="W38" s="3"/>
      <c r="X38" s="6">
        <f t="shared" si="6"/>
        <v>9269.3700000000008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0"/>
      <c r="B39" s="11" t="str">
        <f>CONCATENATE("     ","Advertising/Promo                                 ")</f>
        <v xml:space="preserve">     Advertising/Promo                                 </v>
      </c>
      <c r="C39" s="11"/>
      <c r="D39" s="2">
        <f>SUM(OSRRefD22_2x_0)</f>
        <v>576.15</v>
      </c>
      <c r="E39" s="2"/>
      <c r="F39" s="5">
        <f t="shared" si="0"/>
        <v>1.7561634891736018E-2</v>
      </c>
      <c r="G39" s="2"/>
      <c r="H39" s="2">
        <f>SUM(OSRRefH22_2x_0)</f>
        <v>38.29</v>
      </c>
      <c r="I39" s="2"/>
      <c r="J39" s="5">
        <f t="shared" si="1"/>
        <v>2.244172273190024E-3</v>
      </c>
      <c r="K39" s="2"/>
      <c r="L39" s="2">
        <f t="shared" si="2"/>
        <v>537.86</v>
      </c>
      <c r="M39" s="2"/>
      <c r="N39" s="5">
        <f t="shared" si="3"/>
        <v>14.047009663097414</v>
      </c>
      <c r="O39" s="11"/>
      <c r="P39" s="2">
        <f>SUM(OSRRefP22_2x_0)</f>
        <v>2191.31</v>
      </c>
      <c r="Q39" s="2"/>
      <c r="R39" s="5">
        <f t="shared" si="4"/>
        <v>2.5964242923016555E-3</v>
      </c>
      <c r="S39" s="2"/>
      <c r="T39" s="2">
        <f>SUM(OSRRefT22_2x_0)</f>
        <v>338.36</v>
      </c>
      <c r="U39" s="2"/>
      <c r="V39" s="5">
        <f t="shared" si="5"/>
        <v>3.5908586138156577E-3</v>
      </c>
      <c r="W39" s="2"/>
      <c r="X39" s="2">
        <f t="shared" si="6"/>
        <v>1852.9499999999998</v>
      </c>
      <c r="Y39" s="2"/>
      <c r="Z39" s="5">
        <f t="shared" si="7"/>
        <v>5.4762678803641087</v>
      </c>
    </row>
    <row r="40" spans="1:26" s="69" customFormat="1" ht="15" hidden="1" customHeight="1" outlineLevel="2" x14ac:dyDescent="0.3">
      <c r="A40" s="21"/>
      <c r="B40" s="9" t="str">
        <f>CONCATENATE("          ","6362"," - ","ADVERTISING EXPENSE")</f>
        <v xml:space="preserve">          6362 - ADVERTISING EXPENSE</v>
      </c>
      <c r="C40" s="9"/>
      <c r="D40" s="6">
        <v>576.15</v>
      </c>
      <c r="E40" s="3"/>
      <c r="F40" s="7">
        <f t="shared" si="0"/>
        <v>1.7561634891736018E-2</v>
      </c>
      <c r="G40" s="3"/>
      <c r="H40" s="6">
        <v>38.29</v>
      </c>
      <c r="I40" s="3"/>
      <c r="J40" s="7">
        <f t="shared" si="1"/>
        <v>2.244172273190024E-3</v>
      </c>
      <c r="K40" s="3"/>
      <c r="L40" s="6">
        <f t="shared" si="2"/>
        <v>537.86</v>
      </c>
      <c r="M40" s="3"/>
      <c r="N40" s="7">
        <f t="shared" si="3"/>
        <v>14.047009663097414</v>
      </c>
      <c r="O40" s="9"/>
      <c r="P40" s="6">
        <v>2191.31</v>
      </c>
      <c r="Q40" s="3"/>
      <c r="R40" s="7">
        <f t="shared" si="4"/>
        <v>2.5964242923016555E-3</v>
      </c>
      <c r="S40" s="3"/>
      <c r="T40" s="6">
        <v>338.36</v>
      </c>
      <c r="U40" s="3"/>
      <c r="V40" s="7">
        <f t="shared" si="5"/>
        <v>3.5908586138156577E-3</v>
      </c>
      <c r="W40" s="3"/>
      <c r="X40" s="6">
        <f t="shared" si="6"/>
        <v>1852.9499999999998</v>
      </c>
      <c r="Y40" s="3"/>
      <c r="Z40" s="7">
        <f t="shared" si="7"/>
        <v>5.4762678803641087</v>
      </c>
    </row>
    <row r="41" spans="1:26" s="68" customFormat="1" ht="15" customHeight="1" outlineLevel="1" collapsed="1" x14ac:dyDescent="0.3">
      <c r="A41" s="20"/>
      <c r="B41" s="11" t="str">
        <f>CONCATENATE("     ","Bad Debts/Over/Short                              ")</f>
        <v xml:space="preserve">     Bad Debts/Over/Short                              </v>
      </c>
      <c r="C41" s="11"/>
      <c r="D41" s="2">
        <f>SUM(OSRRefD22_3x_0)</f>
        <v>-1.55</v>
      </c>
      <c r="E41" s="2"/>
      <c r="F41" s="5">
        <f t="shared" si="0"/>
        <v>-4.7245568137101159E-5</v>
      </c>
      <c r="G41" s="2"/>
      <c r="H41" s="2">
        <f>SUM(OSRRefH22_3x_0)</f>
        <v>-2.67</v>
      </c>
      <c r="I41" s="2"/>
      <c r="J41" s="5">
        <f t="shared" si="1"/>
        <v>-1.5648837736791237E-4</v>
      </c>
      <c r="K41" s="2"/>
      <c r="L41" s="2">
        <f t="shared" si="2"/>
        <v>1.1199999999999999</v>
      </c>
      <c r="M41" s="2"/>
      <c r="N41" s="5">
        <f t="shared" si="3"/>
        <v>-0.41947565543071158</v>
      </c>
      <c r="O41" s="11"/>
      <c r="P41" s="2">
        <f>SUM(OSRRefP22_3x_0)</f>
        <v>-9.59</v>
      </c>
      <c r="Q41" s="2"/>
      <c r="R41" s="5">
        <f t="shared" si="4"/>
        <v>-1.1362933114517287E-5</v>
      </c>
      <c r="S41" s="2"/>
      <c r="T41" s="2">
        <f>SUM(OSRRefT22_3x_0)</f>
        <v>13.53</v>
      </c>
      <c r="U41" s="2"/>
      <c r="V41" s="5">
        <f t="shared" si="5"/>
        <v>1.4358764938209552E-4</v>
      </c>
      <c r="W41" s="2"/>
      <c r="X41" s="2">
        <f t="shared" si="6"/>
        <v>-23.119999999999997</v>
      </c>
      <c r="Y41" s="2"/>
      <c r="Z41" s="5">
        <f t="shared" si="7"/>
        <v>-1.7087952697708795</v>
      </c>
    </row>
    <row r="42" spans="1:26" s="69" customFormat="1" ht="15" hidden="1" customHeight="1" outlineLevel="2" x14ac:dyDescent="0.3">
      <c r="A42" s="21"/>
      <c r="B42" s="9" t="str">
        <f>CONCATENATE("          ","6272"," - ","CASH (OVER/SHORT)")</f>
        <v xml:space="preserve">          6272 - CASH (OVER/SHORT)</v>
      </c>
      <c r="C42" s="9"/>
      <c r="D42" s="6">
        <v>-1.55</v>
      </c>
      <c r="E42" s="3"/>
      <c r="F42" s="7">
        <f t="shared" si="0"/>
        <v>-4.7245568137101159E-5</v>
      </c>
      <c r="G42" s="3"/>
      <c r="H42" s="6">
        <v>-2.67</v>
      </c>
      <c r="I42" s="3"/>
      <c r="J42" s="7">
        <f t="shared" si="1"/>
        <v>-1.5648837736791237E-4</v>
      </c>
      <c r="K42" s="3"/>
      <c r="L42" s="6">
        <f t="shared" si="2"/>
        <v>1.1199999999999999</v>
      </c>
      <c r="M42" s="3"/>
      <c r="N42" s="7">
        <f t="shared" si="3"/>
        <v>-0.41947565543071158</v>
      </c>
      <c r="O42" s="9"/>
      <c r="P42" s="6">
        <v>-9.59</v>
      </c>
      <c r="Q42" s="3"/>
      <c r="R42" s="7">
        <f t="shared" si="4"/>
        <v>-1.1362933114517287E-5</v>
      </c>
      <c r="S42" s="3"/>
      <c r="T42" s="6">
        <v>13.53</v>
      </c>
      <c r="U42" s="3"/>
      <c r="V42" s="7">
        <f t="shared" si="5"/>
        <v>1.4358764938209552E-4</v>
      </c>
      <c r="W42" s="3"/>
      <c r="X42" s="6">
        <f t="shared" si="6"/>
        <v>-23.119999999999997</v>
      </c>
      <c r="Y42" s="3"/>
      <c r="Z42" s="7">
        <f t="shared" si="7"/>
        <v>-1.7087952697708795</v>
      </c>
    </row>
    <row r="43" spans="1:26" s="68" customFormat="1" ht="15" customHeight="1" outlineLevel="1" collapsed="1" x14ac:dyDescent="0.3">
      <c r="A43" s="20"/>
      <c r="B43" s="11" t="str">
        <f>CONCATENATE("     ","Bank/card Fees                                    ")</f>
        <v xml:space="preserve">     Bank/card Fees                                    </v>
      </c>
      <c r="C43" s="11"/>
      <c r="D43" s="2">
        <f>SUM(OSRRefD22_4x_0)</f>
        <v>746.19</v>
      </c>
      <c r="E43" s="2"/>
      <c r="F43" s="5">
        <f t="shared" si="0"/>
        <v>2.2744626121434526E-2</v>
      </c>
      <c r="G43" s="2"/>
      <c r="H43" s="2">
        <f>SUM(OSRRefH22_4x_0)</f>
        <v>510.58</v>
      </c>
      <c r="I43" s="2"/>
      <c r="J43" s="5">
        <f t="shared" si="1"/>
        <v>2.992503210356131E-2</v>
      </c>
      <c r="K43" s="2"/>
      <c r="L43" s="2">
        <f t="shared" si="2"/>
        <v>235.61000000000007</v>
      </c>
      <c r="M43" s="2"/>
      <c r="N43" s="5">
        <f t="shared" si="3"/>
        <v>0.46145559951427806</v>
      </c>
      <c r="O43" s="11"/>
      <c r="P43" s="2">
        <f>SUM(OSRRefP22_4x_0)</f>
        <v>27609.48</v>
      </c>
      <c r="Q43" s="2"/>
      <c r="R43" s="5">
        <f t="shared" si="4"/>
        <v>3.2713730403191109E-2</v>
      </c>
      <c r="S43" s="2"/>
      <c r="T43" s="2">
        <f>SUM(OSRRefT22_4x_0)</f>
        <v>2909.49</v>
      </c>
      <c r="U43" s="2"/>
      <c r="V43" s="5">
        <f t="shared" si="5"/>
        <v>3.0877075388079312E-2</v>
      </c>
      <c r="W43" s="2"/>
      <c r="X43" s="2">
        <f t="shared" si="6"/>
        <v>24699.989999999998</v>
      </c>
      <c r="Y43" s="2"/>
      <c r="Z43" s="5">
        <f t="shared" si="7"/>
        <v>8.4894569151294554</v>
      </c>
    </row>
    <row r="44" spans="1:26" s="69" customFormat="1" ht="15" hidden="1" customHeight="1" outlineLevel="2" x14ac:dyDescent="0.3">
      <c r="A44" s="21"/>
      <c r="B44" s="9" t="str">
        <f>CONCATENATE("          ","6381"," - ","BANK/CREDIT CARD FEES")</f>
        <v xml:space="preserve">          6381 - BANK/CREDIT CARD FEES</v>
      </c>
      <c r="C44" s="9"/>
      <c r="D44" s="6">
        <v>746.19</v>
      </c>
      <c r="E44" s="3"/>
      <c r="F44" s="7">
        <f t="shared" si="0"/>
        <v>2.2744626121434526E-2</v>
      </c>
      <c r="G44" s="3"/>
      <c r="H44" s="6">
        <v>510.58</v>
      </c>
      <c r="I44" s="3"/>
      <c r="J44" s="7">
        <f t="shared" si="1"/>
        <v>2.992503210356131E-2</v>
      </c>
      <c r="K44" s="3"/>
      <c r="L44" s="6">
        <f t="shared" si="2"/>
        <v>235.61000000000007</v>
      </c>
      <c r="M44" s="3"/>
      <c r="N44" s="7">
        <f t="shared" si="3"/>
        <v>0.46145559951427806</v>
      </c>
      <c r="O44" s="9"/>
      <c r="P44" s="6">
        <v>27609.48</v>
      </c>
      <c r="Q44" s="3"/>
      <c r="R44" s="7">
        <f t="shared" si="4"/>
        <v>3.2713730403191109E-2</v>
      </c>
      <c r="S44" s="3"/>
      <c r="T44" s="6">
        <v>2909.49</v>
      </c>
      <c r="U44" s="3"/>
      <c r="V44" s="7">
        <f t="shared" si="5"/>
        <v>3.0877075388079312E-2</v>
      </c>
      <c r="W44" s="3"/>
      <c r="X44" s="6">
        <f t="shared" si="6"/>
        <v>24699.989999999998</v>
      </c>
      <c r="Y44" s="3"/>
      <c r="Z44" s="7">
        <f t="shared" si="7"/>
        <v>8.4894569151294554</v>
      </c>
    </row>
    <row r="45" spans="1:26" s="68" customFormat="1" ht="15" customHeight="1" outlineLevel="1" collapsed="1" x14ac:dyDescent="0.3">
      <c r="A45" s="20"/>
      <c r="B45" s="11" t="str">
        <f>CONCATENATE("     ","Depreciation                                      ")</f>
        <v xml:space="preserve">     Depreciation                                      </v>
      </c>
      <c r="C45" s="11"/>
      <c r="D45" s="2">
        <f>SUM(OSRRefD22_5x_0)</f>
        <v>14274.87</v>
      </c>
      <c r="E45" s="2"/>
      <c r="F45" s="5">
        <f t="shared" si="0"/>
        <v>0.43511247950532983</v>
      </c>
      <c r="G45" s="2"/>
      <c r="H45" s="2">
        <f>SUM(OSRRefH22_5x_0)</f>
        <v>14006.39</v>
      </c>
      <c r="I45" s="2"/>
      <c r="J45" s="5">
        <f t="shared" si="1"/>
        <v>0.82091282542402777</v>
      </c>
      <c r="K45" s="2"/>
      <c r="L45" s="2">
        <f t="shared" si="2"/>
        <v>268.48000000000138</v>
      </c>
      <c r="M45" s="2"/>
      <c r="N45" s="5">
        <f t="shared" si="3"/>
        <v>1.9168393854519357E-2</v>
      </c>
      <c r="O45" s="11"/>
      <c r="P45" s="2">
        <f>SUM(OSRRefP22_5x_0)</f>
        <v>168852.77000000002</v>
      </c>
      <c r="Q45" s="2"/>
      <c r="R45" s="5">
        <f t="shared" si="4"/>
        <v>0.20006910653920451</v>
      </c>
      <c r="S45" s="2"/>
      <c r="T45" s="2">
        <f>SUM(OSRRefT22_5x_0)</f>
        <v>166897.19</v>
      </c>
      <c r="U45" s="2"/>
      <c r="V45" s="5">
        <f t="shared" si="5"/>
        <v>1.771202897307981</v>
      </c>
      <c r="W45" s="2"/>
      <c r="X45" s="2">
        <f t="shared" si="6"/>
        <v>1955.5800000000163</v>
      </c>
      <c r="Y45" s="2"/>
      <c r="Z45" s="5">
        <f t="shared" si="7"/>
        <v>1.1717273370510409E-2</v>
      </c>
    </row>
    <row r="46" spans="1:26" s="69" customFormat="1" ht="15" hidden="1" customHeight="1" outlineLevel="2" x14ac:dyDescent="0.3">
      <c r="A46" s="21"/>
      <c r="B46" s="9" t="str">
        <f>CONCATENATE("          ","6321"," - ","BUILDING DEPRECIATION")</f>
        <v xml:space="preserve">          6321 - BUILDING DEPRECIATION</v>
      </c>
      <c r="C46" s="9"/>
      <c r="D46" s="6">
        <v>10597.27</v>
      </c>
      <c r="E46" s="3"/>
      <c r="F46" s="7">
        <f t="shared" si="0"/>
        <v>0.32301551087242453</v>
      </c>
      <c r="G46" s="3"/>
      <c r="H46" s="6">
        <v>10597.27</v>
      </c>
      <c r="I46" s="3"/>
      <c r="J46" s="7">
        <f t="shared" si="1"/>
        <v>0.62110471416841073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127167.13</v>
      </c>
      <c r="Q46" s="3"/>
      <c r="R46" s="7">
        <f t="shared" si="4"/>
        <v>0.15067691267519551</v>
      </c>
      <c r="S46" s="3"/>
      <c r="T46" s="6">
        <v>127167.13</v>
      </c>
      <c r="U46" s="3"/>
      <c r="V46" s="7">
        <f t="shared" si="5"/>
        <v>1.3495660957403817</v>
      </c>
      <c r="W46" s="3"/>
      <c r="X46" s="6">
        <f t="shared" si="6"/>
        <v>0</v>
      </c>
      <c r="Y46" s="3"/>
      <c r="Z46" s="7">
        <f t="shared" si="7"/>
        <v>0</v>
      </c>
    </row>
    <row r="47" spans="1:26" s="69" customFormat="1" ht="15" hidden="1" customHeight="1" outlineLevel="2" x14ac:dyDescent="0.3">
      <c r="A47" s="21"/>
      <c r="B47" s="9" t="str">
        <f>CONCATENATE("          ","6322"," - ","EQUIPMENT DEPRECIATION EXPENSE")</f>
        <v xml:space="preserve">          6322 - EQUIPMENT DEPRECIATION EXPENSE</v>
      </c>
      <c r="C47" s="9"/>
      <c r="D47" s="6">
        <v>3677.6</v>
      </c>
      <c r="E47" s="3"/>
      <c r="F47" s="7">
        <f t="shared" si="0"/>
        <v>0.11209696863290529</v>
      </c>
      <c r="G47" s="3"/>
      <c r="H47" s="6">
        <v>3409.12</v>
      </c>
      <c r="I47" s="3"/>
      <c r="J47" s="7">
        <f t="shared" si="1"/>
        <v>0.19980811125561701</v>
      </c>
      <c r="K47" s="3"/>
      <c r="L47" s="6">
        <f t="shared" si="2"/>
        <v>268.48</v>
      </c>
      <c r="M47" s="3"/>
      <c r="N47" s="7">
        <f t="shared" si="3"/>
        <v>7.8753461303796887E-2</v>
      </c>
      <c r="O47" s="9"/>
      <c r="P47" s="6">
        <v>41685.64</v>
      </c>
      <c r="Q47" s="3"/>
      <c r="R47" s="7">
        <f t="shared" si="4"/>
        <v>4.9392193864009011E-2</v>
      </c>
      <c r="S47" s="3"/>
      <c r="T47" s="6">
        <v>39730.06</v>
      </c>
      <c r="U47" s="3"/>
      <c r="V47" s="7">
        <f t="shared" si="5"/>
        <v>0.42163680156759931</v>
      </c>
      <c r="W47" s="3"/>
      <c r="X47" s="6">
        <f t="shared" si="6"/>
        <v>1955.5800000000017</v>
      </c>
      <c r="Y47" s="3"/>
      <c r="Z47" s="7">
        <f t="shared" si="7"/>
        <v>4.9221672456573232E-2</v>
      </c>
    </row>
    <row r="48" spans="1:26" s="68" customFormat="1" ht="15" customHeight="1" outlineLevel="1" collapsed="1" x14ac:dyDescent="0.3">
      <c r="A48" s="20"/>
      <c r="B48" s="11" t="str">
        <f>CONCATENATE("     ","Employees' Appreciation                           ")</f>
        <v xml:space="preserve">     Employees' Appreciation                           </v>
      </c>
      <c r="C48" s="11"/>
      <c r="D48" s="2">
        <f>SUM(OSRRefD22_6x_0)</f>
        <v>0</v>
      </c>
      <c r="E48" s="2"/>
      <c r="F48" s="5">
        <f t="shared" si="0"/>
        <v>0</v>
      </c>
      <c r="G48" s="2"/>
      <c r="H48" s="2">
        <f>SUM(OSRRefH22_6x_0)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SUM(OSRRefP22_6x_0)</f>
        <v>61.45</v>
      </c>
      <c r="Q48" s="2"/>
      <c r="R48" s="5">
        <f t="shared" si="4"/>
        <v>7.281045254297052E-5</v>
      </c>
      <c r="S48" s="2"/>
      <c r="T48" s="2">
        <f>SUM(OSRRefT22_6x_0)</f>
        <v>10</v>
      </c>
      <c r="U48" s="2"/>
      <c r="V48" s="5">
        <f t="shared" si="5"/>
        <v>1.061253875699154E-4</v>
      </c>
      <c r="W48" s="2"/>
      <c r="X48" s="2">
        <f t="shared" si="6"/>
        <v>51.45</v>
      </c>
      <c r="Y48" s="2"/>
      <c r="Z48" s="5">
        <f t="shared" si="7"/>
        <v>5.1450000000000005</v>
      </c>
    </row>
    <row r="49" spans="1:26" s="69" customFormat="1" ht="15" hidden="1" customHeight="1" outlineLevel="2" x14ac:dyDescent="0.3">
      <c r="A49" s="21"/>
      <c r="B49" s="9" t="str">
        <f>CONCATENATE("          ","6277"," - ","EMPLOYEE APPRECIATION")</f>
        <v xml:space="preserve">          6277 - EMPLOYEE APPRECIATION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61.45</v>
      </c>
      <c r="Q49" s="3"/>
      <c r="R49" s="7">
        <f t="shared" si="4"/>
        <v>7.281045254297052E-5</v>
      </c>
      <c r="S49" s="3"/>
      <c r="T49" s="6">
        <v>10</v>
      </c>
      <c r="U49" s="3"/>
      <c r="V49" s="7">
        <f t="shared" si="5"/>
        <v>1.061253875699154E-4</v>
      </c>
      <c r="W49" s="3"/>
      <c r="X49" s="6">
        <f t="shared" si="6"/>
        <v>51.45</v>
      </c>
      <c r="Y49" s="3"/>
      <c r="Z49" s="7">
        <f t="shared" si="7"/>
        <v>5.1450000000000005</v>
      </c>
    </row>
    <row r="50" spans="1:26" s="68" customFormat="1" ht="15" customHeight="1" outlineLevel="1" collapsed="1" x14ac:dyDescent="0.3">
      <c r="A50" s="20"/>
      <c r="B50" s="11" t="str">
        <f>CONCATENATE("     ","Equipment Rental                                  ")</f>
        <v xml:space="preserve">     Equipment Rental                                  </v>
      </c>
      <c r="C50" s="11"/>
      <c r="D50" s="2">
        <f>SUM(OSRRefD22_7x_0)</f>
        <v>735.54</v>
      </c>
      <c r="E50" s="2"/>
      <c r="F50" s="5">
        <f t="shared" si="0"/>
        <v>2.2420003346815084E-2</v>
      </c>
      <c r="G50" s="2"/>
      <c r="H50" s="2">
        <f>SUM(OSRRefH22_7x_0)</f>
        <v>267.86</v>
      </c>
      <c r="I50" s="2"/>
      <c r="J50" s="5">
        <f t="shared" si="1"/>
        <v>1.569924223287229E-2</v>
      </c>
      <c r="K50" s="2"/>
      <c r="L50" s="2">
        <f t="shared" si="2"/>
        <v>467.67999999999995</v>
      </c>
      <c r="M50" s="2"/>
      <c r="N50" s="5">
        <f t="shared" si="3"/>
        <v>1.7459867094750987</v>
      </c>
      <c r="O50" s="11"/>
      <c r="P50" s="2">
        <f>SUM(OSRRefP22_7x_0)</f>
        <v>4502.74</v>
      </c>
      <c r="Q50" s="2"/>
      <c r="R50" s="5">
        <f t="shared" si="4"/>
        <v>5.335175542446462E-3</v>
      </c>
      <c r="S50" s="2"/>
      <c r="T50" s="2">
        <f>SUM(OSRRefT22_7x_0)</f>
        <v>2361.3200000000002</v>
      </c>
      <c r="U50" s="2"/>
      <c r="V50" s="5">
        <f t="shared" si="5"/>
        <v>2.5059600017659264E-2</v>
      </c>
      <c r="W50" s="2"/>
      <c r="X50" s="2">
        <f t="shared" si="6"/>
        <v>2141.4199999999996</v>
      </c>
      <c r="Y50" s="2"/>
      <c r="Z50" s="5">
        <f t="shared" si="7"/>
        <v>0.90687412125421352</v>
      </c>
    </row>
    <row r="51" spans="1:26" s="69" customFormat="1" ht="15" hidden="1" customHeight="1" outlineLevel="2" x14ac:dyDescent="0.3">
      <c r="A51" s="21"/>
      <c r="B51" s="9" t="str">
        <f>CONCATENATE("          ","6351"," - ","EQUIPMENT RENTAL")</f>
        <v xml:space="preserve">          6351 - EQUIPMENT RENTAL</v>
      </c>
      <c r="C51" s="9"/>
      <c r="D51" s="6">
        <v>735.54</v>
      </c>
      <c r="E51" s="3"/>
      <c r="F51" s="7">
        <f t="shared" si="0"/>
        <v>2.2420003346815084E-2</v>
      </c>
      <c r="G51" s="3"/>
      <c r="H51" s="6">
        <v>267.86</v>
      </c>
      <c r="I51" s="3"/>
      <c r="J51" s="7">
        <f t="shared" si="1"/>
        <v>1.569924223287229E-2</v>
      </c>
      <c r="K51" s="3"/>
      <c r="L51" s="6">
        <f t="shared" si="2"/>
        <v>467.67999999999995</v>
      </c>
      <c r="M51" s="3"/>
      <c r="N51" s="7">
        <f t="shared" si="3"/>
        <v>1.7459867094750987</v>
      </c>
      <c r="O51" s="9"/>
      <c r="P51" s="6">
        <v>4502.74</v>
      </c>
      <c r="Q51" s="3"/>
      <c r="R51" s="7">
        <f t="shared" si="4"/>
        <v>5.335175542446462E-3</v>
      </c>
      <c r="S51" s="3"/>
      <c r="T51" s="6">
        <v>2361.3200000000002</v>
      </c>
      <c r="U51" s="3"/>
      <c r="V51" s="7">
        <f t="shared" si="5"/>
        <v>2.5059600017659264E-2</v>
      </c>
      <c r="W51" s="3"/>
      <c r="X51" s="6">
        <f t="shared" si="6"/>
        <v>2141.4199999999996</v>
      </c>
      <c r="Y51" s="3"/>
      <c r="Z51" s="7">
        <f t="shared" si="7"/>
        <v>0.90687412125421352</v>
      </c>
    </row>
    <row r="52" spans="1:26" s="68" customFormat="1" ht="15" customHeight="1" outlineLevel="1" collapsed="1" x14ac:dyDescent="0.3">
      <c r="A52" s="20"/>
      <c r="B52" s="11" t="str">
        <f>CONCATENATE("     ","General                                           ")</f>
        <v xml:space="preserve">     General                                           </v>
      </c>
      <c r="C52" s="11"/>
      <c r="D52" s="2">
        <f>SUM(OSRRefD22_8x_0)</f>
        <v>42.15</v>
      </c>
      <c r="E52" s="2"/>
      <c r="F52" s="5">
        <f t="shared" si="0"/>
        <v>1.2847746432121379E-3</v>
      </c>
      <c r="G52" s="2"/>
      <c r="H52" s="2">
        <f>SUM(OSRRefH22_8x_0)</f>
        <v>0</v>
      </c>
      <c r="I52" s="2"/>
      <c r="J52" s="5">
        <f t="shared" si="1"/>
        <v>0</v>
      </c>
      <c r="K52" s="2"/>
      <c r="L52" s="2">
        <f t="shared" si="2"/>
        <v>42.15</v>
      </c>
      <c r="M52" s="2"/>
      <c r="N52" s="5">
        <f t="shared" si="3"/>
        <v>0</v>
      </c>
      <c r="O52" s="11"/>
      <c r="P52" s="2">
        <f>SUM(OSRRefP22_8x_0)</f>
        <v>1617.72</v>
      </c>
      <c r="Q52" s="2"/>
      <c r="R52" s="5">
        <f t="shared" si="4"/>
        <v>1.9167929257577587E-3</v>
      </c>
      <c r="S52" s="2"/>
      <c r="T52" s="2">
        <f>SUM(OSRRefT22_8x_0)</f>
        <v>2498.69</v>
      </c>
      <c r="U52" s="2"/>
      <c r="V52" s="5">
        <f t="shared" si="5"/>
        <v>2.6517444466707191E-2</v>
      </c>
      <c r="W52" s="2"/>
      <c r="X52" s="2">
        <f t="shared" si="6"/>
        <v>-880.97</v>
      </c>
      <c r="Y52" s="2"/>
      <c r="Z52" s="5">
        <f t="shared" si="7"/>
        <v>-0.35257274812001488</v>
      </c>
    </row>
    <row r="53" spans="1:26" s="69" customFormat="1" ht="15" hidden="1" customHeight="1" outlineLevel="2" x14ac:dyDescent="0.3">
      <c r="A53" s="21"/>
      <c r="B53" s="9" t="str">
        <f>CONCATENATE("          ","6279"," - ","GENERAL EXPENSE")</f>
        <v xml:space="preserve">          6279 - GENERAL EXPENSE</v>
      </c>
      <c r="C53" s="9"/>
      <c r="D53" s="6">
        <v>42.15</v>
      </c>
      <c r="E53" s="3"/>
      <c r="F53" s="7">
        <f t="shared" si="0"/>
        <v>1.2847746432121379E-3</v>
      </c>
      <c r="G53" s="3"/>
      <c r="H53" s="6"/>
      <c r="I53" s="3"/>
      <c r="J53" s="7">
        <f t="shared" si="1"/>
        <v>0</v>
      </c>
      <c r="K53" s="3"/>
      <c r="L53" s="6">
        <f t="shared" si="2"/>
        <v>42.15</v>
      </c>
      <c r="M53" s="3"/>
      <c r="N53" s="7">
        <f t="shared" si="3"/>
        <v>0</v>
      </c>
      <c r="O53" s="9"/>
      <c r="P53" s="6">
        <v>1617.72</v>
      </c>
      <c r="Q53" s="3"/>
      <c r="R53" s="7">
        <f t="shared" si="4"/>
        <v>1.9167929257577587E-3</v>
      </c>
      <c r="S53" s="3"/>
      <c r="T53" s="6">
        <v>2498.69</v>
      </c>
      <c r="U53" s="3"/>
      <c r="V53" s="7">
        <f t="shared" si="5"/>
        <v>2.6517444466707191E-2</v>
      </c>
      <c r="W53" s="3"/>
      <c r="X53" s="6">
        <f t="shared" si="6"/>
        <v>-880.97</v>
      </c>
      <c r="Y53" s="3"/>
      <c r="Z53" s="7">
        <f t="shared" si="7"/>
        <v>-0.35257274812001488</v>
      </c>
    </row>
    <row r="54" spans="1:26" s="68" customFormat="1" ht="15" customHeight="1" outlineLevel="1" collapsed="1" x14ac:dyDescent="0.3">
      <c r="A54" s="20"/>
      <c r="B54" s="11" t="str">
        <f>CONCATENATE("     ","Insurance                                         ")</f>
        <v xml:space="preserve">     Insurance                                         </v>
      </c>
      <c r="C54" s="11"/>
      <c r="D54" s="2">
        <f>SUM(OSRRefD22_9x_0)</f>
        <v>-270.70999999999998</v>
      </c>
      <c r="E54" s="2"/>
      <c r="F54" s="5">
        <f t="shared" ref="F54:F82" si="8">IF(D$12=0,0,D54/D$12)</f>
        <v>-8.2515146776739687E-3</v>
      </c>
      <c r="G54" s="2"/>
      <c r="H54" s="2">
        <f>SUM(OSRRefH22_9x_0)</f>
        <v>1376.74</v>
      </c>
      <c r="I54" s="2"/>
      <c r="J54" s="5">
        <f t="shared" ref="J54:J82" si="9">IF(H$12=0,0,H54/H$12)</f>
        <v>8.0690565040262049E-2</v>
      </c>
      <c r="K54" s="2"/>
      <c r="L54" s="2">
        <f t="shared" ref="L54:L82" si="10">+D54-H54</f>
        <v>-1647.45</v>
      </c>
      <c r="M54" s="2"/>
      <c r="N54" s="5">
        <f t="shared" ref="N54:N82" si="11">IF(H54=0,0,L54/H54)</f>
        <v>-1.196631172189375</v>
      </c>
      <c r="O54" s="11"/>
      <c r="P54" s="2">
        <f>SUM(OSRRefP22_9x_0)</f>
        <v>9317</v>
      </c>
      <c r="Q54" s="2"/>
      <c r="R54" s="5">
        <f t="shared" ref="R54:R82" si="12">IF(P$12=0,0,P54/P$12)</f>
        <v>1.1039462755782853E-2</v>
      </c>
      <c r="S54" s="2"/>
      <c r="T54" s="2">
        <f>SUM(OSRRefT22_9x_0)</f>
        <v>8430.82</v>
      </c>
      <c r="U54" s="2"/>
      <c r="V54" s="5">
        <f t="shared" ref="V54:V82" si="13">IF(T$12=0,0,T54/T$12)</f>
        <v>8.9472404003219416E-2</v>
      </c>
      <c r="W54" s="2"/>
      <c r="X54" s="2">
        <f t="shared" ref="X54:X82" si="14">+P54-T54</f>
        <v>886.18000000000029</v>
      </c>
      <c r="Y54" s="2"/>
      <c r="Z54" s="5">
        <f t="shared" ref="Z54:Z82" si="15">IF(T54=0,0,X54/T54)</f>
        <v>0.10511195826740463</v>
      </c>
    </row>
    <row r="55" spans="1:26" s="69" customFormat="1" ht="15" hidden="1" customHeight="1" outlineLevel="2" x14ac:dyDescent="0.3">
      <c r="A55" s="21"/>
      <c r="B55" s="9" t="str">
        <f>CONCATENATE("          ","6314"," - ","LIABILITY INSURANCE")</f>
        <v xml:space="preserve">          6314 - LIABILITY INSURANCE</v>
      </c>
      <c r="C55" s="9"/>
      <c r="D55" s="6">
        <v>-270.70999999999998</v>
      </c>
      <c r="E55" s="3"/>
      <c r="F55" s="7">
        <f t="shared" si="8"/>
        <v>-8.2515146776739687E-3</v>
      </c>
      <c r="G55" s="3"/>
      <c r="H55" s="6">
        <v>1376.74</v>
      </c>
      <c r="I55" s="3"/>
      <c r="J55" s="7">
        <f t="shared" si="9"/>
        <v>8.0690565040262049E-2</v>
      </c>
      <c r="K55" s="3"/>
      <c r="L55" s="6">
        <f t="shared" si="10"/>
        <v>-1647.45</v>
      </c>
      <c r="M55" s="3"/>
      <c r="N55" s="7">
        <f t="shared" si="11"/>
        <v>-1.196631172189375</v>
      </c>
      <c r="O55" s="9"/>
      <c r="P55" s="6">
        <v>9317</v>
      </c>
      <c r="Q55" s="3"/>
      <c r="R55" s="7">
        <f t="shared" si="12"/>
        <v>1.1039462755782853E-2</v>
      </c>
      <c r="S55" s="3"/>
      <c r="T55" s="6">
        <v>8430.82</v>
      </c>
      <c r="U55" s="3"/>
      <c r="V55" s="7">
        <f t="shared" si="13"/>
        <v>8.9472404003219416E-2</v>
      </c>
      <c r="W55" s="3"/>
      <c r="X55" s="6">
        <f t="shared" si="14"/>
        <v>886.18000000000029</v>
      </c>
      <c r="Y55" s="3"/>
      <c r="Z55" s="7">
        <f t="shared" si="15"/>
        <v>0.10511195826740463</v>
      </c>
    </row>
    <row r="56" spans="1:26" s="68" customFormat="1" ht="15" customHeight="1" outlineLevel="1" collapsed="1" x14ac:dyDescent="0.3">
      <c r="A56" s="20"/>
      <c r="B56" s="11" t="str">
        <f>CONCATENATE("     ","Interest                                          ")</f>
        <v xml:space="preserve">     Interest                                          </v>
      </c>
      <c r="C56" s="11"/>
      <c r="D56" s="2">
        <f>SUM(OSRRefD22_10x_0)</f>
        <v>7253</v>
      </c>
      <c r="E56" s="2"/>
      <c r="F56" s="5">
        <f t="shared" si="8"/>
        <v>0.22107877786993205</v>
      </c>
      <c r="G56" s="2"/>
      <c r="H56" s="2">
        <f>SUM(OSRRefH22_10x_0)</f>
        <v>-815.7</v>
      </c>
      <c r="I56" s="2"/>
      <c r="J56" s="5">
        <f t="shared" si="9"/>
        <v>-4.7808078434084689E-2</v>
      </c>
      <c r="K56" s="2"/>
      <c r="L56" s="2">
        <f t="shared" si="10"/>
        <v>8068.7</v>
      </c>
      <c r="M56" s="2"/>
      <c r="N56" s="5">
        <f t="shared" si="11"/>
        <v>-9.8917494176780671</v>
      </c>
      <c r="O56" s="11"/>
      <c r="P56" s="2">
        <f>SUM(OSRRefP22_10x_0)</f>
        <v>84898</v>
      </c>
      <c r="Q56" s="2"/>
      <c r="R56" s="5">
        <f t="shared" si="12"/>
        <v>0.10059335720086431</v>
      </c>
      <c r="S56" s="2"/>
      <c r="T56" s="2">
        <f>SUM(OSRRefT22_10x_0)</f>
        <v>79764.45</v>
      </c>
      <c r="U56" s="2"/>
      <c r="V56" s="5">
        <f t="shared" si="13"/>
        <v>0.84650331705511384</v>
      </c>
      <c r="W56" s="2"/>
      <c r="X56" s="2">
        <f t="shared" si="14"/>
        <v>5133.5500000000029</v>
      </c>
      <c r="Y56" s="2"/>
      <c r="Z56" s="5">
        <f t="shared" si="15"/>
        <v>6.4358871652722527E-2</v>
      </c>
    </row>
    <row r="57" spans="1:26" s="69" customFormat="1" ht="15" hidden="1" customHeight="1" outlineLevel="2" x14ac:dyDescent="0.3">
      <c r="A57" s="21"/>
      <c r="B57" s="9" t="str">
        <f>CONCATENATE("          ","6401"," - ","INTEREST EXPENSE")</f>
        <v xml:space="preserve">          6401 - INTEREST EXPENSE</v>
      </c>
      <c r="C57" s="9"/>
      <c r="D57" s="6">
        <v>7253</v>
      </c>
      <c r="E57" s="3"/>
      <c r="F57" s="7">
        <f t="shared" si="8"/>
        <v>0.22107877786993205</v>
      </c>
      <c r="G57" s="3"/>
      <c r="H57" s="6">
        <v>-815.7</v>
      </c>
      <c r="I57" s="3"/>
      <c r="J57" s="7">
        <f t="shared" si="9"/>
        <v>-4.7808078434084689E-2</v>
      </c>
      <c r="K57" s="3"/>
      <c r="L57" s="6">
        <f t="shared" si="10"/>
        <v>8068.7</v>
      </c>
      <c r="M57" s="3"/>
      <c r="N57" s="7">
        <f t="shared" si="11"/>
        <v>-9.8917494176780671</v>
      </c>
      <c r="O57" s="9"/>
      <c r="P57" s="6">
        <v>84898</v>
      </c>
      <c r="Q57" s="3"/>
      <c r="R57" s="7">
        <f t="shared" si="12"/>
        <v>0.10059335720086431</v>
      </c>
      <c r="S57" s="3"/>
      <c r="T57" s="6">
        <v>79764.45</v>
      </c>
      <c r="U57" s="3"/>
      <c r="V57" s="7">
        <f t="shared" si="13"/>
        <v>0.84650331705511384</v>
      </c>
      <c r="W57" s="3"/>
      <c r="X57" s="6">
        <f t="shared" si="14"/>
        <v>5133.5500000000029</v>
      </c>
      <c r="Y57" s="3"/>
      <c r="Z57" s="7">
        <f t="shared" si="15"/>
        <v>6.4358871652722527E-2</v>
      </c>
    </row>
    <row r="58" spans="1:26" s="68" customFormat="1" ht="15" customHeight="1" outlineLevel="1" collapsed="1" x14ac:dyDescent="0.3">
      <c r="A58" s="20"/>
      <c r="B58" s="11" t="str">
        <f>CONCATENATE("     ","Repair and Maintenance                            ")</f>
        <v xml:space="preserve">     Repair and Maintenance                            </v>
      </c>
      <c r="C58" s="11"/>
      <c r="D58" s="2">
        <f>SUM(OSRRefD22_11x_0)</f>
        <v>4821.29</v>
      </c>
      <c r="E58" s="2"/>
      <c r="F58" s="5">
        <f t="shared" si="8"/>
        <v>0.14695779690562866</v>
      </c>
      <c r="G58" s="2"/>
      <c r="H58" s="2">
        <f>SUM(OSRRefH22_11x_0)</f>
        <v>1964.36</v>
      </c>
      <c r="I58" s="2"/>
      <c r="J58" s="5">
        <f t="shared" si="9"/>
        <v>0.11513090223461885</v>
      </c>
      <c r="K58" s="2"/>
      <c r="L58" s="2">
        <f t="shared" si="10"/>
        <v>2856.9300000000003</v>
      </c>
      <c r="M58" s="2"/>
      <c r="N58" s="5">
        <f t="shared" si="11"/>
        <v>1.4543820888228229</v>
      </c>
      <c r="O58" s="11"/>
      <c r="P58" s="2">
        <f>SUM(OSRRefP22_11x_0)</f>
        <v>40112.019999999997</v>
      </c>
      <c r="Q58" s="2"/>
      <c r="R58" s="5">
        <f t="shared" si="12"/>
        <v>4.7527653842354502E-2</v>
      </c>
      <c r="S58" s="2"/>
      <c r="T58" s="2">
        <f>SUM(OSRRefT22_11x_0)</f>
        <v>26743.119999999999</v>
      </c>
      <c r="U58" s="2"/>
      <c r="V58" s="5">
        <f t="shared" si="13"/>
        <v>0.28381239748287557</v>
      </c>
      <c r="W58" s="2"/>
      <c r="X58" s="2">
        <f t="shared" si="14"/>
        <v>13368.899999999998</v>
      </c>
      <c r="Y58" s="2"/>
      <c r="Z58" s="5">
        <f t="shared" si="15"/>
        <v>0.49990053516567995</v>
      </c>
    </row>
    <row r="59" spans="1:26" s="69" customFormat="1" ht="15" hidden="1" customHeight="1" outlineLevel="2" x14ac:dyDescent="0.3">
      <c r="A59" s="21"/>
      <c r="B59" s="9" t="str">
        <f>CONCATENATE("          ","6372"," - ","COMPUTER HARDWARE MAINTENANCE")</f>
        <v xml:space="preserve">          6372 - COMPUTER HARDWARE MAINTENANCE</v>
      </c>
      <c r="C59" s="9"/>
      <c r="D59" s="6"/>
      <c r="E59" s="3"/>
      <c r="F59" s="7">
        <f t="shared" si="8"/>
        <v>0</v>
      </c>
      <c r="G59" s="3"/>
      <c r="H59" s="6">
        <v>10.039999999999999</v>
      </c>
      <c r="I59" s="3"/>
      <c r="J59" s="7">
        <f t="shared" si="9"/>
        <v>5.8844318680668169E-4</v>
      </c>
      <c r="K59" s="3"/>
      <c r="L59" s="6">
        <f t="shared" si="10"/>
        <v>-10.039999999999999</v>
      </c>
      <c r="M59" s="3"/>
      <c r="N59" s="7">
        <f t="shared" si="11"/>
        <v>-1</v>
      </c>
      <c r="O59" s="9"/>
      <c r="P59" s="6"/>
      <c r="Q59" s="3"/>
      <c r="R59" s="7">
        <f t="shared" si="12"/>
        <v>0</v>
      </c>
      <c r="S59" s="3"/>
      <c r="T59" s="6">
        <v>10.039999999999999</v>
      </c>
      <c r="U59" s="3"/>
      <c r="V59" s="7">
        <f t="shared" si="13"/>
        <v>1.0654988912019506E-4</v>
      </c>
      <c r="W59" s="3"/>
      <c r="X59" s="6">
        <f t="shared" si="14"/>
        <v>-10.039999999999999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1"/>
      <c r="B60" s="9" t="str">
        <f>CONCATENATE("          ","6373"," - ","MAINTENANCE CONTRACTS")</f>
        <v xml:space="preserve">          6373 - MAINTENANCE CONTRACTS</v>
      </c>
      <c r="C60" s="9"/>
      <c r="D60" s="6">
        <v>4442.6499999999996</v>
      </c>
      <c r="E60" s="3"/>
      <c r="F60" s="7">
        <f t="shared" si="8"/>
        <v>0.13541646663502738</v>
      </c>
      <c r="G60" s="3"/>
      <c r="H60" s="6">
        <v>107.78</v>
      </c>
      <c r="I60" s="3"/>
      <c r="J60" s="7">
        <f t="shared" si="9"/>
        <v>6.3169727762972267E-3</v>
      </c>
      <c r="K60" s="3"/>
      <c r="L60" s="6">
        <f t="shared" si="10"/>
        <v>4334.87</v>
      </c>
      <c r="M60" s="3"/>
      <c r="N60" s="7">
        <f t="shared" si="11"/>
        <v>40.219614028576729</v>
      </c>
      <c r="O60" s="9"/>
      <c r="P60" s="6">
        <v>11496.49</v>
      </c>
      <c r="Q60" s="3"/>
      <c r="R60" s="7">
        <f t="shared" si="12"/>
        <v>1.3621881847937107E-2</v>
      </c>
      <c r="S60" s="3"/>
      <c r="T60" s="6">
        <v>7575.64</v>
      </c>
      <c r="U60" s="3"/>
      <c r="V60" s="7">
        <f t="shared" si="13"/>
        <v>8.0396773109015399E-2</v>
      </c>
      <c r="W60" s="3"/>
      <c r="X60" s="6">
        <f t="shared" si="14"/>
        <v>3920.8499999999995</v>
      </c>
      <c r="Y60" s="3"/>
      <c r="Z60" s="7">
        <f t="shared" si="15"/>
        <v>0.51756023253480887</v>
      </c>
    </row>
    <row r="61" spans="1:26" s="69" customFormat="1" ht="15" hidden="1" customHeight="1" outlineLevel="2" x14ac:dyDescent="0.3">
      <c r="A61" s="21"/>
      <c r="B61" s="9" t="str">
        <f>CONCATENATE("          ","6375"," - ","OUTSIDE REPAIRS &amp; MAINTENANCE")</f>
        <v xml:space="preserve">          6375 - OUTSIDE REPAIRS &amp; MAINTENANCE</v>
      </c>
      <c r="C61" s="9"/>
      <c r="D61" s="6">
        <v>378.64</v>
      </c>
      <c r="E61" s="3"/>
      <c r="F61" s="7">
        <f t="shared" si="8"/>
        <v>1.1541330270601278E-2</v>
      </c>
      <c r="G61" s="3"/>
      <c r="H61" s="6">
        <v>1846.54</v>
      </c>
      <c r="I61" s="3"/>
      <c r="J61" s="7">
        <f t="shared" si="9"/>
        <v>0.10822548627151495</v>
      </c>
      <c r="K61" s="3"/>
      <c r="L61" s="6">
        <f t="shared" si="10"/>
        <v>-1467.9</v>
      </c>
      <c r="M61" s="3"/>
      <c r="N61" s="7">
        <f t="shared" si="11"/>
        <v>-0.79494622374819945</v>
      </c>
      <c r="O61" s="9"/>
      <c r="P61" s="6">
        <v>28615.53</v>
      </c>
      <c r="Q61" s="3"/>
      <c r="R61" s="7">
        <f t="shared" si="12"/>
        <v>3.3905771994417397E-2</v>
      </c>
      <c r="S61" s="3"/>
      <c r="T61" s="6">
        <v>19157.439999999999</v>
      </c>
      <c r="U61" s="3"/>
      <c r="V61" s="7">
        <f t="shared" si="13"/>
        <v>0.20330907448474</v>
      </c>
      <c r="W61" s="3"/>
      <c r="X61" s="6">
        <f t="shared" si="14"/>
        <v>9458.09</v>
      </c>
      <c r="Y61" s="3"/>
      <c r="Z61" s="7">
        <f t="shared" si="15"/>
        <v>0.49370322965907765</v>
      </c>
    </row>
    <row r="62" spans="1:26" s="68" customFormat="1" ht="15" customHeight="1" outlineLevel="1" collapsed="1" x14ac:dyDescent="0.3">
      <c r="A62" s="20"/>
      <c r="B62" s="11" t="str">
        <f>CONCATENATE("     ","Services                                          ")</f>
        <v xml:space="preserve">     Services                                          </v>
      </c>
      <c r="C62" s="11"/>
      <c r="D62" s="2">
        <f>SUM(OSRRefD22_12x_0)</f>
        <v>9038.15</v>
      </c>
      <c r="E62" s="2"/>
      <c r="F62" s="5">
        <f t="shared" si="8"/>
        <v>0.27549195590860698</v>
      </c>
      <c r="G62" s="2"/>
      <c r="H62" s="2">
        <f>SUM(OSRRefH22_12x_0)</f>
        <v>3227.48</v>
      </c>
      <c r="I62" s="2"/>
      <c r="J62" s="5">
        <f t="shared" si="9"/>
        <v>0.18916221280426584</v>
      </c>
      <c r="K62" s="2"/>
      <c r="L62" s="2">
        <f t="shared" si="10"/>
        <v>5810.67</v>
      </c>
      <c r="M62" s="2"/>
      <c r="N62" s="5">
        <f t="shared" si="11"/>
        <v>1.8003736661420056</v>
      </c>
      <c r="O62" s="11"/>
      <c r="P62" s="2">
        <f>SUM(OSRRefP22_12x_0)</f>
        <v>63737.31</v>
      </c>
      <c r="Q62" s="2"/>
      <c r="R62" s="5">
        <f t="shared" si="12"/>
        <v>7.5520624653728233E-2</v>
      </c>
      <c r="S62" s="2"/>
      <c r="T62" s="2">
        <f>SUM(OSRRefT22_12x_0)</f>
        <v>34018.85</v>
      </c>
      <c r="U62" s="2"/>
      <c r="V62" s="5">
        <f t="shared" si="13"/>
        <v>0.36102636409328165</v>
      </c>
      <c r="W62" s="2"/>
      <c r="X62" s="2">
        <f t="shared" si="14"/>
        <v>29718.46</v>
      </c>
      <c r="Y62" s="2"/>
      <c r="Z62" s="5">
        <f t="shared" si="15"/>
        <v>0.87358802546235392</v>
      </c>
    </row>
    <row r="63" spans="1:26" s="69" customFormat="1" ht="15" hidden="1" customHeight="1" outlineLevel="2" x14ac:dyDescent="0.3">
      <c r="A63" s="21"/>
      <c r="B63" s="9" t="str">
        <f>CONCATENATE("          ","6282"," - ","JANITORIAL/EXTERMINATOR EXPENS")</f>
        <v xml:space="preserve">          6282 - JANITORIAL/EXTERMINATOR EXPENS</v>
      </c>
      <c r="C63" s="9"/>
      <c r="D63" s="6">
        <v>773.5</v>
      </c>
      <c r="E63" s="3"/>
      <c r="F63" s="7">
        <f t="shared" si="8"/>
        <v>2.3577062550998545E-2</v>
      </c>
      <c r="G63" s="3"/>
      <c r="H63" s="6">
        <v>703.1</v>
      </c>
      <c r="I63" s="3"/>
      <c r="J63" s="7">
        <f t="shared" si="9"/>
        <v>4.1208606040216929E-2</v>
      </c>
      <c r="K63" s="3"/>
      <c r="L63" s="6">
        <f t="shared" si="10"/>
        <v>70.399999999999977</v>
      </c>
      <c r="M63" s="3"/>
      <c r="N63" s="7">
        <f t="shared" si="11"/>
        <v>0.1001280045512729</v>
      </c>
      <c r="O63" s="9"/>
      <c r="P63" s="6">
        <v>4359.3999999999996</v>
      </c>
      <c r="Q63" s="3"/>
      <c r="R63" s="7">
        <f t="shared" si="12"/>
        <v>5.1653358310142497E-3</v>
      </c>
      <c r="S63" s="3"/>
      <c r="T63" s="6">
        <v>4851.7299999999996</v>
      </c>
      <c r="U63" s="3"/>
      <c r="V63" s="7">
        <f t="shared" si="13"/>
        <v>5.1489172663458559E-2</v>
      </c>
      <c r="W63" s="3"/>
      <c r="X63" s="6">
        <f t="shared" si="14"/>
        <v>-492.32999999999993</v>
      </c>
      <c r="Y63" s="3"/>
      <c r="Z63" s="7">
        <f t="shared" si="15"/>
        <v>-0.10147514391773656</v>
      </c>
    </row>
    <row r="64" spans="1:26" s="69" customFormat="1" ht="15" hidden="1" customHeight="1" outlineLevel="2" x14ac:dyDescent="0.3">
      <c r="A64" s="21"/>
      <c r="B64" s="9" t="str">
        <f>CONCATENATE("          ","6284"," - ","TRASH REMOVAL EXPENSE")</f>
        <v xml:space="preserve">          6284 - TRASH REMOVAL EXPENSE</v>
      </c>
      <c r="C64" s="9"/>
      <c r="D64" s="6"/>
      <c r="E64" s="3"/>
      <c r="F64" s="7">
        <f t="shared" si="8"/>
        <v>0</v>
      </c>
      <c r="G64" s="3"/>
      <c r="H64" s="6">
        <v>-980</v>
      </c>
      <c r="I64" s="3"/>
      <c r="J64" s="7">
        <f t="shared" si="9"/>
        <v>-5.7437681580731884E-2</v>
      </c>
      <c r="K64" s="3"/>
      <c r="L64" s="6">
        <f t="shared" si="10"/>
        <v>980</v>
      </c>
      <c r="M64" s="3"/>
      <c r="N64" s="7">
        <f t="shared" si="11"/>
        <v>-1</v>
      </c>
      <c r="O64" s="9"/>
      <c r="P64" s="6"/>
      <c r="Q64" s="3"/>
      <c r="R64" s="7">
        <f t="shared" si="12"/>
        <v>0</v>
      </c>
      <c r="S64" s="3"/>
      <c r="T64" s="6">
        <v>3844</v>
      </c>
      <c r="U64" s="3"/>
      <c r="V64" s="7">
        <f t="shared" si="13"/>
        <v>4.0794598981875478E-2</v>
      </c>
      <c r="W64" s="3"/>
      <c r="X64" s="6">
        <f t="shared" si="14"/>
        <v>-3844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1"/>
      <c r="B65" s="9" t="str">
        <f>CONCATENATE("          ","6285"," - ","JANITORIAL SERVICES")</f>
        <v xml:space="preserve">          6285 - JANITORIAL SERVICES</v>
      </c>
      <c r="C65" s="9"/>
      <c r="D65" s="6">
        <v>7863.92</v>
      </c>
      <c r="E65" s="3"/>
      <c r="F65" s="7">
        <f t="shared" si="8"/>
        <v>0.23970023753852421</v>
      </c>
      <c r="G65" s="3"/>
      <c r="H65" s="6">
        <v>3385.52</v>
      </c>
      <c r="I65" s="3"/>
      <c r="J65" s="7">
        <f t="shared" si="9"/>
        <v>0.19842491810734633</v>
      </c>
      <c r="K65" s="3"/>
      <c r="L65" s="6">
        <f t="shared" si="10"/>
        <v>4478.3999999999996</v>
      </c>
      <c r="M65" s="3"/>
      <c r="N65" s="7">
        <f t="shared" si="11"/>
        <v>1.3228100853044731</v>
      </c>
      <c r="O65" s="9"/>
      <c r="P65" s="6">
        <v>55564.5</v>
      </c>
      <c r="Q65" s="3"/>
      <c r="R65" s="7">
        <f t="shared" si="12"/>
        <v>6.5836881860437513E-2</v>
      </c>
      <c r="S65" s="3"/>
      <c r="T65" s="6">
        <v>24620.13</v>
      </c>
      <c r="U65" s="3"/>
      <c r="V65" s="7">
        <f t="shared" si="13"/>
        <v>0.26128208382717016</v>
      </c>
      <c r="W65" s="3"/>
      <c r="X65" s="6">
        <f t="shared" si="14"/>
        <v>30944.37</v>
      </c>
      <c r="Y65" s="3"/>
      <c r="Z65" s="7">
        <f t="shared" si="15"/>
        <v>1.2568727297540669</v>
      </c>
    </row>
    <row r="66" spans="1:26" s="69" customFormat="1" ht="15" hidden="1" customHeight="1" outlineLevel="2" x14ac:dyDescent="0.3">
      <c r="A66" s="21"/>
      <c r="B66" s="9" t="str">
        <f>CONCATENATE("          ","6286"," - ","LAUNDRY EXPENSE")</f>
        <v xml:space="preserve">          6286 - LAUNDRY EXPENSE</v>
      </c>
      <c r="C66" s="9"/>
      <c r="D66" s="6">
        <v>400.73</v>
      </c>
      <c r="E66" s="3"/>
      <c r="F66" s="7">
        <f t="shared" si="8"/>
        <v>1.2214655819084224E-2</v>
      </c>
      <c r="G66" s="3"/>
      <c r="H66" s="6">
        <v>118.86</v>
      </c>
      <c r="I66" s="3"/>
      <c r="J66" s="7">
        <f t="shared" si="9"/>
        <v>6.9663702374344813E-3</v>
      </c>
      <c r="K66" s="3"/>
      <c r="L66" s="6">
        <f t="shared" si="10"/>
        <v>281.87</v>
      </c>
      <c r="M66" s="3"/>
      <c r="N66" s="7">
        <f t="shared" si="11"/>
        <v>2.3714453979471646</v>
      </c>
      <c r="O66" s="9"/>
      <c r="P66" s="6">
        <v>3813.41</v>
      </c>
      <c r="Q66" s="3"/>
      <c r="R66" s="7">
        <f t="shared" si="12"/>
        <v>4.518406962276472E-3</v>
      </c>
      <c r="S66" s="3"/>
      <c r="T66" s="6">
        <v>702.99</v>
      </c>
      <c r="U66" s="3"/>
      <c r="V66" s="7">
        <f t="shared" si="13"/>
        <v>7.4605086207774826E-3</v>
      </c>
      <c r="W66" s="3"/>
      <c r="X66" s="6">
        <f t="shared" si="14"/>
        <v>3110.42</v>
      </c>
      <c r="Y66" s="3"/>
      <c r="Z66" s="7">
        <f t="shared" si="15"/>
        <v>4.4245579595726827</v>
      </c>
    </row>
    <row r="67" spans="1:26" s="68" customFormat="1" ht="15" customHeight="1" outlineLevel="1" collapsed="1" x14ac:dyDescent="0.3">
      <c r="A67" s="20"/>
      <c r="B67" s="11" t="str">
        <f>CONCATENATE("     ","Subscriptions &amp; Dues                              ")</f>
        <v xml:space="preserve">     Subscriptions &amp; Dues                              </v>
      </c>
      <c r="C67" s="11"/>
      <c r="D67" s="2">
        <f>SUM(OSRRefD22_13x_0)</f>
        <v>327.64</v>
      </c>
      <c r="E67" s="2"/>
      <c r="F67" s="5">
        <f t="shared" si="8"/>
        <v>9.9867986738321427E-3</v>
      </c>
      <c r="G67" s="2"/>
      <c r="H67" s="2">
        <f>SUM(OSRRefH22_13x_0)</f>
        <v>130.66999999999999</v>
      </c>
      <c r="I67" s="2"/>
      <c r="J67" s="5">
        <f t="shared" si="9"/>
        <v>7.6585529103614632E-3</v>
      </c>
      <c r="K67" s="2"/>
      <c r="L67" s="2">
        <f t="shared" si="10"/>
        <v>196.97</v>
      </c>
      <c r="M67" s="2"/>
      <c r="N67" s="5">
        <f t="shared" si="11"/>
        <v>1.5073850156883755</v>
      </c>
      <c r="O67" s="11"/>
      <c r="P67" s="2">
        <f>SUM(OSRRefP22_13x_0)</f>
        <v>4352.95</v>
      </c>
      <c r="Q67" s="2"/>
      <c r="R67" s="5">
        <f t="shared" si="12"/>
        <v>5.1576933994617333E-3</v>
      </c>
      <c r="S67" s="2"/>
      <c r="T67" s="2">
        <f>SUM(OSRRefT22_13x_0)</f>
        <v>1059.8499999999999</v>
      </c>
      <c r="U67" s="2"/>
      <c r="V67" s="5">
        <f t="shared" si="13"/>
        <v>1.1247699201597483E-2</v>
      </c>
      <c r="W67" s="2"/>
      <c r="X67" s="2">
        <f t="shared" si="14"/>
        <v>3293.1</v>
      </c>
      <c r="Y67" s="2"/>
      <c r="Z67" s="5">
        <f t="shared" si="15"/>
        <v>3.1071378025192247</v>
      </c>
    </row>
    <row r="68" spans="1:26" s="69" customFormat="1" ht="15" hidden="1" customHeight="1" outlineLevel="2" x14ac:dyDescent="0.3">
      <c r="A68" s="21"/>
      <c r="B68" s="9" t="str">
        <f>CONCATENATE("          ","6275"," - ","SUBSCRIPTIONS")</f>
        <v xml:space="preserve">          6275 - SUBSCRIPTIONS</v>
      </c>
      <c r="C68" s="9"/>
      <c r="D68" s="6">
        <v>327.64</v>
      </c>
      <c r="E68" s="3"/>
      <c r="F68" s="7">
        <f t="shared" si="8"/>
        <v>9.9867986738321427E-3</v>
      </c>
      <c r="G68" s="3"/>
      <c r="H68" s="6">
        <v>130.66999999999999</v>
      </c>
      <c r="I68" s="3"/>
      <c r="J68" s="7">
        <f t="shared" si="9"/>
        <v>7.6585529103614632E-3</v>
      </c>
      <c r="K68" s="3"/>
      <c r="L68" s="6">
        <f t="shared" si="10"/>
        <v>196.97</v>
      </c>
      <c r="M68" s="3"/>
      <c r="N68" s="7">
        <f t="shared" si="11"/>
        <v>1.5073850156883755</v>
      </c>
      <c r="O68" s="9"/>
      <c r="P68" s="6">
        <v>4352.95</v>
      </c>
      <c r="Q68" s="3"/>
      <c r="R68" s="7">
        <f t="shared" si="12"/>
        <v>5.1576933994617333E-3</v>
      </c>
      <c r="S68" s="3"/>
      <c r="T68" s="6">
        <v>1059.8499999999999</v>
      </c>
      <c r="U68" s="3"/>
      <c r="V68" s="7">
        <f t="shared" si="13"/>
        <v>1.1247699201597483E-2</v>
      </c>
      <c r="W68" s="3"/>
      <c r="X68" s="6">
        <f t="shared" si="14"/>
        <v>3293.1</v>
      </c>
      <c r="Y68" s="3"/>
      <c r="Z68" s="7">
        <f t="shared" si="15"/>
        <v>3.1071378025192247</v>
      </c>
    </row>
    <row r="69" spans="1:26" s="68" customFormat="1" ht="15" customHeight="1" outlineLevel="1" collapsed="1" x14ac:dyDescent="0.3">
      <c r="A69" s="20"/>
      <c r="B69" s="11" t="str">
        <f>CONCATENATE("     ","Supplies                                          ")</f>
        <v xml:space="preserve">     Supplies                                          </v>
      </c>
      <c r="C69" s="11"/>
      <c r="D69" s="2">
        <f>SUM(OSRRefD22_14x_0)</f>
        <v>1332.07</v>
      </c>
      <c r="E69" s="2"/>
      <c r="F69" s="5">
        <f t="shared" si="8"/>
        <v>4.0602841257024729E-2</v>
      </c>
      <c r="G69" s="2"/>
      <c r="H69" s="2">
        <f>SUM(OSRRefH22_14x_0)</f>
        <v>1860.8400000000001</v>
      </c>
      <c r="I69" s="2"/>
      <c r="J69" s="5">
        <f t="shared" si="9"/>
        <v>0.10906360754356033</v>
      </c>
      <c r="K69" s="2"/>
      <c r="L69" s="2">
        <f t="shared" si="10"/>
        <v>-528.77000000000021</v>
      </c>
      <c r="M69" s="2"/>
      <c r="N69" s="5">
        <f t="shared" si="11"/>
        <v>-0.2841566174415856</v>
      </c>
      <c r="O69" s="11"/>
      <c r="P69" s="2">
        <f>SUM(OSRRefP22_14x_0)</f>
        <v>19447.039999999997</v>
      </c>
      <c r="Q69" s="2"/>
      <c r="R69" s="5">
        <f t="shared" si="12"/>
        <v>2.3042274744039859E-2</v>
      </c>
      <c r="S69" s="2"/>
      <c r="T69" s="2">
        <f>SUM(OSRRefT22_14x_0)</f>
        <v>10236.07</v>
      </c>
      <c r="U69" s="2"/>
      <c r="V69" s="5">
        <f t="shared" si="13"/>
        <v>0.10863068959427839</v>
      </c>
      <c r="W69" s="2"/>
      <c r="X69" s="2">
        <f t="shared" si="14"/>
        <v>9210.9699999999975</v>
      </c>
      <c r="Y69" s="2"/>
      <c r="Z69" s="5">
        <f t="shared" si="15"/>
        <v>0.89985414324052082</v>
      </c>
    </row>
    <row r="70" spans="1:26" s="69" customFormat="1" ht="15" hidden="1" customHeight="1" outlineLevel="2" x14ac:dyDescent="0.3">
      <c r="A70" s="21"/>
      <c r="B70" s="9" t="str">
        <f>CONCATENATE("          ","6234"," - ","EXPENDABLE SUPPLIES &amp; EQUIPMEN")</f>
        <v xml:space="preserve">          6234 - EXPENDABLE SUPPLIES &amp; EQUIPMEN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57.77</v>
      </c>
      <c r="Q70" s="3"/>
      <c r="R70" s="7">
        <f t="shared" si="12"/>
        <v>6.845011950215471E-5</v>
      </c>
      <c r="S70" s="3"/>
      <c r="T70" s="6">
        <v>337.16</v>
      </c>
      <c r="U70" s="3"/>
      <c r="V70" s="7">
        <f t="shared" si="13"/>
        <v>3.5781235673072679E-3</v>
      </c>
      <c r="W70" s="3"/>
      <c r="X70" s="6">
        <f t="shared" si="14"/>
        <v>-279.39000000000004</v>
      </c>
      <c r="Y70" s="3"/>
      <c r="Z70" s="7">
        <f t="shared" si="15"/>
        <v>-0.82865701743979125</v>
      </c>
    </row>
    <row r="71" spans="1:26" s="69" customFormat="1" ht="15" hidden="1" customHeight="1" outlineLevel="2" x14ac:dyDescent="0.3">
      <c r="A71" s="21"/>
      <c r="B71" s="9" t="str">
        <f>CONCATENATE("          ","6235"," - ","COVID-19 EXPENSES")</f>
        <v xml:space="preserve">          6235 - COVID-19 EXPENSES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35.72</v>
      </c>
      <c r="Q71" s="3"/>
      <c r="R71" s="7">
        <f t="shared" si="12"/>
        <v>4.2323667450527371E-5</v>
      </c>
      <c r="S71" s="3"/>
      <c r="T71" s="6">
        <v>6819.42</v>
      </c>
      <c r="U71" s="3"/>
      <c r="V71" s="7">
        <f t="shared" si="13"/>
        <v>7.2371359050203254E-2</v>
      </c>
      <c r="W71" s="3"/>
      <c r="X71" s="6">
        <f t="shared" si="14"/>
        <v>-6783.7</v>
      </c>
      <c r="Y71" s="3"/>
      <c r="Z71" s="7">
        <f t="shared" si="15"/>
        <v>-0.99476201788421881</v>
      </c>
    </row>
    <row r="72" spans="1:26" s="69" customFormat="1" ht="15" hidden="1" customHeight="1" outlineLevel="2" x14ac:dyDescent="0.3">
      <c r="A72" s="21"/>
      <c r="B72" s="9" t="str">
        <f>CONCATENATE("          ","6237"," - ","JANITORIAL SUPPLIES")</f>
        <v xml:space="preserve">          6237 - JANITORIAL SUPPLIES</v>
      </c>
      <c r="C72" s="9"/>
      <c r="D72" s="6">
        <v>721.05</v>
      </c>
      <c r="E72" s="3"/>
      <c r="F72" s="7">
        <f t="shared" si="8"/>
        <v>2.1978333487262441E-2</v>
      </c>
      <c r="G72" s="3"/>
      <c r="H72" s="6">
        <v>363.7</v>
      </c>
      <c r="I72" s="3"/>
      <c r="J72" s="7">
        <f t="shared" si="9"/>
        <v>2.131641305195121E-2</v>
      </c>
      <c r="K72" s="3"/>
      <c r="L72" s="6">
        <f t="shared" si="10"/>
        <v>357.34999999999997</v>
      </c>
      <c r="M72" s="3"/>
      <c r="N72" s="7">
        <f t="shared" si="11"/>
        <v>0.98254055540280449</v>
      </c>
      <c r="O72" s="9"/>
      <c r="P72" s="6">
        <v>8659.9</v>
      </c>
      <c r="Q72" s="3"/>
      <c r="R72" s="7">
        <f t="shared" si="12"/>
        <v>1.0260882635913269E-2</v>
      </c>
      <c r="S72" s="3"/>
      <c r="T72" s="6">
        <v>650.61</v>
      </c>
      <c r="U72" s="3"/>
      <c r="V72" s="7">
        <f t="shared" si="13"/>
        <v>6.9046238406862658E-3</v>
      </c>
      <c r="W72" s="3"/>
      <c r="X72" s="6">
        <f t="shared" si="14"/>
        <v>8009.29</v>
      </c>
      <c r="Y72" s="3"/>
      <c r="Z72" s="7">
        <f t="shared" si="15"/>
        <v>12.310431748666636</v>
      </c>
    </row>
    <row r="73" spans="1:26" s="69" customFormat="1" ht="15" hidden="1" customHeight="1" outlineLevel="2" x14ac:dyDescent="0.3">
      <c r="A73" s="21"/>
      <c r="B73" s="9" t="str">
        <f>CONCATENATE("          ","6239"," - ","KITCHEN SUPPLIES")</f>
        <v xml:space="preserve">          6239 - KITCHEN SUPPLIES</v>
      </c>
      <c r="C73" s="9"/>
      <c r="D73" s="6">
        <v>180.11</v>
      </c>
      <c r="E73" s="3"/>
      <c r="F73" s="7">
        <f t="shared" si="8"/>
        <v>5.489935017531155E-3</v>
      </c>
      <c r="G73" s="3"/>
      <c r="H73" s="6">
        <v>1497.14</v>
      </c>
      <c r="I73" s="3"/>
      <c r="J73" s="7">
        <f t="shared" si="9"/>
        <v>8.7747194491609115E-2</v>
      </c>
      <c r="K73" s="3"/>
      <c r="L73" s="6">
        <f t="shared" si="10"/>
        <v>-1317.0300000000002</v>
      </c>
      <c r="M73" s="3"/>
      <c r="N73" s="7">
        <f t="shared" si="11"/>
        <v>-0.87969728949864412</v>
      </c>
      <c r="O73" s="9"/>
      <c r="P73" s="6">
        <v>3732.76</v>
      </c>
      <c r="Q73" s="3"/>
      <c r="R73" s="7">
        <f t="shared" si="12"/>
        <v>4.422846946042289E-3</v>
      </c>
      <c r="S73" s="3"/>
      <c r="T73" s="6">
        <v>1516.97</v>
      </c>
      <c r="U73" s="3"/>
      <c r="V73" s="7">
        <f t="shared" si="13"/>
        <v>1.6098902918193457E-2</v>
      </c>
      <c r="W73" s="3"/>
      <c r="X73" s="6">
        <f t="shared" si="14"/>
        <v>2215.79</v>
      </c>
      <c r="Y73" s="3"/>
      <c r="Z73" s="7">
        <f t="shared" si="15"/>
        <v>1.4606683058992596</v>
      </c>
    </row>
    <row r="74" spans="1:26" s="69" customFormat="1" ht="15" hidden="1" customHeight="1" outlineLevel="2" x14ac:dyDescent="0.3">
      <c r="A74" s="21"/>
      <c r="B74" s="9" t="str">
        <f>CONCATENATE("          ","6241"," - ","OFFICE EXPENSE")</f>
        <v xml:space="preserve">          6241 - OFFICE EXPENSE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3780.79</v>
      </c>
      <c r="Q74" s="3"/>
      <c r="R74" s="7">
        <f t="shared" si="12"/>
        <v>4.4797564014635886E-3</v>
      </c>
      <c r="S74" s="3"/>
      <c r="T74" s="6">
        <v>656.58</v>
      </c>
      <c r="U74" s="3"/>
      <c r="V74" s="7">
        <f t="shared" si="13"/>
        <v>6.9679806970655055E-3</v>
      </c>
      <c r="W74" s="3"/>
      <c r="X74" s="6">
        <f t="shared" si="14"/>
        <v>3124.21</v>
      </c>
      <c r="Y74" s="3"/>
      <c r="Z74" s="7">
        <f t="shared" si="15"/>
        <v>4.758308203113101</v>
      </c>
    </row>
    <row r="75" spans="1:26" s="69" customFormat="1" ht="15" hidden="1" customHeight="1" outlineLevel="2" x14ac:dyDescent="0.3">
      <c r="A75" s="21"/>
      <c r="B75" s="9" t="str">
        <f>CONCATENATE("          ","6243"," - ","PAPER SUPPLIES")</f>
        <v xml:space="preserve">          6243 - PAPER SUPPLIES</v>
      </c>
      <c r="C75" s="9"/>
      <c r="D75" s="6">
        <v>430.91</v>
      </c>
      <c r="E75" s="3"/>
      <c r="F75" s="7">
        <f t="shared" si="8"/>
        <v>1.3134572752231136E-2</v>
      </c>
      <c r="G75" s="3"/>
      <c r="H75" s="6"/>
      <c r="I75" s="3"/>
      <c r="J75" s="7">
        <f t="shared" si="9"/>
        <v>0</v>
      </c>
      <c r="K75" s="3"/>
      <c r="L75" s="6">
        <f t="shared" si="10"/>
        <v>430.91</v>
      </c>
      <c r="M75" s="3"/>
      <c r="N75" s="7">
        <f t="shared" si="11"/>
        <v>0</v>
      </c>
      <c r="O75" s="9"/>
      <c r="P75" s="6">
        <v>3147.1</v>
      </c>
      <c r="Q75" s="3"/>
      <c r="R75" s="7">
        <f t="shared" si="12"/>
        <v>3.7289141610737596E-3</v>
      </c>
      <c r="S75" s="3"/>
      <c r="T75" s="6">
        <v>255.33</v>
      </c>
      <c r="U75" s="3"/>
      <c r="V75" s="7">
        <f t="shared" si="13"/>
        <v>2.7096995208226501E-3</v>
      </c>
      <c r="W75" s="3"/>
      <c r="X75" s="6">
        <f t="shared" si="14"/>
        <v>2891.77</v>
      </c>
      <c r="Y75" s="3"/>
      <c r="Z75" s="7">
        <f t="shared" si="15"/>
        <v>11.32561782790898</v>
      </c>
    </row>
    <row r="76" spans="1:26" s="69" customFormat="1" ht="15" hidden="1" customHeight="1" outlineLevel="2" x14ac:dyDescent="0.3">
      <c r="A76" s="21"/>
      <c r="B76" s="9" t="str">
        <f>CONCATENATE("          ","6247"," - ","STORE SUPPLIES")</f>
        <v xml:space="preserve">          6247 - STORE SUPPLIES</v>
      </c>
      <c r="C76" s="9"/>
      <c r="D76" s="6"/>
      <c r="E76" s="3"/>
      <c r="F76" s="7">
        <f t="shared" si="8"/>
        <v>0</v>
      </c>
      <c r="G76" s="3"/>
      <c r="H76" s="6"/>
      <c r="I76" s="3"/>
      <c r="J76" s="7">
        <f t="shared" si="9"/>
        <v>0</v>
      </c>
      <c r="K76" s="3"/>
      <c r="L76" s="6">
        <f t="shared" si="10"/>
        <v>0</v>
      </c>
      <c r="M76" s="3"/>
      <c r="N76" s="7">
        <f t="shared" si="11"/>
        <v>0</v>
      </c>
      <c r="O76" s="9"/>
      <c r="P76" s="6">
        <v>33</v>
      </c>
      <c r="Q76" s="3"/>
      <c r="R76" s="7">
        <f t="shared" si="12"/>
        <v>3.9100812594272207E-5</v>
      </c>
      <c r="S76" s="3"/>
      <c r="T76" s="6"/>
      <c r="U76" s="3"/>
      <c r="V76" s="7">
        <f t="shared" si="13"/>
        <v>0</v>
      </c>
      <c r="W76" s="3"/>
      <c r="X76" s="6">
        <f t="shared" si="14"/>
        <v>33</v>
      </c>
      <c r="Y76" s="3"/>
      <c r="Z76" s="7">
        <f t="shared" si="15"/>
        <v>0</v>
      </c>
    </row>
    <row r="77" spans="1:26" s="68" customFormat="1" ht="15" customHeight="1" outlineLevel="1" collapsed="1" x14ac:dyDescent="0.3">
      <c r="A77" s="20"/>
      <c r="B77" s="11" t="str">
        <f>CONCATENATE("     ","Telephone/Data Lines                              ")</f>
        <v xml:space="preserve">     Telephone/Data Lines                              </v>
      </c>
      <c r="C77" s="11"/>
      <c r="D77" s="2">
        <f>SUM(OSRRefD22_15x_0)</f>
        <v>105.25</v>
      </c>
      <c r="E77" s="2"/>
      <c r="F77" s="5">
        <f t="shared" si="8"/>
        <v>3.2081264815676754E-3</v>
      </c>
      <c r="G77" s="2"/>
      <c r="H77" s="2">
        <f>SUM(OSRRefH22_15x_0)</f>
        <v>532</v>
      </c>
      <c r="I77" s="2"/>
      <c r="J77" s="5">
        <f t="shared" si="9"/>
        <v>3.1180455715254449E-2</v>
      </c>
      <c r="K77" s="2"/>
      <c r="L77" s="2">
        <f t="shared" si="10"/>
        <v>-426.75</v>
      </c>
      <c r="M77" s="2"/>
      <c r="N77" s="5">
        <f t="shared" si="11"/>
        <v>-0.80216165413533835</v>
      </c>
      <c r="O77" s="11"/>
      <c r="P77" s="2">
        <f>SUM(OSRRefP22_15x_0)</f>
        <v>2641.38</v>
      </c>
      <c r="Q77" s="2"/>
      <c r="R77" s="5">
        <f t="shared" si="12"/>
        <v>3.1297001324320827E-3</v>
      </c>
      <c r="S77" s="2"/>
      <c r="T77" s="2">
        <f>SUM(OSRRefT22_15x_0)</f>
        <v>2612</v>
      </c>
      <c r="U77" s="2"/>
      <c r="V77" s="5">
        <f t="shared" si="13"/>
        <v>2.7719951233261902E-2</v>
      </c>
      <c r="W77" s="2"/>
      <c r="X77" s="2">
        <f t="shared" si="14"/>
        <v>29.380000000000109</v>
      </c>
      <c r="Y77" s="2"/>
      <c r="Z77" s="5">
        <f t="shared" si="15"/>
        <v>1.1248085758039858E-2</v>
      </c>
    </row>
    <row r="78" spans="1:26" s="69" customFormat="1" ht="15" hidden="1" customHeight="1" outlineLevel="2" x14ac:dyDescent="0.3">
      <c r="A78" s="21"/>
      <c r="B78" s="9" t="str">
        <f>CONCATENATE("          ","6309"," - ","TELEPHONE")</f>
        <v xml:space="preserve">          6309 - TELEPHONE</v>
      </c>
      <c r="C78" s="9"/>
      <c r="D78" s="6">
        <v>105.25</v>
      </c>
      <c r="E78" s="3"/>
      <c r="F78" s="7">
        <f t="shared" si="8"/>
        <v>3.2081264815676754E-3</v>
      </c>
      <c r="G78" s="3"/>
      <c r="H78" s="6">
        <v>532</v>
      </c>
      <c r="I78" s="3"/>
      <c r="J78" s="7">
        <f t="shared" si="9"/>
        <v>3.1180455715254449E-2</v>
      </c>
      <c r="K78" s="3"/>
      <c r="L78" s="6">
        <f t="shared" si="10"/>
        <v>-426.75</v>
      </c>
      <c r="M78" s="3"/>
      <c r="N78" s="7">
        <f t="shared" si="11"/>
        <v>-0.80216165413533835</v>
      </c>
      <c r="O78" s="9"/>
      <c r="P78" s="6">
        <v>2641.38</v>
      </c>
      <c r="Q78" s="3"/>
      <c r="R78" s="7">
        <f t="shared" si="12"/>
        <v>3.1297001324320827E-3</v>
      </c>
      <c r="S78" s="3"/>
      <c r="T78" s="6">
        <v>2612</v>
      </c>
      <c r="U78" s="3"/>
      <c r="V78" s="7">
        <f t="shared" si="13"/>
        <v>2.7719951233261902E-2</v>
      </c>
      <c r="W78" s="3"/>
      <c r="X78" s="6">
        <f t="shared" si="14"/>
        <v>29.380000000000109</v>
      </c>
      <c r="Y78" s="3"/>
      <c r="Z78" s="7">
        <f t="shared" si="15"/>
        <v>1.1248085758039858E-2</v>
      </c>
    </row>
    <row r="79" spans="1:26" s="68" customFormat="1" ht="15" customHeight="1" outlineLevel="1" collapsed="1" x14ac:dyDescent="0.3">
      <c r="A79" s="20"/>
      <c r="B79" s="11" t="str">
        <f>CONCATENATE("     ","Training                                          ")</f>
        <v xml:space="preserve">     Training                                          </v>
      </c>
      <c r="C79" s="11"/>
      <c r="D79" s="2">
        <f>SUM(OSRRefD22_16x_0)</f>
        <v>14.95</v>
      </c>
      <c r="E79" s="2"/>
      <c r="F79" s="5">
        <f t="shared" si="8"/>
        <v>4.5569112493526595E-4</v>
      </c>
      <c r="G79" s="2"/>
      <c r="H79" s="2">
        <f>SUM(OSRRefH22_16x_0)</f>
        <v>0</v>
      </c>
      <c r="I79" s="2"/>
      <c r="J79" s="5">
        <f t="shared" si="9"/>
        <v>0</v>
      </c>
      <c r="K79" s="2"/>
      <c r="L79" s="2">
        <f t="shared" si="10"/>
        <v>14.95</v>
      </c>
      <c r="M79" s="2"/>
      <c r="N79" s="5">
        <f t="shared" si="11"/>
        <v>0</v>
      </c>
      <c r="O79" s="11"/>
      <c r="P79" s="2">
        <f>SUM(OSRRefP22_16x_0)</f>
        <v>190.9</v>
      </c>
      <c r="Q79" s="2"/>
      <c r="R79" s="5">
        <f t="shared" si="12"/>
        <v>2.2619227649232015E-4</v>
      </c>
      <c r="S79" s="2"/>
      <c r="T79" s="2">
        <f>SUM(OSRRefT22_16x_0)</f>
        <v>400</v>
      </c>
      <c r="U79" s="2"/>
      <c r="V79" s="5">
        <f t="shared" si="13"/>
        <v>4.2450155027966164E-3</v>
      </c>
      <c r="W79" s="2"/>
      <c r="X79" s="2">
        <f t="shared" si="14"/>
        <v>-209.1</v>
      </c>
      <c r="Y79" s="2"/>
      <c r="Z79" s="5">
        <f t="shared" si="15"/>
        <v>-0.52274999999999994</v>
      </c>
    </row>
    <row r="80" spans="1:26" s="69" customFormat="1" ht="15" hidden="1" customHeight="1" outlineLevel="2" x14ac:dyDescent="0.3">
      <c r="A80" s="21"/>
      <c r="B80" s="9" t="str">
        <f>CONCATENATE("          ","6376"," - ","TRAINING")</f>
        <v xml:space="preserve">          6376 - TRAINING</v>
      </c>
      <c r="C80" s="9"/>
      <c r="D80" s="6">
        <v>14.95</v>
      </c>
      <c r="E80" s="3"/>
      <c r="F80" s="7">
        <f t="shared" si="8"/>
        <v>4.5569112493526595E-4</v>
      </c>
      <c r="G80" s="3"/>
      <c r="H80" s="6"/>
      <c r="I80" s="3"/>
      <c r="J80" s="7">
        <f t="shared" si="9"/>
        <v>0</v>
      </c>
      <c r="K80" s="3"/>
      <c r="L80" s="6">
        <f t="shared" si="10"/>
        <v>14.95</v>
      </c>
      <c r="M80" s="3"/>
      <c r="N80" s="7">
        <f t="shared" si="11"/>
        <v>0</v>
      </c>
      <c r="O80" s="9"/>
      <c r="P80" s="6">
        <v>190.9</v>
      </c>
      <c r="Q80" s="3"/>
      <c r="R80" s="7">
        <f t="shared" si="12"/>
        <v>2.2619227649232015E-4</v>
      </c>
      <c r="S80" s="3"/>
      <c r="T80" s="6">
        <v>400</v>
      </c>
      <c r="U80" s="3"/>
      <c r="V80" s="7">
        <f t="shared" si="13"/>
        <v>4.2450155027966164E-3</v>
      </c>
      <c r="W80" s="3"/>
      <c r="X80" s="6">
        <f t="shared" si="14"/>
        <v>-209.1</v>
      </c>
      <c r="Y80" s="3"/>
      <c r="Z80" s="7">
        <f t="shared" si="15"/>
        <v>-0.52274999999999994</v>
      </c>
    </row>
    <row r="81" spans="1:26" s="68" customFormat="1" ht="15" customHeight="1" outlineLevel="1" collapsed="1" x14ac:dyDescent="0.3">
      <c r="A81" s="20"/>
      <c r="B81" s="11" t="str">
        <f>CONCATENATE("     ","Utilities                                         ")</f>
        <v xml:space="preserve">     Utilities                                         </v>
      </c>
      <c r="C81" s="11"/>
      <c r="D81" s="2">
        <f>SUM(OSRRefD22_17x_0)</f>
        <v>4115.88</v>
      </c>
      <c r="E81" s="2"/>
      <c r="F81" s="5">
        <f t="shared" si="8"/>
        <v>0.12545618644137543</v>
      </c>
      <c r="G81" s="2"/>
      <c r="H81" s="2">
        <f>SUM(OSRRefH22_17x_0)</f>
        <v>-1825</v>
      </c>
      <c r="I81" s="2"/>
      <c r="J81" s="5">
        <f t="shared" si="9"/>
        <v>-0.10696302947432212</v>
      </c>
      <c r="K81" s="2"/>
      <c r="L81" s="2">
        <f t="shared" si="10"/>
        <v>5940.88</v>
      </c>
      <c r="M81" s="2"/>
      <c r="N81" s="5">
        <f t="shared" si="11"/>
        <v>-3.2552767123287674</v>
      </c>
      <c r="O81" s="11"/>
      <c r="P81" s="2">
        <f>SUM(OSRRefP22_17x_0)</f>
        <v>31547.64</v>
      </c>
      <c r="Q81" s="2"/>
      <c r="R81" s="5">
        <f t="shared" si="12"/>
        <v>3.7379950285805021E-2</v>
      </c>
      <c r="S81" s="2"/>
      <c r="T81" s="2">
        <f>SUM(OSRRefT22_17x_0)</f>
        <v>11100</v>
      </c>
      <c r="U81" s="2"/>
      <c r="V81" s="5">
        <f t="shared" si="13"/>
        <v>0.1177991802026061</v>
      </c>
      <c r="W81" s="2"/>
      <c r="X81" s="2">
        <f t="shared" si="14"/>
        <v>20447.64</v>
      </c>
      <c r="Y81" s="2"/>
      <c r="Z81" s="5">
        <f t="shared" si="15"/>
        <v>1.8421297297297297</v>
      </c>
    </row>
    <row r="82" spans="1:26" s="69" customFormat="1" ht="15" hidden="1" customHeight="1" outlineLevel="2" x14ac:dyDescent="0.3">
      <c r="A82" s="21"/>
      <c r="B82" s="9" t="str">
        <f>CONCATENATE("          ","6274"," - ","UTILITIES")</f>
        <v xml:space="preserve">          6274 - UTILITIES</v>
      </c>
      <c r="C82" s="9"/>
      <c r="D82" s="6">
        <v>4115.88</v>
      </c>
      <c r="E82" s="3"/>
      <c r="F82" s="7">
        <f t="shared" si="8"/>
        <v>0.12545618644137543</v>
      </c>
      <c r="G82" s="3"/>
      <c r="H82" s="6">
        <v>-1825</v>
      </c>
      <c r="I82" s="3"/>
      <c r="J82" s="7">
        <f t="shared" si="9"/>
        <v>-0.10696302947432212</v>
      </c>
      <c r="K82" s="3"/>
      <c r="L82" s="6">
        <f t="shared" si="10"/>
        <v>5940.88</v>
      </c>
      <c r="M82" s="3"/>
      <c r="N82" s="7">
        <f t="shared" si="11"/>
        <v>-3.2552767123287674</v>
      </c>
      <c r="O82" s="9"/>
      <c r="P82" s="6">
        <v>31547.64</v>
      </c>
      <c r="Q82" s="3"/>
      <c r="R82" s="7">
        <f t="shared" si="12"/>
        <v>3.7379950285805021E-2</v>
      </c>
      <c r="S82" s="3"/>
      <c r="T82" s="6">
        <v>11100</v>
      </c>
      <c r="U82" s="3"/>
      <c r="V82" s="7">
        <f t="shared" si="13"/>
        <v>0.1177991802026061</v>
      </c>
      <c r="W82" s="3"/>
      <c r="X82" s="6">
        <f t="shared" si="14"/>
        <v>20447.64</v>
      </c>
      <c r="Y82" s="3"/>
      <c r="Z82" s="7">
        <f t="shared" si="15"/>
        <v>1.8421297297297297</v>
      </c>
    </row>
    <row r="83" spans="1:26" s="64" customFormat="1" ht="15" customHeight="1" x14ac:dyDescent="0.3">
      <c r="A83" s="37"/>
      <c r="B83" s="37"/>
      <c r="C83" s="37"/>
      <c r="D83" s="2"/>
      <c r="E83" s="2"/>
      <c r="F83" s="5"/>
      <c r="G83" s="2"/>
      <c r="H83" s="2"/>
      <c r="I83" s="2"/>
      <c r="J83" s="5"/>
      <c r="K83" s="2"/>
      <c r="L83" s="2"/>
      <c r="M83" s="2"/>
      <c r="N83" s="5"/>
      <c r="O83" s="37"/>
      <c r="P83" s="2"/>
      <c r="Q83" s="2"/>
      <c r="R83" s="5"/>
      <c r="S83" s="2"/>
      <c r="T83" s="2"/>
      <c r="U83" s="2"/>
      <c r="V83" s="5"/>
      <c r="W83" s="2"/>
      <c r="X83" s="2"/>
      <c r="Y83" s="2"/>
      <c r="Z83" s="5"/>
    </row>
    <row r="84" spans="1:26" s="62" customFormat="1" ht="15" customHeight="1" collapsed="1" x14ac:dyDescent="0.3">
      <c r="A84" s="13"/>
      <c r="B84" s="27" t="s">
        <v>290</v>
      </c>
      <c r="C84" s="13"/>
      <c r="D84" s="8">
        <f>SUM(OSRRefD25x_0)</f>
        <v>13.55</v>
      </c>
      <c r="E84" s="8"/>
      <c r="F84" s="14">
        <f>IF(D$12=0,0,D84/D$12)</f>
        <v>4.1301770855336817E-4</v>
      </c>
      <c r="G84" s="8"/>
      <c r="H84" s="8">
        <f>SUM(OSRRefH25x_0)</f>
        <v>0</v>
      </c>
      <c r="I84" s="8"/>
      <c r="J84" s="14">
        <f>IF(H$12=0,0,H84/H$12)</f>
        <v>0</v>
      </c>
      <c r="K84" s="8"/>
      <c r="L84" s="8">
        <f>+D84-H84</f>
        <v>13.55</v>
      </c>
      <c r="M84" s="8"/>
      <c r="N84" s="14">
        <f>IF(H84=0,0,L84/H84)</f>
        <v>0</v>
      </c>
      <c r="O84" s="13"/>
      <c r="P84" s="8">
        <f>SUM(OSRRefP25x_0)</f>
        <v>19.579999999999998</v>
      </c>
      <c r="Q84" s="8"/>
      <c r="R84" s="14">
        <f>IF(P$12=0,0,P84/P$12)</f>
        <v>2.3199815472601506E-5</v>
      </c>
      <c r="S84" s="8"/>
      <c r="T84" s="8">
        <f>SUM(OSRRefT25x_0)</f>
        <v>0</v>
      </c>
      <c r="U84" s="8"/>
      <c r="V84" s="14">
        <f>IF(T$12=0,0,T84/T$12)</f>
        <v>0</v>
      </c>
      <c r="W84" s="8"/>
      <c r="X84" s="8">
        <f>+P84-T84</f>
        <v>19.579999999999998</v>
      </c>
      <c r="Y84" s="8"/>
      <c r="Z84" s="14">
        <f>IF(T84=0,0,X84/T84)</f>
        <v>0</v>
      </c>
    </row>
    <row r="85" spans="1:26" s="69" customFormat="1" ht="15" hidden="1" customHeight="1" outlineLevel="1" x14ac:dyDescent="0.3">
      <c r="A85" s="47"/>
      <c r="B85" s="9" t="str">
        <f>CONCATENATE("          ","9150"," - ","MISC. INCOME")</f>
        <v xml:space="preserve">          9150 - MISC. INCOME</v>
      </c>
      <c r="C85" s="9"/>
      <c r="D85" s="3">
        <f>--13.55</f>
        <v>13.55</v>
      </c>
      <c r="E85" s="3"/>
      <c r="F85" s="26">
        <f>IF(D$12=0,0,D85/D$12)</f>
        <v>4.1301770855336817E-4</v>
      </c>
      <c r="G85" s="3"/>
      <c r="H85" s="3">
        <f>0</f>
        <v>0</v>
      </c>
      <c r="I85" s="3"/>
      <c r="J85" s="26">
        <f>IF(H$12=0,0,H85/H$12)</f>
        <v>0</v>
      </c>
      <c r="K85" s="3"/>
      <c r="L85" s="3">
        <f>+D85-H85</f>
        <v>13.55</v>
      </c>
      <c r="M85" s="3"/>
      <c r="N85" s="26">
        <f>IF(H85=0,0,L85/H85)</f>
        <v>0</v>
      </c>
      <c r="O85" s="9"/>
      <c r="P85" s="3">
        <f>--19.58</f>
        <v>19.579999999999998</v>
      </c>
      <c r="Q85" s="3"/>
      <c r="R85" s="26">
        <f>IF(P$12=0,0,P85/P$12)</f>
        <v>2.3199815472601506E-5</v>
      </c>
      <c r="S85" s="3"/>
      <c r="T85" s="3">
        <f>0</f>
        <v>0</v>
      </c>
      <c r="U85" s="3"/>
      <c r="V85" s="26">
        <f>IF(T$12=0,0,T85/T$12)</f>
        <v>0</v>
      </c>
      <c r="W85" s="3"/>
      <c r="X85" s="3">
        <f>+P85-T85</f>
        <v>19.579999999999998</v>
      </c>
      <c r="Y85" s="3"/>
      <c r="Z85" s="26">
        <f>IF(T85=0,0,X85/T85)</f>
        <v>0</v>
      </c>
    </row>
    <row r="86" spans="1:26" ht="15" customHeight="1" x14ac:dyDescent="0.3">
      <c r="A86" s="12"/>
      <c r="B86" s="13"/>
      <c r="C86" s="13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O86" s="13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2" customFormat="1" ht="15" customHeight="1" x14ac:dyDescent="0.3">
      <c r="A87" s="13"/>
      <c r="B87" s="28" t="s">
        <v>291</v>
      </c>
      <c r="C87" s="28"/>
      <c r="D87" s="22">
        <f>+D20-D22+D84</f>
        <v>-41760.620000000003</v>
      </c>
      <c r="E87" s="15"/>
      <c r="F87" s="24">
        <f>IF(D$12=0,0,D87/D$12)</f>
        <v>-1.2729059468758641</v>
      </c>
      <c r="G87" s="15"/>
      <c r="H87" s="22">
        <f>+H20-H22+H84</f>
        <v>-40601.420000000006</v>
      </c>
      <c r="I87" s="15"/>
      <c r="J87" s="24">
        <f>IF(H$12=0,0,H87/H$12)</f>
        <v>-2.3796443200873054</v>
      </c>
      <c r="K87" s="17"/>
      <c r="L87" s="22">
        <f>+D87-H87</f>
        <v>-1159.1999999999971</v>
      </c>
      <c r="M87" s="17"/>
      <c r="N87" s="24">
        <f>IF(H87=0,0,L87/H87)</f>
        <v>2.8550725565756E-2</v>
      </c>
      <c r="O87" s="27"/>
      <c r="P87" s="22">
        <f>+P20-P22+P84</f>
        <v>-389023.31999999989</v>
      </c>
      <c r="Q87" s="15"/>
      <c r="R87" s="24">
        <f>IF(P$12=0,0,P87/P$12)</f>
        <v>-0.46094327060974494</v>
      </c>
      <c r="S87" s="15"/>
      <c r="T87" s="22">
        <f>+T20-T22+T84</f>
        <v>-661910.28999999969</v>
      </c>
      <c r="U87" s="15"/>
      <c r="V87" s="24">
        <f>IF(T$12=0,0,T87/T$12)</f>
        <v>-7.0245486062765066</v>
      </c>
      <c r="W87" s="17"/>
      <c r="X87" s="22">
        <f>+P87-T87</f>
        <v>272886.9699999998</v>
      </c>
      <c r="Y87" s="17"/>
      <c r="Z87" s="24">
        <f>IF(T87=0,0,X87/T87)</f>
        <v>-0.41227183520594601</v>
      </c>
    </row>
    <row r="88" spans="1:26" ht="15" customHeight="1" x14ac:dyDescent="0.3">
      <c r="A88" s="12"/>
      <c r="B88" s="13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2" customFormat="1" ht="15" customHeight="1" x14ac:dyDescent="0.3">
      <c r="A89" s="48"/>
      <c r="B89" s="13" t="s">
        <v>292</v>
      </c>
      <c r="C89" s="13"/>
      <c r="D89" s="8">
        <v>-188495.98</v>
      </c>
      <c r="E89" s="8"/>
      <c r="F89" s="14">
        <f>IF(D$12=0,0,D89/D$12)</f>
        <v>-5.7455481720384887</v>
      </c>
      <c r="G89" s="8"/>
      <c r="H89" s="8">
        <v>9592.17</v>
      </c>
      <c r="I89" s="8"/>
      <c r="J89" s="14">
        <f>IF(H$12=0,0,H89/H$12)</f>
        <v>0.56219592462066215</v>
      </c>
      <c r="K89" s="8"/>
      <c r="L89" s="8">
        <f>+D89-H89</f>
        <v>-198088.15000000002</v>
      </c>
      <c r="M89" s="8"/>
      <c r="N89" s="14">
        <f>IF(H89=0,0,L89/H89)</f>
        <v>-20.651025784572212</v>
      </c>
      <c r="O89" s="13"/>
      <c r="P89" s="8">
        <v>-97300.479999999996</v>
      </c>
      <c r="Q89" s="8"/>
      <c r="R89" s="14">
        <f>IF(P$12=0,0,P89/P$12)</f>
        <v>-0.11528872223674942</v>
      </c>
      <c r="S89" s="8"/>
      <c r="T89" s="8">
        <v>26081.85</v>
      </c>
      <c r="U89" s="8"/>
      <c r="V89" s="14">
        <f>IF(T$12=0,0,T89/T$12)</f>
        <v>0.2767946439790398</v>
      </c>
      <c r="W89" s="8"/>
      <c r="X89" s="8">
        <f>+P89-T89</f>
        <v>-123382.32999999999</v>
      </c>
      <c r="Y89" s="8"/>
      <c r="Z89" s="14">
        <f>IF(T89=0,0,X89/T89)</f>
        <v>-4.7305819947588068</v>
      </c>
    </row>
    <row r="90" spans="1:26" ht="15" customHeight="1" x14ac:dyDescent="0.3">
      <c r="A90" s="12"/>
      <c r="B90" s="13"/>
      <c r="C90" s="13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O90" s="13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2" customFormat="1" ht="15" customHeight="1" x14ac:dyDescent="0.3">
      <c r="A91" s="13"/>
      <c r="B91" s="28" t="s">
        <v>293</v>
      </c>
      <c r="C91" s="28"/>
      <c r="D91" s="29">
        <f>+D87-D89</f>
        <v>146735.36000000002</v>
      </c>
      <c r="E91" s="15"/>
      <c r="F91" s="31">
        <f>IF(D$12=0,0,D91/D$12)</f>
        <v>4.472642225162625</v>
      </c>
      <c r="G91" s="15"/>
      <c r="H91" s="29">
        <f>+H87-H89</f>
        <v>-50193.590000000004</v>
      </c>
      <c r="I91" s="15"/>
      <c r="J91" s="31">
        <f>IF(H$12=0,0,H91/H$12)</f>
        <v>-2.9418402447079677</v>
      </c>
      <c r="K91" s="17"/>
      <c r="L91" s="29">
        <f>D91-H91</f>
        <v>196928.95</v>
      </c>
      <c r="M91" s="17"/>
      <c r="N91" s="31">
        <f>IF(H91=0,0,L91/H91)</f>
        <v>-3.923388424697257</v>
      </c>
      <c r="O91" s="27"/>
      <c r="P91" s="29">
        <f>+P87-P89</f>
        <v>-291722.83999999991</v>
      </c>
      <c r="Q91" s="15"/>
      <c r="R91" s="31">
        <f>IF(P$12=0,0,P91/P$12)</f>
        <v>-0.34565454837299553</v>
      </c>
      <c r="S91" s="15"/>
      <c r="T91" s="29">
        <f>+T87-T89</f>
        <v>-687992.13999999966</v>
      </c>
      <c r="U91" s="15"/>
      <c r="V91" s="31">
        <f>IF(T$12=0,0,T91/T$12)</f>
        <v>-7.3013432502555462</v>
      </c>
      <c r="W91" s="17"/>
      <c r="X91" s="29">
        <f>P91-T91</f>
        <v>396269.29999999976</v>
      </c>
      <c r="Y91" s="17"/>
      <c r="Z91" s="31">
        <f>IF(T91=0,0,X91/T91)</f>
        <v>-0.57597939999721504</v>
      </c>
    </row>
    <row r="92" spans="1:26" ht="15" customHeight="1" x14ac:dyDescent="0.3">
      <c r="A92" s="12"/>
      <c r="B92" s="12"/>
      <c r="C92" s="12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ht="15" customHeight="1" x14ac:dyDescent="0.3">
      <c r="A93" s="12"/>
      <c r="B93" s="12"/>
      <c r="C93" s="12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2" customFormat="1" ht="15" customHeight="1" x14ac:dyDescent="0.3">
      <c r="A94" s="13"/>
      <c r="B94" s="28" t="s">
        <v>296</v>
      </c>
      <c r="C94" s="28"/>
      <c r="D94" s="30">
        <f>SUM(D91:D93)</f>
        <v>146735.36000000002</v>
      </c>
      <c r="E94" s="15"/>
      <c r="F94" s="35">
        <f>IF(D$12=0,0,D94/D$12)</f>
        <v>4.472642225162625</v>
      </c>
      <c r="G94" s="15"/>
      <c r="H94" s="30">
        <f>SUM(H91:H93)</f>
        <v>-50193.590000000004</v>
      </c>
      <c r="I94" s="15"/>
      <c r="J94" s="35">
        <f>IF(H$12=0,0,H94/H$12)</f>
        <v>-2.9418402447079677</v>
      </c>
      <c r="K94" s="17"/>
      <c r="L94" s="30">
        <f>+D94-H94</f>
        <v>196928.95</v>
      </c>
      <c r="M94" s="17"/>
      <c r="N94" s="35">
        <f>IF(H94=0,0,L94/H94)</f>
        <v>-3.923388424697257</v>
      </c>
      <c r="O94" s="27"/>
      <c r="P94" s="30">
        <f>SUM(P91:P93)</f>
        <v>-291722.83999999991</v>
      </c>
      <c r="Q94" s="15"/>
      <c r="R94" s="35">
        <f>IF(P$12=0,0,P94/P$12)</f>
        <v>-0.34565454837299553</v>
      </c>
      <c r="S94" s="15"/>
      <c r="T94" s="30">
        <f>SUM(T91:T93)</f>
        <v>-687992.13999999966</v>
      </c>
      <c r="U94" s="15"/>
      <c r="V94" s="35">
        <f>IF(T$12=0,0,T94/T$12)</f>
        <v>-7.3013432502555462</v>
      </c>
      <c r="W94" s="17"/>
      <c r="X94" s="30">
        <f>+P94-T94</f>
        <v>396269.29999999976</v>
      </c>
      <c r="Y94" s="17"/>
      <c r="Z94" s="35">
        <f>IF(T94=0,0,X94/T94)</f>
        <v>-0.57597939999721504</v>
      </c>
    </row>
    <row r="95" spans="1:26" ht="15" customHeight="1" x14ac:dyDescent="0.3">
      <c r="A95" s="12"/>
      <c r="C95" s="12"/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A96" s="12"/>
      <c r="B96" s="54">
        <v>44767.815885219905</v>
      </c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2"/>
      <c r="B97" s="53" t="s">
        <v>297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2"/>
      <c r="B98" s="51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51CEE-26D4-72AA-CE29-08A53E66209A}">
  <sheetPr>
    <tabColor rgb="FF92D050"/>
    <outlinePr summaryBelow="0" summaryRight="0"/>
  </sheetPr>
  <dimension ref="A2:Z8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","418"," - ","Nugget")</f>
        <v>Department 418 - Nugget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collapsed="1" x14ac:dyDescent="0.3">
      <c r="A14" s="13"/>
      <c r="B14" s="27" t="s">
        <v>287</v>
      </c>
      <c r="C14" s="13"/>
      <c r="D14" s="8">
        <f>SUM(OSRRefD16x_0)</f>
        <v>793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793</v>
      </c>
      <c r="M14" s="8"/>
      <c r="N14" s="14">
        <f>IF(H14=0,0,L14/H14)</f>
        <v>0</v>
      </c>
      <c r="O14" s="13"/>
      <c r="P14" s="8">
        <f>SUM(OSRRefP16x_0)</f>
        <v>1961.02</v>
      </c>
      <c r="Q14" s="8"/>
      <c r="R14" s="14">
        <f>IF(P$12=0,0,P14/P$12)</f>
        <v>0</v>
      </c>
      <c r="S14" s="8"/>
      <c r="T14" s="8">
        <f>SUM(OSRRefT16x_0)</f>
        <v>-301.68</v>
      </c>
      <c r="U14" s="8"/>
      <c r="V14" s="14">
        <f>IF(T$12=0,0,T14/T$12)</f>
        <v>0</v>
      </c>
      <c r="W14" s="8"/>
      <c r="X14" s="8">
        <f>+P14-T14</f>
        <v>2262.6999999999998</v>
      </c>
      <c r="Y14" s="8"/>
      <c r="Z14" s="14">
        <f>IF(T14=0,0,X14/T14)</f>
        <v>-7.5003314770617866</v>
      </c>
    </row>
    <row r="15" spans="1:26" s="69" customFormat="1" ht="15" hidden="1" customHeight="1" outlineLevel="1" x14ac:dyDescent="0.3">
      <c r="A15" s="47"/>
      <c r="B15" s="9" t="str">
        <f>CONCATENATE("          ","5053"," - ","PURCHASES @ COST-FOOD")</f>
        <v xml:space="preserve">          5053 - PURCHASES @ COST-FOOD</v>
      </c>
      <c r="C15" s="9"/>
      <c r="D15" s="3">
        <v>793</v>
      </c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793</v>
      </c>
      <c r="M15" s="3"/>
      <c r="N15" s="26">
        <f>IF(H15=0,0,L15/H15)</f>
        <v>0</v>
      </c>
      <c r="O15" s="9"/>
      <c r="P15" s="3">
        <v>1961.02</v>
      </c>
      <c r="Q15" s="3"/>
      <c r="R15" s="26">
        <f>IF(P$12=0,0,P15/P$12)</f>
        <v>0</v>
      </c>
      <c r="S15" s="3"/>
      <c r="T15" s="3">
        <v>-301.68</v>
      </c>
      <c r="U15" s="3"/>
      <c r="V15" s="26">
        <f>IF(T$12=0,0,T15/T$12)</f>
        <v>0</v>
      </c>
      <c r="W15" s="3"/>
      <c r="X15" s="3">
        <f>+P15-T15</f>
        <v>2262.6999999999998</v>
      </c>
      <c r="Y15" s="3"/>
      <c r="Z15" s="26">
        <f>IF(T15=0,0,X15/T15)</f>
        <v>-7.5003314770617866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D12-D14</f>
        <v>-793</v>
      </c>
      <c r="E17" s="15"/>
      <c r="F17" s="24">
        <f>IF(D$12=0,0,D17/D$12)</f>
        <v>0</v>
      </c>
      <c r="G17" s="15"/>
      <c r="H17" s="22">
        <f>H12-H14</f>
        <v>0</v>
      </c>
      <c r="I17" s="15"/>
      <c r="J17" s="24">
        <f>IF(H$12=0,0,H17/H$12)</f>
        <v>0</v>
      </c>
      <c r="K17" s="17"/>
      <c r="L17" s="22">
        <f>+D17-H17</f>
        <v>-793</v>
      </c>
      <c r="M17" s="17"/>
      <c r="N17" s="24">
        <f>IF(H17=0,0,L17/H17)</f>
        <v>0</v>
      </c>
      <c r="O17" s="27"/>
      <c r="P17" s="22">
        <f>P12-P14</f>
        <v>-1961.02</v>
      </c>
      <c r="Q17" s="15"/>
      <c r="R17" s="24">
        <f>IF(P$12=0,0,P17/P$12)</f>
        <v>0</v>
      </c>
      <c r="S17" s="15"/>
      <c r="T17" s="22">
        <f>T12-T14</f>
        <v>301.68</v>
      </c>
      <c r="U17" s="15"/>
      <c r="V17" s="24">
        <f>IF(T$12=0,0,T17/T$12)</f>
        <v>0</v>
      </c>
      <c r="W17" s="17"/>
      <c r="X17" s="22">
        <f>+P17-T17</f>
        <v>-2262.6999999999998</v>
      </c>
      <c r="Y17" s="17"/>
      <c r="Z17" s="24">
        <f>IF(T17=0,0,X17/T17)</f>
        <v>-7.5003314770617866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12873.539999999999</v>
      </c>
      <c r="E19" s="23"/>
      <c r="F19" s="34">
        <f t="shared" ref="F19:F65" si="0">IF(D$12=0,0,D19/D$12)</f>
        <v>0</v>
      </c>
      <c r="G19" s="23"/>
      <c r="H19" s="23" cm="1">
        <f t="array" ref="H19">SUM(OSRRefH22x_0)</f>
        <v>9992.8899999999976</v>
      </c>
      <c r="I19" s="23"/>
      <c r="J19" s="34">
        <f t="shared" ref="J19:J65" si="1">IF(H$12=0,0,H19/H$12)</f>
        <v>0</v>
      </c>
      <c r="K19" s="8"/>
      <c r="L19" s="23">
        <f t="shared" ref="L19:L65" si="2">+D19-H19</f>
        <v>2880.6500000000015</v>
      </c>
      <c r="M19" s="8"/>
      <c r="N19" s="34">
        <f t="shared" ref="N19:N65" si="3">IF(H19=0,0,L19/H19)</f>
        <v>0.28826995994151866</v>
      </c>
      <c r="O19" s="13"/>
      <c r="P19" s="23" cm="1">
        <f t="array" ref="P19">SUM(OSRRefP22x_0)</f>
        <v>204058.08000000002</v>
      </c>
      <c r="Q19" s="23"/>
      <c r="R19" s="34">
        <f t="shared" ref="R19:R65" si="4">IF(P$12=0,0,P19/P$12)</f>
        <v>0</v>
      </c>
      <c r="S19" s="23"/>
      <c r="T19" s="23" cm="1">
        <f t="array" ref="T19">SUM(OSRRefT22x_0)</f>
        <v>98064.25</v>
      </c>
      <c r="U19" s="23"/>
      <c r="V19" s="34">
        <f t="shared" ref="V19:V65" si="5">IF(T$12=0,0,T19/T$12)</f>
        <v>0</v>
      </c>
      <c r="W19" s="8"/>
      <c r="X19" s="23">
        <f t="shared" ref="X19:X65" si="6">+P19-T19</f>
        <v>105993.83000000002</v>
      </c>
      <c r="Y19" s="8"/>
      <c r="Z19" s="34">
        <f t="shared" ref="Z19:Z65" si="7">IF(T19=0,0,X19/T19)</f>
        <v>1.080861068126254</v>
      </c>
    </row>
    <row r="20" spans="1:26" s="68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825.95</v>
      </c>
      <c r="E20" s="2"/>
      <c r="F20" s="5">
        <f t="shared" si="0"/>
        <v>0</v>
      </c>
      <c r="G20" s="2"/>
      <c r="H20" s="2">
        <f>SUM(OSRRefH22_0x_0)</f>
        <v>555.15</v>
      </c>
      <c r="I20" s="2"/>
      <c r="J20" s="5">
        <f t="shared" si="1"/>
        <v>0</v>
      </c>
      <c r="K20" s="2"/>
      <c r="L20" s="2">
        <f t="shared" si="2"/>
        <v>270.80000000000007</v>
      </c>
      <c r="M20" s="2"/>
      <c r="N20" s="5">
        <f t="shared" si="3"/>
        <v>0.4877960911465371</v>
      </c>
      <c r="O20" s="11"/>
      <c r="P20" s="2">
        <f>SUM(OSRRefP22_0x_0)</f>
        <v>30113.7</v>
      </c>
      <c r="Q20" s="2"/>
      <c r="R20" s="5">
        <f t="shared" si="4"/>
        <v>0</v>
      </c>
      <c r="S20" s="2"/>
      <c r="T20" s="2">
        <f>SUM(OSRRefT22_0x_0)</f>
        <v>6641.4699999999993</v>
      </c>
      <c r="U20" s="2"/>
      <c r="V20" s="5">
        <f t="shared" si="5"/>
        <v>0</v>
      </c>
      <c r="W20" s="2"/>
      <c r="X20" s="2">
        <f t="shared" si="6"/>
        <v>23472.230000000003</v>
      </c>
      <c r="Y20" s="2"/>
      <c r="Z20" s="5">
        <f t="shared" si="7"/>
        <v>3.5341919785830553</v>
      </c>
    </row>
    <row r="21" spans="1:26" s="69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198.92</v>
      </c>
      <c r="E21" s="3"/>
      <c r="F21" s="7">
        <f t="shared" si="0"/>
        <v>0</v>
      </c>
      <c r="G21" s="3"/>
      <c r="H21" s="6">
        <v>184.9</v>
      </c>
      <c r="I21" s="3"/>
      <c r="J21" s="7">
        <f t="shared" si="1"/>
        <v>0</v>
      </c>
      <c r="K21" s="3"/>
      <c r="L21" s="6">
        <f t="shared" si="2"/>
        <v>14.019999999999982</v>
      </c>
      <c r="M21" s="3"/>
      <c r="N21" s="7">
        <f t="shared" si="3"/>
        <v>7.5824770146024775E-2</v>
      </c>
      <c r="O21" s="9"/>
      <c r="P21" s="6">
        <v>4905.5</v>
      </c>
      <c r="Q21" s="3"/>
      <c r="R21" s="7">
        <f t="shared" si="4"/>
        <v>0</v>
      </c>
      <c r="S21" s="3"/>
      <c r="T21" s="6">
        <v>422.41</v>
      </c>
      <c r="U21" s="3"/>
      <c r="V21" s="7">
        <f t="shared" si="5"/>
        <v>0</v>
      </c>
      <c r="W21" s="3"/>
      <c r="X21" s="6">
        <f t="shared" si="6"/>
        <v>4483.09</v>
      </c>
      <c r="Y21" s="3"/>
      <c r="Z21" s="7">
        <f t="shared" si="7"/>
        <v>10.613124689282923</v>
      </c>
    </row>
    <row r="22" spans="1:26" s="69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>
        <v>-71.56</v>
      </c>
      <c r="E22" s="3"/>
      <c r="F22" s="7">
        <f t="shared" si="0"/>
        <v>0</v>
      </c>
      <c r="G22" s="3"/>
      <c r="H22" s="6">
        <v>103.55</v>
      </c>
      <c r="I22" s="3"/>
      <c r="J22" s="7">
        <f t="shared" si="1"/>
        <v>0</v>
      </c>
      <c r="K22" s="3"/>
      <c r="L22" s="6">
        <f t="shared" si="2"/>
        <v>-175.11</v>
      </c>
      <c r="M22" s="3"/>
      <c r="N22" s="7">
        <f t="shared" si="3"/>
        <v>-1.6910671173346212</v>
      </c>
      <c r="O22" s="9"/>
      <c r="P22" s="6">
        <v>2084.6</v>
      </c>
      <c r="Q22" s="3"/>
      <c r="R22" s="7">
        <f t="shared" si="4"/>
        <v>0</v>
      </c>
      <c r="S22" s="3"/>
      <c r="T22" s="6">
        <v>103.55</v>
      </c>
      <c r="U22" s="3"/>
      <c r="V22" s="7">
        <f t="shared" si="5"/>
        <v>0</v>
      </c>
      <c r="W22" s="3"/>
      <c r="X22" s="6">
        <f t="shared" si="6"/>
        <v>1981.05</v>
      </c>
      <c r="Y22" s="3"/>
      <c r="Z22" s="7">
        <f t="shared" si="7"/>
        <v>19.131337518107195</v>
      </c>
    </row>
    <row r="23" spans="1:26" s="69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608</v>
      </c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608</v>
      </c>
      <c r="M23" s="3"/>
      <c r="N23" s="7">
        <f t="shared" si="3"/>
        <v>0</v>
      </c>
      <c r="O23" s="9"/>
      <c r="P23" s="6">
        <v>13966.16</v>
      </c>
      <c r="Q23" s="3"/>
      <c r="R23" s="7">
        <f t="shared" si="4"/>
        <v>0</v>
      </c>
      <c r="S23" s="3"/>
      <c r="T23" s="6">
        <v>4780.67</v>
      </c>
      <c r="U23" s="3"/>
      <c r="V23" s="7">
        <f t="shared" si="5"/>
        <v>0</v>
      </c>
      <c r="W23" s="3"/>
      <c r="X23" s="6">
        <f t="shared" si="6"/>
        <v>9185.49</v>
      </c>
      <c r="Y23" s="3"/>
      <c r="Z23" s="7">
        <f t="shared" si="7"/>
        <v>1.9213813126611961</v>
      </c>
    </row>
    <row r="24" spans="1:26" s="69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6.28</v>
      </c>
      <c r="I24" s="3"/>
      <c r="J24" s="7">
        <f t="shared" si="1"/>
        <v>0</v>
      </c>
      <c r="K24" s="3"/>
      <c r="L24" s="6">
        <f t="shared" si="2"/>
        <v>-6.28</v>
      </c>
      <c r="M24" s="3"/>
      <c r="N24" s="7">
        <f t="shared" si="3"/>
        <v>-1</v>
      </c>
      <c r="O24" s="9"/>
      <c r="P24" s="6">
        <v>157.1</v>
      </c>
      <c r="Q24" s="3"/>
      <c r="R24" s="7">
        <f t="shared" si="4"/>
        <v>0</v>
      </c>
      <c r="S24" s="3"/>
      <c r="T24" s="6">
        <v>6.28</v>
      </c>
      <c r="U24" s="3"/>
      <c r="V24" s="7">
        <f t="shared" si="5"/>
        <v>0</v>
      </c>
      <c r="W24" s="3"/>
      <c r="X24" s="6">
        <f t="shared" si="6"/>
        <v>150.82</v>
      </c>
      <c r="Y24" s="3"/>
      <c r="Z24" s="7">
        <f t="shared" si="7"/>
        <v>24.015923566878978</v>
      </c>
    </row>
    <row r="25" spans="1:26" s="69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63.06</v>
      </c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63.06</v>
      </c>
      <c r="M25" s="3"/>
      <c r="N25" s="7">
        <f t="shared" si="3"/>
        <v>0</v>
      </c>
      <c r="O25" s="9"/>
      <c r="P25" s="6">
        <v>2606.34</v>
      </c>
      <c r="Q25" s="3"/>
      <c r="R25" s="7">
        <f t="shared" si="4"/>
        <v>0</v>
      </c>
      <c r="S25" s="3"/>
      <c r="T25" s="6">
        <v>678.15</v>
      </c>
      <c r="U25" s="3"/>
      <c r="V25" s="7">
        <f t="shared" si="5"/>
        <v>0</v>
      </c>
      <c r="W25" s="3"/>
      <c r="X25" s="6">
        <f t="shared" si="6"/>
        <v>1928.19</v>
      </c>
      <c r="Y25" s="3"/>
      <c r="Z25" s="7">
        <f t="shared" si="7"/>
        <v>2.8433090024330903</v>
      </c>
    </row>
    <row r="26" spans="1:26" s="69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/>
      <c r="E26" s="3"/>
      <c r="F26" s="7">
        <f t="shared" si="0"/>
        <v>0</v>
      </c>
      <c r="G26" s="3"/>
      <c r="H26" s="6">
        <v>133.08000000000001</v>
      </c>
      <c r="I26" s="3"/>
      <c r="J26" s="7">
        <f t="shared" si="1"/>
        <v>0</v>
      </c>
      <c r="K26" s="3"/>
      <c r="L26" s="6">
        <f t="shared" si="2"/>
        <v>-133.08000000000001</v>
      </c>
      <c r="M26" s="3"/>
      <c r="N26" s="7">
        <f t="shared" si="3"/>
        <v>-1</v>
      </c>
      <c r="O26" s="9"/>
      <c r="P26" s="6">
        <v>2204</v>
      </c>
      <c r="Q26" s="3"/>
      <c r="R26" s="7">
        <f t="shared" si="4"/>
        <v>0</v>
      </c>
      <c r="S26" s="3"/>
      <c r="T26" s="6">
        <v>381.29</v>
      </c>
      <c r="U26" s="3"/>
      <c r="V26" s="7">
        <f t="shared" si="5"/>
        <v>0</v>
      </c>
      <c r="W26" s="3"/>
      <c r="X26" s="6">
        <f t="shared" si="6"/>
        <v>1822.71</v>
      </c>
      <c r="Y26" s="3"/>
      <c r="Z26" s="7">
        <f t="shared" si="7"/>
        <v>4.7803771407590023</v>
      </c>
    </row>
    <row r="27" spans="1:26" s="69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/>
      <c r="E27" s="3"/>
      <c r="F27" s="7">
        <f t="shared" si="0"/>
        <v>0</v>
      </c>
      <c r="G27" s="3"/>
      <c r="H27" s="6">
        <v>127.34</v>
      </c>
      <c r="I27" s="3"/>
      <c r="J27" s="7">
        <f t="shared" si="1"/>
        <v>0</v>
      </c>
      <c r="K27" s="3"/>
      <c r="L27" s="6">
        <f t="shared" si="2"/>
        <v>-127.34</v>
      </c>
      <c r="M27" s="3"/>
      <c r="N27" s="7">
        <f t="shared" si="3"/>
        <v>-1</v>
      </c>
      <c r="O27" s="9"/>
      <c r="P27" s="6">
        <v>2461.6799999999998</v>
      </c>
      <c r="Q27" s="3"/>
      <c r="R27" s="7">
        <f t="shared" si="4"/>
        <v>0</v>
      </c>
      <c r="S27" s="3"/>
      <c r="T27" s="6">
        <v>269.12</v>
      </c>
      <c r="U27" s="3"/>
      <c r="V27" s="7">
        <f t="shared" si="5"/>
        <v>0</v>
      </c>
      <c r="W27" s="3"/>
      <c r="X27" s="6">
        <f t="shared" si="6"/>
        <v>2192.56</v>
      </c>
      <c r="Y27" s="3"/>
      <c r="Z27" s="7">
        <f t="shared" si="7"/>
        <v>8.1471462544589777</v>
      </c>
    </row>
    <row r="28" spans="1:26" s="69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27.53</v>
      </c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27.53</v>
      </c>
      <c r="M28" s="3"/>
      <c r="N28" s="7">
        <f t="shared" si="3"/>
        <v>0</v>
      </c>
      <c r="O28" s="9"/>
      <c r="P28" s="6">
        <v>1728.32</v>
      </c>
      <c r="Q28" s="3"/>
      <c r="R28" s="7">
        <f t="shared" si="4"/>
        <v>0</v>
      </c>
      <c r="S28" s="3"/>
      <c r="T28" s="6"/>
      <c r="U28" s="3"/>
      <c r="V28" s="7">
        <f t="shared" si="5"/>
        <v>0</v>
      </c>
      <c r="W28" s="3"/>
      <c r="X28" s="6">
        <f t="shared" si="6"/>
        <v>1728.32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1107.69</v>
      </c>
      <c r="E29" s="2"/>
      <c r="F29" s="5">
        <f t="shared" si="0"/>
        <v>0</v>
      </c>
      <c r="G29" s="2"/>
      <c r="H29" s="2">
        <f>SUM(OSRRefH22_1x_0)</f>
        <v>1375.8</v>
      </c>
      <c r="I29" s="2"/>
      <c r="J29" s="5">
        <f t="shared" si="1"/>
        <v>0</v>
      </c>
      <c r="K29" s="2"/>
      <c r="L29" s="2">
        <f t="shared" si="2"/>
        <v>-268.1099999999999</v>
      </c>
      <c r="M29" s="2"/>
      <c r="N29" s="5">
        <f t="shared" si="3"/>
        <v>-0.19487570867858695</v>
      </c>
      <c r="O29" s="11"/>
      <c r="P29" s="2">
        <f>SUM(OSRRefP22_1x_0)</f>
        <v>61211.330000000009</v>
      </c>
      <c r="Q29" s="2"/>
      <c r="R29" s="5">
        <f t="shared" si="4"/>
        <v>0</v>
      </c>
      <c r="S29" s="2"/>
      <c r="T29" s="2">
        <f>SUM(OSRRefT22_1x_0)</f>
        <v>3527.49</v>
      </c>
      <c r="U29" s="2"/>
      <c r="V29" s="5">
        <f t="shared" si="5"/>
        <v>0</v>
      </c>
      <c r="W29" s="2"/>
      <c r="X29" s="2">
        <f t="shared" si="6"/>
        <v>57683.840000000011</v>
      </c>
      <c r="Y29" s="2"/>
      <c r="Z29" s="5">
        <f t="shared" si="7"/>
        <v>16.352658689323007</v>
      </c>
    </row>
    <row r="30" spans="1:26" s="69" customFormat="1" ht="15" hidden="1" customHeight="1" outlineLevel="2" x14ac:dyDescent="0.3">
      <c r="A30" s="21"/>
      <c r="B30" s="9" t="str">
        <f>CONCATENATE("          ","6002"," - ","STAFF SALARIES")</f>
        <v xml:space="preserve">          6002 - STAFF SALARIES</v>
      </c>
      <c r="C30" s="9"/>
      <c r="D30" s="6">
        <v>1107.69</v>
      </c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1107.69</v>
      </c>
      <c r="M30" s="3"/>
      <c r="N30" s="7">
        <f t="shared" si="3"/>
        <v>0</v>
      </c>
      <c r="O30" s="9"/>
      <c r="P30" s="6">
        <v>37384.730000000003</v>
      </c>
      <c r="Q30" s="3"/>
      <c r="R30" s="7">
        <f t="shared" si="4"/>
        <v>0</v>
      </c>
      <c r="S30" s="3"/>
      <c r="T30" s="6">
        <v>2151.69</v>
      </c>
      <c r="U30" s="3"/>
      <c r="V30" s="7">
        <f t="shared" si="5"/>
        <v>0</v>
      </c>
      <c r="W30" s="3"/>
      <c r="X30" s="6">
        <f t="shared" si="6"/>
        <v>35233.040000000001</v>
      </c>
      <c r="Y30" s="3"/>
      <c r="Z30" s="7">
        <f t="shared" si="7"/>
        <v>16.374589276336277</v>
      </c>
    </row>
    <row r="31" spans="1:26" s="69" customFormat="1" ht="15" hidden="1" customHeight="1" outlineLevel="2" x14ac:dyDescent="0.3">
      <c r="A31" s="21"/>
      <c r="B31" s="9" t="str">
        <f>CONCATENATE("          ","6004"," - ","STAFF HOURLY")</f>
        <v xml:space="preserve">          6004 - STAFF HOURLY</v>
      </c>
      <c r="C31" s="9"/>
      <c r="D31" s="6"/>
      <c r="E31" s="3"/>
      <c r="F31" s="7">
        <f t="shared" si="0"/>
        <v>0</v>
      </c>
      <c r="G31" s="3"/>
      <c r="H31" s="6">
        <v>1375.8</v>
      </c>
      <c r="I31" s="3"/>
      <c r="J31" s="7">
        <f t="shared" si="1"/>
        <v>0</v>
      </c>
      <c r="K31" s="3"/>
      <c r="L31" s="6">
        <f t="shared" si="2"/>
        <v>-1375.8</v>
      </c>
      <c r="M31" s="3"/>
      <c r="N31" s="7">
        <f t="shared" si="3"/>
        <v>-1</v>
      </c>
      <c r="O31" s="9"/>
      <c r="P31" s="6">
        <v>14370.65</v>
      </c>
      <c r="Q31" s="3"/>
      <c r="R31" s="7">
        <f t="shared" si="4"/>
        <v>0</v>
      </c>
      <c r="S31" s="3"/>
      <c r="T31" s="6">
        <v>1375.8</v>
      </c>
      <c r="U31" s="3"/>
      <c r="V31" s="7">
        <f t="shared" si="5"/>
        <v>0</v>
      </c>
      <c r="W31" s="3"/>
      <c r="X31" s="6">
        <f t="shared" si="6"/>
        <v>12994.85</v>
      </c>
      <c r="Y31" s="3"/>
      <c r="Z31" s="7">
        <f t="shared" si="7"/>
        <v>9.4453045500799533</v>
      </c>
    </row>
    <row r="32" spans="1:26" s="69" customFormat="1" ht="15" hidden="1" customHeight="1" outlineLevel="2" x14ac:dyDescent="0.3">
      <c r="A32" s="21"/>
      <c r="B32" s="9" t="str">
        <f>CONCATENATE("          ","6005"," - ","TEMPORARY WAGES-HOURLY")</f>
        <v xml:space="preserve">          6005 - TEMPORARY WAGES-HOURLY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8246.0499999999993</v>
      </c>
      <c r="Q32" s="3"/>
      <c r="R32" s="7">
        <f t="shared" si="4"/>
        <v>0</v>
      </c>
      <c r="S32" s="3"/>
      <c r="T32" s="6"/>
      <c r="U32" s="3"/>
      <c r="V32" s="7">
        <f t="shared" si="5"/>
        <v>0</v>
      </c>
      <c r="W32" s="3"/>
      <c r="X32" s="6">
        <f t="shared" si="6"/>
        <v>8246.0499999999993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1"/>
      <c r="B33" s="9" t="str">
        <f>CONCATENATE("          ","6007"," - ","STUDENT HOURLY")</f>
        <v xml:space="preserve">          6007 - STUDENT HOURLY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1209.9000000000001</v>
      </c>
      <c r="Q33" s="3"/>
      <c r="R33" s="7">
        <f t="shared" si="4"/>
        <v>0</v>
      </c>
      <c r="S33" s="3"/>
      <c r="T33" s="6"/>
      <c r="U33" s="3"/>
      <c r="V33" s="7">
        <f t="shared" si="5"/>
        <v>0</v>
      </c>
      <c r="W33" s="3"/>
      <c r="X33" s="6">
        <f t="shared" si="6"/>
        <v>1209.9000000000001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0"/>
      <c r="B34" s="11" t="str">
        <f>CONCATENATE("     ","Advertising/Promo                                 ")</f>
        <v xml:space="preserve">     Advertising/Promo                                 </v>
      </c>
      <c r="C34" s="11"/>
      <c r="D34" s="2">
        <f>SUM(OSRRefD22_2x_0)</f>
        <v>0</v>
      </c>
      <c r="E34" s="2"/>
      <c r="F34" s="5">
        <f t="shared" si="0"/>
        <v>0</v>
      </c>
      <c r="G34" s="2"/>
      <c r="H34" s="2">
        <f>SUM(OSRRefH22_2x_0)</f>
        <v>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SUM(OSRRefP22_2x_0)</f>
        <v>263.58</v>
      </c>
      <c r="Q34" s="2"/>
      <c r="R34" s="5">
        <f t="shared" si="4"/>
        <v>0</v>
      </c>
      <c r="S34" s="2"/>
      <c r="T34" s="2">
        <f>SUM(OSRRefT22_2x_0)</f>
        <v>0</v>
      </c>
      <c r="U34" s="2"/>
      <c r="V34" s="5">
        <f t="shared" si="5"/>
        <v>0</v>
      </c>
      <c r="W34" s="2"/>
      <c r="X34" s="2">
        <f t="shared" si="6"/>
        <v>263.58</v>
      </c>
      <c r="Y34" s="2"/>
      <c r="Z34" s="5">
        <f t="shared" si="7"/>
        <v>0</v>
      </c>
    </row>
    <row r="35" spans="1:26" s="69" customFormat="1" ht="15" hidden="1" customHeight="1" outlineLevel="2" x14ac:dyDescent="0.3">
      <c r="A35" s="21"/>
      <c r="B35" s="9" t="str">
        <f>CONCATENATE("          ","6362"," - ","ADVERTISING EXPENSE")</f>
        <v xml:space="preserve">          6362 - ADVERTISING EXPENSE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263.58</v>
      </c>
      <c r="Q35" s="3"/>
      <c r="R35" s="7">
        <f t="shared" si="4"/>
        <v>0</v>
      </c>
      <c r="S35" s="3"/>
      <c r="T35" s="6"/>
      <c r="U35" s="3"/>
      <c r="V35" s="7">
        <f t="shared" si="5"/>
        <v>0</v>
      </c>
      <c r="W35" s="3"/>
      <c r="X35" s="6">
        <f t="shared" si="6"/>
        <v>263.58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0"/>
      <c r="B36" s="11" t="str">
        <f>CONCATENATE("     ","Bank/card Fees                                    ")</f>
        <v xml:space="preserve">     Bank/card Fees                                    </v>
      </c>
      <c r="C36" s="11"/>
      <c r="D36" s="2">
        <f>SUM(OSRRefD22_3x_0)</f>
        <v>0</v>
      </c>
      <c r="E36" s="2"/>
      <c r="F36" s="5">
        <f t="shared" si="0"/>
        <v>0</v>
      </c>
      <c r="G36" s="2"/>
      <c r="H36" s="2">
        <f>SUM(OSRRefH22_3x_0)</f>
        <v>0</v>
      </c>
      <c r="I36" s="2"/>
      <c r="J36" s="5">
        <f t="shared" si="1"/>
        <v>0</v>
      </c>
      <c r="K36" s="2"/>
      <c r="L36" s="2">
        <f t="shared" si="2"/>
        <v>0</v>
      </c>
      <c r="M36" s="2"/>
      <c r="N36" s="5">
        <f t="shared" si="3"/>
        <v>0</v>
      </c>
      <c r="O36" s="11"/>
      <c r="P36" s="2">
        <f>SUM(OSRRefP22_3x_0)</f>
        <v>0.64</v>
      </c>
      <c r="Q36" s="2"/>
      <c r="R36" s="5">
        <f t="shared" si="4"/>
        <v>0</v>
      </c>
      <c r="S36" s="2"/>
      <c r="T36" s="2">
        <f>SUM(OSRRefT22_3x_0)</f>
        <v>0</v>
      </c>
      <c r="U36" s="2"/>
      <c r="V36" s="5">
        <f t="shared" si="5"/>
        <v>0</v>
      </c>
      <c r="W36" s="2"/>
      <c r="X36" s="2">
        <f t="shared" si="6"/>
        <v>0.64</v>
      </c>
      <c r="Y36" s="2"/>
      <c r="Z36" s="5">
        <f t="shared" si="7"/>
        <v>0</v>
      </c>
    </row>
    <row r="37" spans="1:26" s="69" customFormat="1" ht="15" hidden="1" customHeight="1" outlineLevel="2" x14ac:dyDescent="0.3">
      <c r="A37" s="21"/>
      <c r="B37" s="9" t="str">
        <f>CONCATENATE("          ","6381"," - ","BANK/CREDIT CARD FEES")</f>
        <v xml:space="preserve">          6381 - BANK/CREDIT CARD FEES</v>
      </c>
      <c r="C37" s="9"/>
      <c r="D37" s="6"/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>
        <v>0.64</v>
      </c>
      <c r="Q37" s="3"/>
      <c r="R37" s="7">
        <f t="shared" si="4"/>
        <v>0</v>
      </c>
      <c r="S37" s="3"/>
      <c r="T37" s="6"/>
      <c r="U37" s="3"/>
      <c r="V37" s="7">
        <f t="shared" si="5"/>
        <v>0</v>
      </c>
      <c r="W37" s="3"/>
      <c r="X37" s="6">
        <f t="shared" si="6"/>
        <v>0.64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0"/>
      <c r="B38" s="11" t="str">
        <f>CONCATENATE("     ","Depreciation                                      ")</f>
        <v xml:space="preserve">     Depreciation                                      </v>
      </c>
      <c r="C38" s="11"/>
      <c r="D38" s="2">
        <f>SUM(OSRRefD22_4x_0)</f>
        <v>7400.02</v>
      </c>
      <c r="E38" s="2"/>
      <c r="F38" s="5">
        <f t="shared" si="0"/>
        <v>0</v>
      </c>
      <c r="G38" s="2"/>
      <c r="H38" s="2">
        <f>SUM(OSRRefH22_4x_0)</f>
        <v>6745.21</v>
      </c>
      <c r="I38" s="2"/>
      <c r="J38" s="5">
        <f t="shared" si="1"/>
        <v>0</v>
      </c>
      <c r="K38" s="2"/>
      <c r="L38" s="2">
        <f t="shared" si="2"/>
        <v>654.8100000000004</v>
      </c>
      <c r="M38" s="2"/>
      <c r="N38" s="5">
        <f t="shared" si="3"/>
        <v>9.7077778156647518E-2</v>
      </c>
      <c r="O38" s="11"/>
      <c r="P38" s="2">
        <f>SUM(OSRRefP22_4x_0)</f>
        <v>82498.09</v>
      </c>
      <c r="Q38" s="2"/>
      <c r="R38" s="5">
        <f t="shared" si="4"/>
        <v>0</v>
      </c>
      <c r="S38" s="2"/>
      <c r="T38" s="2">
        <f>SUM(OSRRefT22_4x_0)</f>
        <v>82239.23</v>
      </c>
      <c r="U38" s="2"/>
      <c r="V38" s="5">
        <f t="shared" si="5"/>
        <v>0</v>
      </c>
      <c r="W38" s="2"/>
      <c r="X38" s="2">
        <f t="shared" si="6"/>
        <v>258.86000000000058</v>
      </c>
      <c r="Y38" s="2"/>
      <c r="Z38" s="5">
        <f t="shared" si="7"/>
        <v>3.1476462024267568E-3</v>
      </c>
    </row>
    <row r="39" spans="1:26" s="69" customFormat="1" ht="15" hidden="1" customHeight="1" outlineLevel="2" x14ac:dyDescent="0.3">
      <c r="A39" s="21"/>
      <c r="B39" s="9" t="str">
        <f>CONCATENATE("          ","6321"," - ","BUILDING DEPRECIATION")</f>
        <v xml:space="preserve">          6321 - BUILDING DEPRECIATION</v>
      </c>
      <c r="C39" s="9"/>
      <c r="D39" s="6">
        <v>6492.96</v>
      </c>
      <c r="E39" s="3"/>
      <c r="F39" s="7">
        <f t="shared" si="0"/>
        <v>0</v>
      </c>
      <c r="G39" s="3"/>
      <c r="H39" s="6">
        <v>6537.06</v>
      </c>
      <c r="I39" s="3"/>
      <c r="J39" s="7">
        <f t="shared" si="1"/>
        <v>0</v>
      </c>
      <c r="K39" s="3"/>
      <c r="L39" s="6">
        <f t="shared" si="2"/>
        <v>-44.100000000000364</v>
      </c>
      <c r="M39" s="3"/>
      <c r="N39" s="7">
        <f t="shared" si="3"/>
        <v>-6.7461519398629294E-3</v>
      </c>
      <c r="O39" s="9"/>
      <c r="P39" s="6">
        <v>78003.66</v>
      </c>
      <c r="Q39" s="3"/>
      <c r="R39" s="7">
        <f t="shared" si="4"/>
        <v>0</v>
      </c>
      <c r="S39" s="3"/>
      <c r="T39" s="6">
        <v>78444.61</v>
      </c>
      <c r="U39" s="3"/>
      <c r="V39" s="7">
        <f t="shared" si="5"/>
        <v>0</v>
      </c>
      <c r="W39" s="3"/>
      <c r="X39" s="6">
        <f t="shared" si="6"/>
        <v>-440.94999999999709</v>
      </c>
      <c r="Y39" s="3"/>
      <c r="Z39" s="7">
        <f t="shared" si="7"/>
        <v>-5.6211637740310912E-3</v>
      </c>
    </row>
    <row r="40" spans="1:26" s="69" customFormat="1" ht="15" hidden="1" customHeight="1" outlineLevel="2" x14ac:dyDescent="0.3">
      <c r="A40" s="21"/>
      <c r="B40" s="9" t="str">
        <f>CONCATENATE("          ","6322"," - ","EQUIPMENT DEPRECIATION EXPENSE")</f>
        <v xml:space="preserve">          6322 - EQUIPMENT DEPRECIATION EXPENSE</v>
      </c>
      <c r="C40" s="9"/>
      <c r="D40" s="6">
        <v>907.06</v>
      </c>
      <c r="E40" s="3"/>
      <c r="F40" s="7">
        <f t="shared" si="0"/>
        <v>0</v>
      </c>
      <c r="G40" s="3"/>
      <c r="H40" s="6">
        <v>208.15</v>
      </c>
      <c r="I40" s="3"/>
      <c r="J40" s="7">
        <f t="shared" si="1"/>
        <v>0</v>
      </c>
      <c r="K40" s="3"/>
      <c r="L40" s="6">
        <f t="shared" si="2"/>
        <v>698.91</v>
      </c>
      <c r="M40" s="3"/>
      <c r="N40" s="7">
        <f t="shared" si="3"/>
        <v>3.3577227960605329</v>
      </c>
      <c r="O40" s="9"/>
      <c r="P40" s="6">
        <v>4494.43</v>
      </c>
      <c r="Q40" s="3"/>
      <c r="R40" s="7">
        <f t="shared" si="4"/>
        <v>0</v>
      </c>
      <c r="S40" s="3"/>
      <c r="T40" s="6">
        <v>3794.62</v>
      </c>
      <c r="U40" s="3"/>
      <c r="V40" s="7">
        <f t="shared" si="5"/>
        <v>0</v>
      </c>
      <c r="W40" s="3"/>
      <c r="X40" s="6">
        <f t="shared" si="6"/>
        <v>699.8100000000004</v>
      </c>
      <c r="Y40" s="3"/>
      <c r="Z40" s="7">
        <f t="shared" si="7"/>
        <v>0.18442162851616248</v>
      </c>
    </row>
    <row r="41" spans="1:26" s="68" customFormat="1" ht="15" customHeight="1" outlineLevel="1" collapsed="1" x14ac:dyDescent="0.3">
      <c r="A41" s="20"/>
      <c r="B41" s="11" t="str">
        <f>CONCATENATE("     ","Employees' Appreciation                           ")</f>
        <v xml:space="preserve">     Employees' Appreciation                           </v>
      </c>
      <c r="C41" s="11"/>
      <c r="D41" s="2">
        <f>SUM(OSRRefD22_5x_0)</f>
        <v>0</v>
      </c>
      <c r="E41" s="2"/>
      <c r="F41" s="5">
        <f t="shared" si="0"/>
        <v>0</v>
      </c>
      <c r="G41" s="2"/>
      <c r="H41" s="2">
        <f>SUM(OSRRefH22_5x_0)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SUM(OSRRefP22_5x_0)</f>
        <v>49.95</v>
      </c>
      <c r="Q41" s="2"/>
      <c r="R41" s="5">
        <f t="shared" si="4"/>
        <v>0</v>
      </c>
      <c r="S41" s="2"/>
      <c r="T41" s="2">
        <f>SUM(OSRRefT22_5x_0)</f>
        <v>0</v>
      </c>
      <c r="U41" s="2"/>
      <c r="V41" s="5">
        <f t="shared" si="5"/>
        <v>0</v>
      </c>
      <c r="W41" s="2"/>
      <c r="X41" s="2">
        <f t="shared" si="6"/>
        <v>49.95</v>
      </c>
      <c r="Y41" s="2"/>
      <c r="Z41" s="5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","6277"," - ","EMPLOYEE APPRECIATION")</f>
        <v xml:space="preserve">          6277 - EMPLOYEE APPRECIATION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49.95</v>
      </c>
      <c r="Q42" s="3"/>
      <c r="R42" s="7">
        <f t="shared" si="4"/>
        <v>0</v>
      </c>
      <c r="S42" s="3"/>
      <c r="T42" s="6"/>
      <c r="U42" s="3"/>
      <c r="V42" s="7">
        <f t="shared" si="5"/>
        <v>0</v>
      </c>
      <c r="W42" s="3"/>
      <c r="X42" s="6">
        <f t="shared" si="6"/>
        <v>49.95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0"/>
      <c r="B43" s="11" t="str">
        <f>CONCATENATE("     ","Equipment Rental                                  ")</f>
        <v xml:space="preserve">     Equipment Rental                                  </v>
      </c>
      <c r="C43" s="11"/>
      <c r="D43" s="2">
        <f>SUM(OSRRefD22_6x_0)</f>
        <v>345.24</v>
      </c>
      <c r="E43" s="2"/>
      <c r="F43" s="5">
        <f t="shared" si="0"/>
        <v>0</v>
      </c>
      <c r="G43" s="2"/>
      <c r="H43" s="2">
        <f>SUM(OSRRefH22_6x_0)</f>
        <v>60</v>
      </c>
      <c r="I43" s="2"/>
      <c r="J43" s="5">
        <f t="shared" si="1"/>
        <v>0</v>
      </c>
      <c r="K43" s="2"/>
      <c r="L43" s="2">
        <f t="shared" si="2"/>
        <v>285.24</v>
      </c>
      <c r="M43" s="2"/>
      <c r="N43" s="5">
        <f t="shared" si="3"/>
        <v>4.7540000000000004</v>
      </c>
      <c r="O43" s="11"/>
      <c r="P43" s="2">
        <f>SUM(OSRRefP22_6x_0)</f>
        <v>6494.83</v>
      </c>
      <c r="Q43" s="2"/>
      <c r="R43" s="5">
        <f t="shared" si="4"/>
        <v>0</v>
      </c>
      <c r="S43" s="2"/>
      <c r="T43" s="2">
        <f>SUM(OSRRefT22_6x_0)</f>
        <v>503.72</v>
      </c>
      <c r="U43" s="2"/>
      <c r="V43" s="5">
        <f t="shared" si="5"/>
        <v>0</v>
      </c>
      <c r="W43" s="2"/>
      <c r="X43" s="2">
        <f t="shared" si="6"/>
        <v>5991.11</v>
      </c>
      <c r="Y43" s="2"/>
      <c r="Z43" s="5">
        <f t="shared" si="7"/>
        <v>11.893730644008574</v>
      </c>
    </row>
    <row r="44" spans="1:26" s="69" customFormat="1" ht="15" hidden="1" customHeight="1" outlineLevel="2" x14ac:dyDescent="0.3">
      <c r="A44" s="21"/>
      <c r="B44" s="9" t="str">
        <f>CONCATENATE("          ","6351"," - ","EQUIPMENT RENTAL")</f>
        <v xml:space="preserve">          6351 - EQUIPMENT RENTAL</v>
      </c>
      <c r="C44" s="9"/>
      <c r="D44" s="6">
        <v>345.24</v>
      </c>
      <c r="E44" s="3"/>
      <c r="F44" s="7">
        <f t="shared" si="0"/>
        <v>0</v>
      </c>
      <c r="G44" s="3"/>
      <c r="H44" s="6">
        <v>60</v>
      </c>
      <c r="I44" s="3"/>
      <c r="J44" s="7">
        <f t="shared" si="1"/>
        <v>0</v>
      </c>
      <c r="K44" s="3"/>
      <c r="L44" s="6">
        <f t="shared" si="2"/>
        <v>285.24</v>
      </c>
      <c r="M44" s="3"/>
      <c r="N44" s="7">
        <f t="shared" si="3"/>
        <v>4.7540000000000004</v>
      </c>
      <c r="O44" s="9"/>
      <c r="P44" s="6">
        <v>6494.83</v>
      </c>
      <c r="Q44" s="3"/>
      <c r="R44" s="7">
        <f t="shared" si="4"/>
        <v>0</v>
      </c>
      <c r="S44" s="3"/>
      <c r="T44" s="6">
        <v>503.72</v>
      </c>
      <c r="U44" s="3"/>
      <c r="V44" s="7">
        <f t="shared" si="5"/>
        <v>0</v>
      </c>
      <c r="W44" s="3"/>
      <c r="X44" s="6">
        <f t="shared" si="6"/>
        <v>5991.11</v>
      </c>
      <c r="Y44" s="3"/>
      <c r="Z44" s="7">
        <f t="shared" si="7"/>
        <v>11.893730644008574</v>
      </c>
    </row>
    <row r="45" spans="1:26" s="68" customFormat="1" ht="15" customHeight="1" outlineLevel="1" collapsed="1" x14ac:dyDescent="0.3">
      <c r="A45" s="20"/>
      <c r="B45" s="11" t="str">
        <f>CONCATENATE("     ","General                                           ")</f>
        <v xml:space="preserve">     General                                           </v>
      </c>
      <c r="C45" s="11"/>
      <c r="D45" s="2">
        <f>SUM(OSRRefD22_7x_0)</f>
        <v>93.26</v>
      </c>
      <c r="E45" s="2"/>
      <c r="F45" s="5">
        <f t="shared" si="0"/>
        <v>0</v>
      </c>
      <c r="G45" s="2"/>
      <c r="H45" s="2">
        <f>SUM(OSRRefH22_7x_0)</f>
        <v>0</v>
      </c>
      <c r="I45" s="2"/>
      <c r="J45" s="5">
        <f t="shared" si="1"/>
        <v>0</v>
      </c>
      <c r="K45" s="2"/>
      <c r="L45" s="2">
        <f t="shared" si="2"/>
        <v>93.26</v>
      </c>
      <c r="M45" s="2"/>
      <c r="N45" s="5">
        <f t="shared" si="3"/>
        <v>0</v>
      </c>
      <c r="O45" s="11"/>
      <c r="P45" s="2">
        <f>SUM(OSRRefP22_7x_0)</f>
        <v>3167.81</v>
      </c>
      <c r="Q45" s="2"/>
      <c r="R45" s="5">
        <f t="shared" si="4"/>
        <v>0</v>
      </c>
      <c r="S45" s="2"/>
      <c r="T45" s="2">
        <f>SUM(OSRRefT22_7x_0)</f>
        <v>2969.55</v>
      </c>
      <c r="U45" s="2"/>
      <c r="V45" s="5">
        <f t="shared" si="5"/>
        <v>0</v>
      </c>
      <c r="W45" s="2"/>
      <c r="X45" s="2">
        <f t="shared" si="6"/>
        <v>198.25999999999976</v>
      </c>
      <c r="Y45" s="2"/>
      <c r="Z45" s="5">
        <f t="shared" si="7"/>
        <v>6.6764324560960334E-2</v>
      </c>
    </row>
    <row r="46" spans="1:26" s="69" customFormat="1" ht="15" hidden="1" customHeight="1" outlineLevel="2" x14ac:dyDescent="0.3">
      <c r="A46" s="21"/>
      <c r="B46" s="9" t="str">
        <f>CONCATENATE("          ","6279"," - ","GENERAL EXPENSE")</f>
        <v xml:space="preserve">          6279 - GENERAL EXPENSE</v>
      </c>
      <c r="C46" s="9"/>
      <c r="D46" s="6">
        <v>93.26</v>
      </c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93.26</v>
      </c>
      <c r="M46" s="3"/>
      <c r="N46" s="7">
        <f t="shared" si="3"/>
        <v>0</v>
      </c>
      <c r="O46" s="9"/>
      <c r="P46" s="6">
        <v>3167.81</v>
      </c>
      <c r="Q46" s="3"/>
      <c r="R46" s="7">
        <f t="shared" si="4"/>
        <v>0</v>
      </c>
      <c r="S46" s="3"/>
      <c r="T46" s="6">
        <v>2969.55</v>
      </c>
      <c r="U46" s="3"/>
      <c r="V46" s="7">
        <f t="shared" si="5"/>
        <v>0</v>
      </c>
      <c r="W46" s="3"/>
      <c r="X46" s="6">
        <f t="shared" si="6"/>
        <v>198.25999999999976</v>
      </c>
      <c r="Y46" s="3"/>
      <c r="Z46" s="7">
        <f t="shared" si="7"/>
        <v>6.6764324560960334E-2</v>
      </c>
    </row>
    <row r="47" spans="1:26" s="68" customFormat="1" ht="15" customHeight="1" outlineLevel="1" collapsed="1" x14ac:dyDescent="0.3">
      <c r="A47" s="20"/>
      <c r="B47" s="11" t="str">
        <f>CONCATENATE("     ","Repair and Maintenance                            ")</f>
        <v xml:space="preserve">     Repair and Maintenance                            </v>
      </c>
      <c r="C47" s="11"/>
      <c r="D47" s="2">
        <f>SUM(OSRRefD22_8x_0)</f>
        <v>2779.97</v>
      </c>
      <c r="E47" s="2"/>
      <c r="F47" s="5">
        <f t="shared" si="0"/>
        <v>0</v>
      </c>
      <c r="G47" s="2"/>
      <c r="H47" s="2">
        <f>SUM(OSRRefH22_8x_0)</f>
        <v>955.09</v>
      </c>
      <c r="I47" s="2"/>
      <c r="J47" s="5">
        <f t="shared" si="1"/>
        <v>0</v>
      </c>
      <c r="K47" s="2"/>
      <c r="L47" s="2">
        <f t="shared" si="2"/>
        <v>1824.8799999999997</v>
      </c>
      <c r="M47" s="2"/>
      <c r="N47" s="5">
        <f t="shared" si="3"/>
        <v>1.9106890450114644</v>
      </c>
      <c r="O47" s="11"/>
      <c r="P47" s="2">
        <f>SUM(OSRRefP22_8x_0)</f>
        <v>13166.93</v>
      </c>
      <c r="Q47" s="2"/>
      <c r="R47" s="5">
        <f t="shared" si="4"/>
        <v>0</v>
      </c>
      <c r="S47" s="2"/>
      <c r="T47" s="2">
        <f>SUM(OSRRefT22_8x_0)</f>
        <v>1630.28</v>
      </c>
      <c r="U47" s="2"/>
      <c r="V47" s="5">
        <f t="shared" si="5"/>
        <v>0</v>
      </c>
      <c r="W47" s="2"/>
      <c r="X47" s="2">
        <f t="shared" si="6"/>
        <v>11536.65</v>
      </c>
      <c r="Y47" s="2"/>
      <c r="Z47" s="5">
        <f t="shared" si="7"/>
        <v>7.0764837941948624</v>
      </c>
    </row>
    <row r="48" spans="1:26" s="69" customFormat="1" ht="15" hidden="1" customHeight="1" outlineLevel="2" x14ac:dyDescent="0.3">
      <c r="A48" s="21"/>
      <c r="B48" s="9" t="str">
        <f>CONCATENATE("          ","6373"," - ","MAINTENANCE CONTRACTS")</f>
        <v xml:space="preserve">          6373 - MAINTENANCE CONTRACTS</v>
      </c>
      <c r="C48" s="9"/>
      <c r="D48" s="6"/>
      <c r="E48" s="3"/>
      <c r="F48" s="7">
        <f t="shared" si="0"/>
        <v>0</v>
      </c>
      <c r="G48" s="3"/>
      <c r="H48" s="6">
        <v>198.46</v>
      </c>
      <c r="I48" s="3"/>
      <c r="J48" s="7">
        <f t="shared" si="1"/>
        <v>0</v>
      </c>
      <c r="K48" s="3"/>
      <c r="L48" s="6">
        <f t="shared" si="2"/>
        <v>-198.46</v>
      </c>
      <c r="M48" s="3"/>
      <c r="N48" s="7">
        <f t="shared" si="3"/>
        <v>-1</v>
      </c>
      <c r="O48" s="9"/>
      <c r="P48" s="6">
        <v>3567.59</v>
      </c>
      <c r="Q48" s="3"/>
      <c r="R48" s="7">
        <f t="shared" si="4"/>
        <v>0</v>
      </c>
      <c r="S48" s="3"/>
      <c r="T48" s="6">
        <v>873.65</v>
      </c>
      <c r="U48" s="3"/>
      <c r="V48" s="7">
        <f t="shared" si="5"/>
        <v>0</v>
      </c>
      <c r="W48" s="3"/>
      <c r="X48" s="6">
        <f t="shared" si="6"/>
        <v>2693.94</v>
      </c>
      <c r="Y48" s="3"/>
      <c r="Z48" s="7">
        <f t="shared" si="7"/>
        <v>3.0835460424655183</v>
      </c>
    </row>
    <row r="49" spans="1:26" s="69" customFormat="1" ht="15" hidden="1" customHeight="1" outlineLevel="2" x14ac:dyDescent="0.3">
      <c r="A49" s="21"/>
      <c r="B49" s="9" t="str">
        <f>CONCATENATE("          ","6375"," - ","OUTSIDE REPAIRS &amp; MAINTENANCE")</f>
        <v xml:space="preserve">          6375 - OUTSIDE REPAIRS &amp; MAINTENANCE</v>
      </c>
      <c r="C49" s="9"/>
      <c r="D49" s="6">
        <v>2779.97</v>
      </c>
      <c r="E49" s="3"/>
      <c r="F49" s="7">
        <f t="shared" si="0"/>
        <v>0</v>
      </c>
      <c r="G49" s="3"/>
      <c r="H49" s="6">
        <v>756.63</v>
      </c>
      <c r="I49" s="3"/>
      <c r="J49" s="7">
        <f t="shared" si="1"/>
        <v>0</v>
      </c>
      <c r="K49" s="3"/>
      <c r="L49" s="6">
        <f t="shared" si="2"/>
        <v>2023.3399999999997</v>
      </c>
      <c r="M49" s="3"/>
      <c r="N49" s="7">
        <f t="shared" si="3"/>
        <v>2.674147205371185</v>
      </c>
      <c r="O49" s="9"/>
      <c r="P49" s="6">
        <v>9599.34</v>
      </c>
      <c r="Q49" s="3"/>
      <c r="R49" s="7">
        <f t="shared" si="4"/>
        <v>0</v>
      </c>
      <c r="S49" s="3"/>
      <c r="T49" s="6">
        <v>756.63</v>
      </c>
      <c r="U49" s="3"/>
      <c r="V49" s="7">
        <f t="shared" si="5"/>
        <v>0</v>
      </c>
      <c r="W49" s="3"/>
      <c r="X49" s="6">
        <f t="shared" si="6"/>
        <v>8842.7100000000009</v>
      </c>
      <c r="Y49" s="3"/>
      <c r="Z49" s="7">
        <f t="shared" si="7"/>
        <v>11.686967209864797</v>
      </c>
    </row>
    <row r="50" spans="1:26" s="68" customFormat="1" ht="15" customHeight="1" outlineLevel="1" collapsed="1" x14ac:dyDescent="0.3">
      <c r="A50" s="20"/>
      <c r="B50" s="11" t="str">
        <f>CONCATENATE("     ","Services                                          ")</f>
        <v xml:space="preserve">     Services                                          </v>
      </c>
      <c r="C50" s="11"/>
      <c r="D50" s="2">
        <f>SUM(OSRRefD22_9x_0)</f>
        <v>0</v>
      </c>
      <c r="E50" s="2"/>
      <c r="F50" s="5">
        <f t="shared" si="0"/>
        <v>0</v>
      </c>
      <c r="G50" s="2"/>
      <c r="H50" s="2">
        <f>SUM(OSRRefH22_9x_0)</f>
        <v>0</v>
      </c>
      <c r="I50" s="2"/>
      <c r="J50" s="5">
        <f t="shared" si="1"/>
        <v>0</v>
      </c>
      <c r="K50" s="2"/>
      <c r="L50" s="2">
        <f t="shared" si="2"/>
        <v>0</v>
      </c>
      <c r="M50" s="2"/>
      <c r="N50" s="5">
        <f t="shared" si="3"/>
        <v>0</v>
      </c>
      <c r="O50" s="11"/>
      <c r="P50" s="2">
        <f>SUM(OSRRefP22_9x_0)</f>
        <v>260</v>
      </c>
      <c r="Q50" s="2"/>
      <c r="R50" s="5">
        <f t="shared" si="4"/>
        <v>0</v>
      </c>
      <c r="S50" s="2"/>
      <c r="T50" s="2">
        <f>SUM(OSRRefT22_9x_0)</f>
        <v>0</v>
      </c>
      <c r="U50" s="2"/>
      <c r="V50" s="5">
        <f t="shared" si="5"/>
        <v>0</v>
      </c>
      <c r="W50" s="2"/>
      <c r="X50" s="2">
        <f t="shared" si="6"/>
        <v>260</v>
      </c>
      <c r="Y50" s="2"/>
      <c r="Z50" s="5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","6285"," - ","JANITORIAL SERVICES")</f>
        <v xml:space="preserve">          6285 - JANITORIAL SERVICES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260</v>
      </c>
      <c r="Q51" s="3"/>
      <c r="R51" s="7">
        <f t="shared" si="4"/>
        <v>0</v>
      </c>
      <c r="S51" s="3"/>
      <c r="T51" s="6"/>
      <c r="U51" s="3"/>
      <c r="V51" s="7">
        <f t="shared" si="5"/>
        <v>0</v>
      </c>
      <c r="W51" s="3"/>
      <c r="X51" s="6">
        <f t="shared" si="6"/>
        <v>260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0"/>
      <c r="B52" s="11" t="str">
        <f>CONCATENATE("     ","Subscriptions &amp; Dues                              ")</f>
        <v xml:space="preserve">     Subscriptions &amp; Dues                              </v>
      </c>
      <c r="C52" s="11"/>
      <c r="D52" s="2">
        <f>SUM(OSRRefD22_10x_0)</f>
        <v>214.91</v>
      </c>
      <c r="E52" s="2"/>
      <c r="F52" s="5">
        <f t="shared" si="0"/>
        <v>0</v>
      </c>
      <c r="G52" s="2"/>
      <c r="H52" s="2">
        <f>SUM(OSRRefH22_10x_0)</f>
        <v>0</v>
      </c>
      <c r="I52" s="2"/>
      <c r="J52" s="5">
        <f t="shared" si="1"/>
        <v>0</v>
      </c>
      <c r="K52" s="2"/>
      <c r="L52" s="2">
        <f t="shared" si="2"/>
        <v>214.91</v>
      </c>
      <c r="M52" s="2"/>
      <c r="N52" s="5">
        <f t="shared" si="3"/>
        <v>0</v>
      </c>
      <c r="O52" s="11"/>
      <c r="P52" s="2">
        <f>SUM(OSRRefP22_10x_0)</f>
        <v>2712.66</v>
      </c>
      <c r="Q52" s="2"/>
      <c r="R52" s="5">
        <f t="shared" si="4"/>
        <v>0</v>
      </c>
      <c r="S52" s="2"/>
      <c r="T52" s="2">
        <f>SUM(OSRRefT22_10x_0)</f>
        <v>0</v>
      </c>
      <c r="U52" s="2"/>
      <c r="V52" s="5">
        <f t="shared" si="5"/>
        <v>0</v>
      </c>
      <c r="W52" s="2"/>
      <c r="X52" s="2">
        <f t="shared" si="6"/>
        <v>2712.66</v>
      </c>
      <c r="Y52" s="2"/>
      <c r="Z52" s="5">
        <f t="shared" si="7"/>
        <v>0</v>
      </c>
    </row>
    <row r="53" spans="1:26" s="69" customFormat="1" ht="15" hidden="1" customHeight="1" outlineLevel="2" x14ac:dyDescent="0.3">
      <c r="A53" s="21"/>
      <c r="B53" s="9" t="str">
        <f>CONCATENATE("          ","6275"," - ","SUBSCRIPTIONS")</f>
        <v xml:space="preserve">          6275 - SUBSCRIPTIONS</v>
      </c>
      <c r="C53" s="9"/>
      <c r="D53" s="6">
        <v>214.91</v>
      </c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214.91</v>
      </c>
      <c r="M53" s="3"/>
      <c r="N53" s="7">
        <f t="shared" si="3"/>
        <v>0</v>
      </c>
      <c r="O53" s="9"/>
      <c r="P53" s="6">
        <v>2712.66</v>
      </c>
      <c r="Q53" s="3"/>
      <c r="R53" s="7">
        <f t="shared" si="4"/>
        <v>0</v>
      </c>
      <c r="S53" s="3"/>
      <c r="T53" s="6"/>
      <c r="U53" s="3"/>
      <c r="V53" s="7">
        <f t="shared" si="5"/>
        <v>0</v>
      </c>
      <c r="W53" s="3"/>
      <c r="X53" s="6">
        <f t="shared" si="6"/>
        <v>2712.66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0"/>
      <c r="B54" s="11" t="str">
        <f>CONCATENATE("     ","Supplies                                          ")</f>
        <v xml:space="preserve">     Supplies                                          </v>
      </c>
      <c r="C54" s="11"/>
      <c r="D54" s="2">
        <f>SUM(OSRRefD22_11x_0)</f>
        <v>0</v>
      </c>
      <c r="E54" s="2"/>
      <c r="F54" s="5">
        <f t="shared" si="0"/>
        <v>0</v>
      </c>
      <c r="G54" s="2"/>
      <c r="H54" s="2">
        <f>SUM(OSRRefH22_11x_0)</f>
        <v>301.64</v>
      </c>
      <c r="I54" s="2"/>
      <c r="J54" s="5">
        <f t="shared" si="1"/>
        <v>0</v>
      </c>
      <c r="K54" s="2"/>
      <c r="L54" s="2">
        <f t="shared" si="2"/>
        <v>-301.64</v>
      </c>
      <c r="M54" s="2"/>
      <c r="N54" s="5">
        <f t="shared" si="3"/>
        <v>-1</v>
      </c>
      <c r="O54" s="11"/>
      <c r="P54" s="2">
        <f>SUM(OSRRefP22_11x_0)</f>
        <v>2834.56</v>
      </c>
      <c r="Q54" s="2"/>
      <c r="R54" s="5">
        <f t="shared" si="4"/>
        <v>0</v>
      </c>
      <c r="S54" s="2"/>
      <c r="T54" s="2">
        <f>SUM(OSRRefT22_11x_0)</f>
        <v>301.64</v>
      </c>
      <c r="U54" s="2"/>
      <c r="V54" s="5">
        <f t="shared" si="5"/>
        <v>0</v>
      </c>
      <c r="W54" s="2"/>
      <c r="X54" s="2">
        <f t="shared" si="6"/>
        <v>2532.92</v>
      </c>
      <c r="Y54" s="2"/>
      <c r="Z54" s="5">
        <f t="shared" si="7"/>
        <v>8.3971621800822174</v>
      </c>
    </row>
    <row r="55" spans="1:26" s="69" customFormat="1" ht="15" hidden="1" customHeight="1" outlineLevel="2" x14ac:dyDescent="0.3">
      <c r="A55" s="21"/>
      <c r="B55" s="9" t="str">
        <f>CONCATENATE("          ","6235"," - ","COVID-19 EXPENSES")</f>
        <v xml:space="preserve">          6235 - COVID-19 EXPENSES</v>
      </c>
      <c r="C55" s="9"/>
      <c r="D55" s="6"/>
      <c r="E55" s="3"/>
      <c r="F55" s="7">
        <f t="shared" si="0"/>
        <v>0</v>
      </c>
      <c r="G55" s="3"/>
      <c r="H55" s="6"/>
      <c r="I55" s="3"/>
      <c r="J55" s="7">
        <f t="shared" si="1"/>
        <v>0</v>
      </c>
      <c r="K55" s="3"/>
      <c r="L55" s="6">
        <f t="shared" si="2"/>
        <v>0</v>
      </c>
      <c r="M55" s="3"/>
      <c r="N55" s="7">
        <f t="shared" si="3"/>
        <v>0</v>
      </c>
      <c r="O55" s="9"/>
      <c r="P55" s="6">
        <v>35.72</v>
      </c>
      <c r="Q55" s="3"/>
      <c r="R55" s="7">
        <f t="shared" si="4"/>
        <v>0</v>
      </c>
      <c r="S55" s="3"/>
      <c r="T55" s="6"/>
      <c r="U55" s="3"/>
      <c r="V55" s="7">
        <f t="shared" si="5"/>
        <v>0</v>
      </c>
      <c r="W55" s="3"/>
      <c r="X55" s="6">
        <f t="shared" si="6"/>
        <v>35.72</v>
      </c>
      <c r="Y55" s="3"/>
      <c r="Z55" s="7">
        <f t="shared" si="7"/>
        <v>0</v>
      </c>
    </row>
    <row r="56" spans="1:26" s="69" customFormat="1" ht="15" hidden="1" customHeight="1" outlineLevel="2" x14ac:dyDescent="0.3">
      <c r="A56" s="21"/>
      <c r="B56" s="9" t="str">
        <f>CONCATENATE("          ","6237"," - ","JANITORIAL SUPPLIES")</f>
        <v xml:space="preserve">          6237 - JANITORIAL SUPPLIES</v>
      </c>
      <c r="C56" s="9"/>
      <c r="D56" s="6"/>
      <c r="E56" s="3"/>
      <c r="F56" s="7">
        <f t="shared" si="0"/>
        <v>0</v>
      </c>
      <c r="G56" s="3"/>
      <c r="H56" s="6"/>
      <c r="I56" s="3"/>
      <c r="J56" s="7">
        <f t="shared" si="1"/>
        <v>0</v>
      </c>
      <c r="K56" s="3"/>
      <c r="L56" s="6">
        <f t="shared" si="2"/>
        <v>0</v>
      </c>
      <c r="M56" s="3"/>
      <c r="N56" s="7">
        <f t="shared" si="3"/>
        <v>0</v>
      </c>
      <c r="O56" s="9"/>
      <c r="P56" s="6">
        <v>796.76</v>
      </c>
      <c r="Q56" s="3"/>
      <c r="R56" s="7">
        <f t="shared" si="4"/>
        <v>0</v>
      </c>
      <c r="S56" s="3"/>
      <c r="T56" s="6"/>
      <c r="U56" s="3"/>
      <c r="V56" s="7">
        <f t="shared" si="5"/>
        <v>0</v>
      </c>
      <c r="W56" s="3"/>
      <c r="X56" s="6">
        <f t="shared" si="6"/>
        <v>796.76</v>
      </c>
      <c r="Y56" s="3"/>
      <c r="Z56" s="7">
        <f t="shared" si="7"/>
        <v>0</v>
      </c>
    </row>
    <row r="57" spans="1:26" s="69" customFormat="1" ht="15" hidden="1" customHeight="1" outlineLevel="2" x14ac:dyDescent="0.3">
      <c r="A57" s="21"/>
      <c r="B57" s="9" t="str">
        <f>CONCATENATE("          ","6239"," - ","KITCHEN SUPPLIES")</f>
        <v xml:space="preserve">          6239 - KITCHEN SUPPLIES</v>
      </c>
      <c r="C57" s="9"/>
      <c r="D57" s="6"/>
      <c r="E57" s="3"/>
      <c r="F57" s="7">
        <f t="shared" si="0"/>
        <v>0</v>
      </c>
      <c r="G57" s="3"/>
      <c r="H57" s="6">
        <v>301.64</v>
      </c>
      <c r="I57" s="3"/>
      <c r="J57" s="7">
        <f t="shared" si="1"/>
        <v>0</v>
      </c>
      <c r="K57" s="3"/>
      <c r="L57" s="6">
        <f t="shared" si="2"/>
        <v>-301.64</v>
      </c>
      <c r="M57" s="3"/>
      <c r="N57" s="7">
        <f t="shared" si="3"/>
        <v>-1</v>
      </c>
      <c r="O57" s="9"/>
      <c r="P57" s="6">
        <v>214.67</v>
      </c>
      <c r="Q57" s="3"/>
      <c r="R57" s="7">
        <f t="shared" si="4"/>
        <v>0</v>
      </c>
      <c r="S57" s="3"/>
      <c r="T57" s="6">
        <v>301.64</v>
      </c>
      <c r="U57" s="3"/>
      <c r="V57" s="7">
        <f t="shared" si="5"/>
        <v>0</v>
      </c>
      <c r="W57" s="3"/>
      <c r="X57" s="6">
        <f t="shared" si="6"/>
        <v>-86.97</v>
      </c>
      <c r="Y57" s="3"/>
      <c r="Z57" s="7">
        <f t="shared" si="7"/>
        <v>-0.28832382973080495</v>
      </c>
    </row>
    <row r="58" spans="1:26" s="69" customFormat="1" ht="15" hidden="1" customHeight="1" outlineLevel="2" x14ac:dyDescent="0.3">
      <c r="A58" s="21"/>
      <c r="B58" s="9" t="str">
        <f>CONCATENATE("          ","6241"," - ","OFFICE EXPENSE")</f>
        <v xml:space="preserve">          6241 - OFFICE EXPENSE</v>
      </c>
      <c r="C58" s="9"/>
      <c r="D58" s="6"/>
      <c r="E58" s="3"/>
      <c r="F58" s="7">
        <f t="shared" si="0"/>
        <v>0</v>
      </c>
      <c r="G58" s="3"/>
      <c r="H58" s="6"/>
      <c r="I58" s="3"/>
      <c r="J58" s="7">
        <f t="shared" si="1"/>
        <v>0</v>
      </c>
      <c r="K58" s="3"/>
      <c r="L58" s="6">
        <f t="shared" si="2"/>
        <v>0</v>
      </c>
      <c r="M58" s="3"/>
      <c r="N58" s="7">
        <f t="shared" si="3"/>
        <v>0</v>
      </c>
      <c r="O58" s="9"/>
      <c r="P58" s="6">
        <v>893.22</v>
      </c>
      <c r="Q58" s="3"/>
      <c r="R58" s="7">
        <f t="shared" si="4"/>
        <v>0</v>
      </c>
      <c r="S58" s="3"/>
      <c r="T58" s="6"/>
      <c r="U58" s="3"/>
      <c r="V58" s="7">
        <f t="shared" si="5"/>
        <v>0</v>
      </c>
      <c r="W58" s="3"/>
      <c r="X58" s="6">
        <f t="shared" si="6"/>
        <v>893.22</v>
      </c>
      <c r="Y58" s="3"/>
      <c r="Z58" s="7">
        <f t="shared" si="7"/>
        <v>0</v>
      </c>
    </row>
    <row r="59" spans="1:26" s="69" customFormat="1" ht="15" hidden="1" customHeight="1" outlineLevel="2" x14ac:dyDescent="0.3">
      <c r="A59" s="21"/>
      <c r="B59" s="9" t="str">
        <f>CONCATENATE("          ","6243"," - ","PAPER SUPPLIES")</f>
        <v xml:space="preserve">          6243 - PAPER SUPPLIES</v>
      </c>
      <c r="C59" s="9"/>
      <c r="D59" s="6"/>
      <c r="E59" s="3"/>
      <c r="F59" s="7">
        <f t="shared" si="0"/>
        <v>0</v>
      </c>
      <c r="G59" s="3"/>
      <c r="H59" s="6"/>
      <c r="I59" s="3"/>
      <c r="J59" s="7">
        <f t="shared" si="1"/>
        <v>0</v>
      </c>
      <c r="K59" s="3"/>
      <c r="L59" s="6">
        <f t="shared" si="2"/>
        <v>0</v>
      </c>
      <c r="M59" s="3"/>
      <c r="N59" s="7">
        <f t="shared" si="3"/>
        <v>0</v>
      </c>
      <c r="O59" s="9"/>
      <c r="P59" s="6">
        <v>138.19</v>
      </c>
      <c r="Q59" s="3"/>
      <c r="R59" s="7">
        <f t="shared" si="4"/>
        <v>0</v>
      </c>
      <c r="S59" s="3"/>
      <c r="T59" s="6"/>
      <c r="U59" s="3"/>
      <c r="V59" s="7">
        <f t="shared" si="5"/>
        <v>0</v>
      </c>
      <c r="W59" s="3"/>
      <c r="X59" s="6">
        <f t="shared" si="6"/>
        <v>138.19</v>
      </c>
      <c r="Y59" s="3"/>
      <c r="Z59" s="7">
        <f t="shared" si="7"/>
        <v>0</v>
      </c>
    </row>
    <row r="60" spans="1:26" s="69" customFormat="1" ht="15" hidden="1" customHeight="1" outlineLevel="2" x14ac:dyDescent="0.3">
      <c r="A60" s="21"/>
      <c r="B60" s="9" t="str">
        <f>CONCATENATE("          ","6245"," - ","PRINTING")</f>
        <v xml:space="preserve">          6245 - PRINTING</v>
      </c>
      <c r="C60" s="9"/>
      <c r="D60" s="6"/>
      <c r="E60" s="3"/>
      <c r="F60" s="7">
        <f t="shared" si="0"/>
        <v>0</v>
      </c>
      <c r="G60" s="3"/>
      <c r="H60" s="6"/>
      <c r="I60" s="3"/>
      <c r="J60" s="7">
        <f t="shared" si="1"/>
        <v>0</v>
      </c>
      <c r="K60" s="3"/>
      <c r="L60" s="6">
        <f t="shared" si="2"/>
        <v>0</v>
      </c>
      <c r="M60" s="3"/>
      <c r="N60" s="7">
        <f t="shared" si="3"/>
        <v>0</v>
      </c>
      <c r="O60" s="9"/>
      <c r="P60" s="6">
        <v>338</v>
      </c>
      <c r="Q60" s="3"/>
      <c r="R60" s="7">
        <f t="shared" si="4"/>
        <v>0</v>
      </c>
      <c r="S60" s="3"/>
      <c r="T60" s="6"/>
      <c r="U60" s="3"/>
      <c r="V60" s="7">
        <f t="shared" si="5"/>
        <v>0</v>
      </c>
      <c r="W60" s="3"/>
      <c r="X60" s="6">
        <f t="shared" si="6"/>
        <v>338</v>
      </c>
      <c r="Y60" s="3"/>
      <c r="Z60" s="7">
        <f t="shared" si="7"/>
        <v>0</v>
      </c>
    </row>
    <row r="61" spans="1:26" s="69" customFormat="1" ht="15" hidden="1" customHeight="1" outlineLevel="2" x14ac:dyDescent="0.3">
      <c r="A61" s="21"/>
      <c r="B61" s="9" t="str">
        <f>CONCATENATE("          ","6247"," - ","STORE SUPPLIES")</f>
        <v xml:space="preserve">          6247 - STORE SUPPLIES</v>
      </c>
      <c r="C61" s="9"/>
      <c r="D61" s="6"/>
      <c r="E61" s="3"/>
      <c r="F61" s="7">
        <f t="shared" si="0"/>
        <v>0</v>
      </c>
      <c r="G61" s="3"/>
      <c r="H61" s="6"/>
      <c r="I61" s="3"/>
      <c r="J61" s="7">
        <f t="shared" si="1"/>
        <v>0</v>
      </c>
      <c r="K61" s="3"/>
      <c r="L61" s="6">
        <f t="shared" si="2"/>
        <v>0</v>
      </c>
      <c r="M61" s="3"/>
      <c r="N61" s="7">
        <f t="shared" si="3"/>
        <v>0</v>
      </c>
      <c r="O61" s="9"/>
      <c r="P61" s="6">
        <v>418</v>
      </c>
      <c r="Q61" s="3"/>
      <c r="R61" s="7">
        <f t="shared" si="4"/>
        <v>0</v>
      </c>
      <c r="S61" s="3"/>
      <c r="T61" s="6"/>
      <c r="U61" s="3"/>
      <c r="V61" s="7">
        <f t="shared" si="5"/>
        <v>0</v>
      </c>
      <c r="W61" s="3"/>
      <c r="X61" s="6">
        <f t="shared" si="6"/>
        <v>418</v>
      </c>
      <c r="Y61" s="3"/>
      <c r="Z61" s="7">
        <f t="shared" si="7"/>
        <v>0</v>
      </c>
    </row>
    <row r="62" spans="1:26" s="68" customFormat="1" ht="15" customHeight="1" outlineLevel="1" collapsed="1" x14ac:dyDescent="0.3">
      <c r="A62" s="20"/>
      <c r="B62" s="11" t="str">
        <f>CONCATENATE("     ","Telephone/Data Lines                              ")</f>
        <v xml:space="preserve">     Telephone/Data Lines                              </v>
      </c>
      <c r="C62" s="11"/>
      <c r="D62" s="2">
        <f>SUM(OSRRefD22_12x_0)</f>
        <v>106.5</v>
      </c>
      <c r="E62" s="2"/>
      <c r="F62" s="5">
        <f t="shared" si="0"/>
        <v>0</v>
      </c>
      <c r="G62" s="2"/>
      <c r="H62" s="2">
        <f>SUM(OSRRefH22_12x_0)</f>
        <v>0</v>
      </c>
      <c r="I62" s="2"/>
      <c r="J62" s="5">
        <f t="shared" si="1"/>
        <v>0</v>
      </c>
      <c r="K62" s="2"/>
      <c r="L62" s="2">
        <f t="shared" si="2"/>
        <v>106.5</v>
      </c>
      <c r="M62" s="2"/>
      <c r="N62" s="5">
        <f t="shared" si="3"/>
        <v>0</v>
      </c>
      <c r="O62" s="11"/>
      <c r="P62" s="2">
        <f>SUM(OSRRefP22_12x_0)</f>
        <v>1164</v>
      </c>
      <c r="Q62" s="2"/>
      <c r="R62" s="5">
        <f t="shared" si="4"/>
        <v>0</v>
      </c>
      <c r="S62" s="2"/>
      <c r="T62" s="2">
        <f>SUM(OSRRefT22_12x_0)</f>
        <v>250.87</v>
      </c>
      <c r="U62" s="2"/>
      <c r="V62" s="5">
        <f t="shared" si="5"/>
        <v>0</v>
      </c>
      <c r="W62" s="2"/>
      <c r="X62" s="2">
        <f t="shared" si="6"/>
        <v>913.13</v>
      </c>
      <c r="Y62" s="2"/>
      <c r="Z62" s="5">
        <f t="shared" si="7"/>
        <v>3.639853310479531</v>
      </c>
    </row>
    <row r="63" spans="1:26" s="69" customFormat="1" ht="15" hidden="1" customHeight="1" outlineLevel="2" x14ac:dyDescent="0.3">
      <c r="A63" s="21"/>
      <c r="B63" s="9" t="str">
        <f>CONCATENATE("          ","6309"," - ","TELEPHONE")</f>
        <v xml:space="preserve">          6309 - TELEPHONE</v>
      </c>
      <c r="C63" s="9"/>
      <c r="D63" s="6">
        <v>106.5</v>
      </c>
      <c r="E63" s="3"/>
      <c r="F63" s="7">
        <f t="shared" si="0"/>
        <v>0</v>
      </c>
      <c r="G63" s="3"/>
      <c r="H63" s="6"/>
      <c r="I63" s="3"/>
      <c r="J63" s="7">
        <f t="shared" si="1"/>
        <v>0</v>
      </c>
      <c r="K63" s="3"/>
      <c r="L63" s="6">
        <f t="shared" si="2"/>
        <v>106.5</v>
      </c>
      <c r="M63" s="3"/>
      <c r="N63" s="7">
        <f t="shared" si="3"/>
        <v>0</v>
      </c>
      <c r="O63" s="9"/>
      <c r="P63" s="6">
        <v>1164</v>
      </c>
      <c r="Q63" s="3"/>
      <c r="R63" s="7">
        <f t="shared" si="4"/>
        <v>0</v>
      </c>
      <c r="S63" s="3"/>
      <c r="T63" s="6">
        <v>250.87</v>
      </c>
      <c r="U63" s="3"/>
      <c r="V63" s="7">
        <f t="shared" si="5"/>
        <v>0</v>
      </c>
      <c r="W63" s="3"/>
      <c r="X63" s="6">
        <f t="shared" si="6"/>
        <v>913.13</v>
      </c>
      <c r="Y63" s="3"/>
      <c r="Z63" s="7">
        <f t="shared" si="7"/>
        <v>3.639853310479531</v>
      </c>
    </row>
    <row r="64" spans="1:26" s="68" customFormat="1" ht="15" customHeight="1" outlineLevel="1" collapsed="1" x14ac:dyDescent="0.3">
      <c r="A64" s="20"/>
      <c r="B64" s="11" t="str">
        <f>CONCATENATE("     ","Training                                          ")</f>
        <v xml:space="preserve">     Training                                          </v>
      </c>
      <c r="C64" s="11"/>
      <c r="D64" s="2">
        <f>SUM(OSRRefD22_13x_0)</f>
        <v>0</v>
      </c>
      <c r="E64" s="2"/>
      <c r="F64" s="5">
        <f t="shared" si="0"/>
        <v>0</v>
      </c>
      <c r="G64" s="2"/>
      <c r="H64" s="2">
        <f>SUM(OSRRefH22_13x_0)</f>
        <v>0</v>
      </c>
      <c r="I64" s="2"/>
      <c r="J64" s="5">
        <f t="shared" si="1"/>
        <v>0</v>
      </c>
      <c r="K64" s="2"/>
      <c r="L64" s="2">
        <f t="shared" si="2"/>
        <v>0</v>
      </c>
      <c r="M64" s="2"/>
      <c r="N64" s="5">
        <f t="shared" si="3"/>
        <v>0</v>
      </c>
      <c r="O64" s="11"/>
      <c r="P64" s="2">
        <f>SUM(OSRRefP22_13x_0)</f>
        <v>120</v>
      </c>
      <c r="Q64" s="2"/>
      <c r="R64" s="5">
        <f t="shared" si="4"/>
        <v>0</v>
      </c>
      <c r="S64" s="2"/>
      <c r="T64" s="2">
        <f>SUM(OSRRefT22_13x_0)</f>
        <v>0</v>
      </c>
      <c r="U64" s="2"/>
      <c r="V64" s="5">
        <f t="shared" si="5"/>
        <v>0</v>
      </c>
      <c r="W64" s="2"/>
      <c r="X64" s="2">
        <f t="shared" si="6"/>
        <v>120</v>
      </c>
      <c r="Y64" s="2"/>
      <c r="Z64" s="5">
        <f t="shared" si="7"/>
        <v>0</v>
      </c>
    </row>
    <row r="65" spans="1:26" s="69" customFormat="1" ht="15" hidden="1" customHeight="1" outlineLevel="2" x14ac:dyDescent="0.3">
      <c r="A65" s="21"/>
      <c r="B65" s="9" t="str">
        <f>CONCATENATE("          ","6376"," - ","TRAINING")</f>
        <v xml:space="preserve">          6376 - TRAINING</v>
      </c>
      <c r="C65" s="9"/>
      <c r="D65" s="6"/>
      <c r="E65" s="3"/>
      <c r="F65" s="7">
        <f t="shared" si="0"/>
        <v>0</v>
      </c>
      <c r="G65" s="3"/>
      <c r="H65" s="6"/>
      <c r="I65" s="3"/>
      <c r="J65" s="7">
        <f t="shared" si="1"/>
        <v>0</v>
      </c>
      <c r="K65" s="3"/>
      <c r="L65" s="6">
        <f t="shared" si="2"/>
        <v>0</v>
      </c>
      <c r="M65" s="3"/>
      <c r="N65" s="7">
        <f t="shared" si="3"/>
        <v>0</v>
      </c>
      <c r="O65" s="9"/>
      <c r="P65" s="6">
        <v>120</v>
      </c>
      <c r="Q65" s="3"/>
      <c r="R65" s="7">
        <f t="shared" si="4"/>
        <v>0</v>
      </c>
      <c r="S65" s="3"/>
      <c r="T65" s="6"/>
      <c r="U65" s="3"/>
      <c r="V65" s="7">
        <f t="shared" si="5"/>
        <v>0</v>
      </c>
      <c r="W65" s="3"/>
      <c r="X65" s="6">
        <f t="shared" si="6"/>
        <v>120</v>
      </c>
      <c r="Y65" s="3"/>
      <c r="Z65" s="7">
        <f t="shared" si="7"/>
        <v>0</v>
      </c>
    </row>
    <row r="66" spans="1:26" s="64" customFormat="1" ht="15" customHeight="1" x14ac:dyDescent="0.3">
      <c r="A66" s="37"/>
      <c r="B66" s="37"/>
      <c r="C66" s="37"/>
      <c r="D66" s="2"/>
      <c r="E66" s="2"/>
      <c r="F66" s="5"/>
      <c r="G66" s="2"/>
      <c r="H66" s="2"/>
      <c r="I66" s="2"/>
      <c r="J66" s="5"/>
      <c r="K66" s="2"/>
      <c r="L66" s="2"/>
      <c r="M66" s="2"/>
      <c r="N66" s="5"/>
      <c r="O66" s="37"/>
      <c r="P66" s="2"/>
      <c r="Q66" s="2"/>
      <c r="R66" s="5"/>
      <c r="S66" s="2"/>
      <c r="T66" s="2"/>
      <c r="U66" s="2"/>
      <c r="V66" s="5"/>
      <c r="W66" s="2"/>
      <c r="X66" s="2"/>
      <c r="Y66" s="2"/>
      <c r="Z66" s="5"/>
    </row>
    <row r="67" spans="1:26" s="62" customFormat="1" ht="15" customHeight="1" collapsed="1" x14ac:dyDescent="0.3">
      <c r="A67" s="13"/>
      <c r="B67" s="27" t="s">
        <v>290</v>
      </c>
      <c r="C67" s="13"/>
      <c r="D67" s="8">
        <f>SUM(OSRRefD25x_0)</f>
        <v>0</v>
      </c>
      <c r="E67" s="8"/>
      <c r="F67" s="14">
        <f>IF(D$12=0,0,D67/D$12)</f>
        <v>0</v>
      </c>
      <c r="G67" s="8"/>
      <c r="H67" s="8">
        <f>SUM(OSRRefH25x_0)</f>
        <v>0</v>
      </c>
      <c r="I67" s="8"/>
      <c r="J67" s="14">
        <f>IF(H$12=0,0,H67/H$12)</f>
        <v>0</v>
      </c>
      <c r="K67" s="8"/>
      <c r="L67" s="8">
        <f>+D67-H67</f>
        <v>0</v>
      </c>
      <c r="M67" s="8"/>
      <c r="N67" s="14">
        <f>IF(H67=0,0,L67/H67)</f>
        <v>0</v>
      </c>
      <c r="O67" s="13"/>
      <c r="P67" s="8">
        <f>SUM(OSRRefP25x_0)</f>
        <v>694.3</v>
      </c>
      <c r="Q67" s="8"/>
      <c r="R67" s="14">
        <f>IF(P$12=0,0,P67/P$12)</f>
        <v>0</v>
      </c>
      <c r="S67" s="8"/>
      <c r="T67" s="8">
        <f>SUM(OSRRefT25x_0)</f>
        <v>111.42</v>
      </c>
      <c r="U67" s="8"/>
      <c r="V67" s="14">
        <f>IF(T$12=0,0,T67/T$12)</f>
        <v>0</v>
      </c>
      <c r="W67" s="8"/>
      <c r="X67" s="8">
        <f>+P67-T67</f>
        <v>582.88</v>
      </c>
      <c r="Y67" s="8"/>
      <c r="Z67" s="14">
        <f>IF(T67=0,0,X67/T67)</f>
        <v>5.2313767725722489</v>
      </c>
    </row>
    <row r="68" spans="1:26" s="69" customFormat="1" ht="15" hidden="1" customHeight="1" outlineLevel="1" x14ac:dyDescent="0.3">
      <c r="A68" s="47"/>
      <c r="B68" s="9" t="str">
        <f>CONCATENATE("          ","9150"," - ","MISC. INCOME")</f>
        <v xml:space="preserve">          9150 - MISC. INCOME</v>
      </c>
      <c r="C68" s="9"/>
      <c r="D68" s="3">
        <f>0</f>
        <v>0</v>
      </c>
      <c r="E68" s="3"/>
      <c r="F68" s="26">
        <f>IF(D$12=0,0,D68/D$12)</f>
        <v>0</v>
      </c>
      <c r="G68" s="3"/>
      <c r="H68" s="3">
        <f>0</f>
        <v>0</v>
      </c>
      <c r="I68" s="3"/>
      <c r="J68" s="26">
        <f>IF(H$12=0,0,H68/H$12)</f>
        <v>0</v>
      </c>
      <c r="K68" s="3"/>
      <c r="L68" s="3">
        <f>+D68-H68</f>
        <v>0</v>
      </c>
      <c r="M68" s="3"/>
      <c r="N68" s="26">
        <f>IF(H68=0,0,L68/H68)</f>
        <v>0</v>
      </c>
      <c r="O68" s="9"/>
      <c r="P68" s="3">
        <f>--694.3</f>
        <v>694.3</v>
      </c>
      <c r="Q68" s="3"/>
      <c r="R68" s="26">
        <f>IF(P$12=0,0,P68/P$12)</f>
        <v>0</v>
      </c>
      <c r="S68" s="3"/>
      <c r="T68" s="3">
        <f>--111.42</f>
        <v>111.42</v>
      </c>
      <c r="U68" s="3"/>
      <c r="V68" s="26">
        <f>IF(T$12=0,0,T68/T$12)</f>
        <v>0</v>
      </c>
      <c r="W68" s="3"/>
      <c r="X68" s="3">
        <f>+P68-T68</f>
        <v>582.88</v>
      </c>
      <c r="Y68" s="3"/>
      <c r="Z68" s="26">
        <f>IF(T68=0,0,X68/T68)</f>
        <v>5.2313767725722489</v>
      </c>
    </row>
    <row r="69" spans="1:26" ht="15" customHeight="1" x14ac:dyDescent="0.3">
      <c r="A69" s="12"/>
      <c r="B69" s="13"/>
      <c r="C69" s="13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O69" s="13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s="62" customFormat="1" ht="15" customHeight="1" x14ac:dyDescent="0.3">
      <c r="A70" s="13"/>
      <c r="B70" s="28" t="s">
        <v>291</v>
      </c>
      <c r="C70" s="28"/>
      <c r="D70" s="22">
        <f>+D17-D19+D67</f>
        <v>-13666.539999999999</v>
      </c>
      <c r="E70" s="15"/>
      <c r="F70" s="24">
        <f>IF(D$12=0,0,D70/D$12)</f>
        <v>0</v>
      </c>
      <c r="G70" s="15"/>
      <c r="H70" s="22">
        <f>+H17-H19+H67</f>
        <v>-9992.8899999999976</v>
      </c>
      <c r="I70" s="15"/>
      <c r="J70" s="24">
        <f>IF(H$12=0,0,H70/H$12)</f>
        <v>0</v>
      </c>
      <c r="K70" s="17"/>
      <c r="L70" s="22">
        <f>+D70-H70</f>
        <v>-3673.6500000000015</v>
      </c>
      <c r="M70" s="17"/>
      <c r="N70" s="24">
        <f>IF(H70=0,0,L70/H70)</f>
        <v>0.36762638235785666</v>
      </c>
      <c r="O70" s="27"/>
      <c r="P70" s="22">
        <f>+P17-P19+P67</f>
        <v>-205324.80000000002</v>
      </c>
      <c r="Q70" s="15"/>
      <c r="R70" s="24">
        <f>IF(P$12=0,0,P70/P$12)</f>
        <v>0</v>
      </c>
      <c r="S70" s="15"/>
      <c r="T70" s="22">
        <f>+T17-T19+T67</f>
        <v>-97651.150000000009</v>
      </c>
      <c r="U70" s="15"/>
      <c r="V70" s="24">
        <f>IF(T$12=0,0,T70/T$12)</f>
        <v>0</v>
      </c>
      <c r="W70" s="17"/>
      <c r="X70" s="22">
        <f>+P70-T70</f>
        <v>-107673.65000000001</v>
      </c>
      <c r="Y70" s="17"/>
      <c r="Z70" s="24">
        <f>IF(T70=0,0,X70/T70)</f>
        <v>1.1026357600499328</v>
      </c>
    </row>
    <row r="71" spans="1:26" ht="15" customHeight="1" x14ac:dyDescent="0.3">
      <c r="A71" s="12"/>
      <c r="B71" s="13"/>
      <c r="C71" s="12"/>
      <c r="D71" s="4"/>
      <c r="E71" s="4"/>
      <c r="F71" s="10"/>
      <c r="G71" s="4"/>
      <c r="H71" s="4"/>
      <c r="I71" s="4"/>
      <c r="J71" s="10"/>
      <c r="K71" s="4"/>
      <c r="L71" s="4"/>
      <c r="M71" s="4"/>
      <c r="N71" s="10"/>
      <c r="P71" s="4"/>
      <c r="Q71" s="4"/>
      <c r="R71" s="10"/>
      <c r="S71" s="4"/>
      <c r="T71" s="4"/>
      <c r="U71" s="4"/>
      <c r="V71" s="10"/>
      <c r="W71" s="4"/>
      <c r="X71" s="4"/>
      <c r="Y71" s="4"/>
      <c r="Z71" s="10"/>
    </row>
    <row r="72" spans="1:26" s="62" customFormat="1" ht="15" customHeight="1" x14ac:dyDescent="0.3">
      <c r="A72" s="48"/>
      <c r="B72" s="13" t="s">
        <v>292</v>
      </c>
      <c r="C72" s="13"/>
      <c r="D72" s="8"/>
      <c r="E72" s="8"/>
      <c r="F72" s="14">
        <f>IF(D$12=0,0,D72/D$12)</f>
        <v>0</v>
      </c>
      <c r="G72" s="8"/>
      <c r="H72" s="8"/>
      <c r="I72" s="8"/>
      <c r="J72" s="14">
        <f>IF(H$12=0,0,H72/H$12)</f>
        <v>0</v>
      </c>
      <c r="K72" s="8"/>
      <c r="L72" s="8">
        <f>+D72-H72</f>
        <v>0</v>
      </c>
      <c r="M72" s="8"/>
      <c r="N72" s="14">
        <f>IF(H72=0,0,L72/H72)</f>
        <v>0</v>
      </c>
      <c r="O72" s="13"/>
      <c r="P72" s="8"/>
      <c r="Q72" s="8"/>
      <c r="R72" s="14">
        <f>IF(P$12=0,0,P72/P$12)</f>
        <v>0</v>
      </c>
      <c r="S72" s="8"/>
      <c r="T72" s="8"/>
      <c r="U72" s="8"/>
      <c r="V72" s="14">
        <f>IF(T$12=0,0,T72/T$12)</f>
        <v>0</v>
      </c>
      <c r="W72" s="8"/>
      <c r="X72" s="8">
        <f>+P72-T72</f>
        <v>0</v>
      </c>
      <c r="Y72" s="8"/>
      <c r="Z72" s="14">
        <f>IF(T72=0,0,X72/T72)</f>
        <v>0</v>
      </c>
    </row>
    <row r="73" spans="1:26" ht="15" customHeight="1" x14ac:dyDescent="0.3">
      <c r="A73" s="12"/>
      <c r="B73" s="13"/>
      <c r="C73" s="13"/>
      <c r="D73" s="4"/>
      <c r="E73" s="4"/>
      <c r="F73" s="10"/>
      <c r="G73" s="4"/>
      <c r="H73" s="4"/>
      <c r="I73" s="4"/>
      <c r="J73" s="10"/>
      <c r="K73" s="4"/>
      <c r="L73" s="4"/>
      <c r="M73" s="4"/>
      <c r="N73" s="10"/>
      <c r="O73" s="13"/>
      <c r="P73" s="4"/>
      <c r="Q73" s="4"/>
      <c r="R73" s="10"/>
      <c r="S73" s="4"/>
      <c r="T73" s="4"/>
      <c r="U73" s="4"/>
      <c r="V73" s="10"/>
      <c r="W73" s="4"/>
      <c r="X73" s="4"/>
      <c r="Y73" s="4"/>
      <c r="Z73" s="10"/>
    </row>
    <row r="74" spans="1:26" s="62" customFormat="1" ht="15" customHeight="1" x14ac:dyDescent="0.3">
      <c r="A74" s="13"/>
      <c r="B74" s="28" t="s">
        <v>293</v>
      </c>
      <c r="C74" s="28"/>
      <c r="D74" s="29">
        <f>+D70-D72</f>
        <v>-13666.539999999999</v>
      </c>
      <c r="E74" s="15"/>
      <c r="F74" s="31">
        <f>IF(D$12=0,0,D74/D$12)</f>
        <v>0</v>
      </c>
      <c r="G74" s="15"/>
      <c r="H74" s="29">
        <f>+H70-H72</f>
        <v>-9992.8899999999976</v>
      </c>
      <c r="I74" s="15"/>
      <c r="J74" s="31">
        <f>IF(H$12=0,0,H74/H$12)</f>
        <v>0</v>
      </c>
      <c r="K74" s="17"/>
      <c r="L74" s="29">
        <f>D74-H74</f>
        <v>-3673.6500000000015</v>
      </c>
      <c r="M74" s="17"/>
      <c r="N74" s="31">
        <f>IF(H74=0,0,L74/H74)</f>
        <v>0.36762638235785666</v>
      </c>
      <c r="O74" s="27"/>
      <c r="P74" s="29">
        <f>+P70-P72</f>
        <v>-205324.80000000002</v>
      </c>
      <c r="Q74" s="15"/>
      <c r="R74" s="31">
        <f>IF(P$12=0,0,P74/P$12)</f>
        <v>0</v>
      </c>
      <c r="S74" s="15"/>
      <c r="T74" s="29">
        <f>+T70-T72</f>
        <v>-97651.150000000009</v>
      </c>
      <c r="U74" s="15"/>
      <c r="V74" s="31">
        <f>IF(T$12=0,0,T74/T$12)</f>
        <v>0</v>
      </c>
      <c r="W74" s="17"/>
      <c r="X74" s="29">
        <f>P74-T74</f>
        <v>-107673.65000000001</v>
      </c>
      <c r="Y74" s="17"/>
      <c r="Z74" s="31">
        <f>IF(T74=0,0,X74/T74)</f>
        <v>1.1026357600499328</v>
      </c>
    </row>
    <row r="75" spans="1:26" ht="15" customHeight="1" x14ac:dyDescent="0.3">
      <c r="A75" s="12"/>
      <c r="B75" s="12"/>
      <c r="C75" s="12"/>
      <c r="D75" s="4"/>
      <c r="E75" s="4"/>
      <c r="F75" s="10"/>
      <c r="G75" s="4"/>
      <c r="H75" s="4"/>
      <c r="I75" s="4"/>
      <c r="J75" s="10"/>
      <c r="K75" s="4"/>
      <c r="L75" s="4"/>
      <c r="M75" s="4"/>
      <c r="N75" s="10"/>
      <c r="P75" s="4"/>
      <c r="Q75" s="4"/>
      <c r="R75" s="10"/>
      <c r="S75" s="4"/>
      <c r="T75" s="4"/>
      <c r="U75" s="4"/>
      <c r="V75" s="10"/>
      <c r="W75" s="4"/>
      <c r="X75" s="4"/>
      <c r="Y75" s="4"/>
      <c r="Z75" s="10"/>
    </row>
    <row r="76" spans="1:26" ht="15" customHeight="1" x14ac:dyDescent="0.3">
      <c r="A76" s="12"/>
      <c r="B76" s="12"/>
      <c r="C76" s="12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2" customFormat="1" ht="15" customHeight="1" x14ac:dyDescent="0.3">
      <c r="A77" s="13"/>
      <c r="B77" s="28" t="s">
        <v>296</v>
      </c>
      <c r="C77" s="28"/>
      <c r="D77" s="30">
        <f>SUM(D74:D76)</f>
        <v>-13666.539999999999</v>
      </c>
      <c r="E77" s="15"/>
      <c r="F77" s="35">
        <f>IF(D$12=0,0,D77/D$12)</f>
        <v>0</v>
      </c>
      <c r="G77" s="15"/>
      <c r="H77" s="30">
        <f>SUM(H74:H76)</f>
        <v>-9992.8899999999976</v>
      </c>
      <c r="I77" s="15"/>
      <c r="J77" s="35">
        <f>IF(H$12=0,0,H77/H$12)</f>
        <v>0</v>
      </c>
      <c r="K77" s="17"/>
      <c r="L77" s="30">
        <f>+D77-H77</f>
        <v>-3673.6500000000015</v>
      </c>
      <c r="M77" s="17"/>
      <c r="N77" s="35">
        <f>IF(H77=0,0,L77/H77)</f>
        <v>0.36762638235785666</v>
      </c>
      <c r="O77" s="27"/>
      <c r="P77" s="30">
        <f>SUM(P74:P76)</f>
        <v>-205324.80000000002</v>
      </c>
      <c r="Q77" s="15"/>
      <c r="R77" s="35">
        <f>IF(P$12=0,0,P77/P$12)</f>
        <v>0</v>
      </c>
      <c r="S77" s="15"/>
      <c r="T77" s="30">
        <f>SUM(T74:T76)</f>
        <v>-97651.150000000009</v>
      </c>
      <c r="U77" s="15"/>
      <c r="V77" s="35">
        <f>IF(T$12=0,0,T77/T$12)</f>
        <v>0</v>
      </c>
      <c r="W77" s="17"/>
      <c r="X77" s="30">
        <f>+P77-T77</f>
        <v>-107673.65000000001</v>
      </c>
      <c r="Y77" s="17"/>
      <c r="Z77" s="35">
        <f>IF(T77=0,0,X77/T77)</f>
        <v>1.1026357600499328</v>
      </c>
    </row>
    <row r="78" spans="1:26" ht="15" customHeight="1" x14ac:dyDescent="0.3">
      <c r="A78" s="12"/>
      <c r="C78" s="12"/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A79" s="12"/>
      <c r="B79" s="54">
        <v>44767.815885219905</v>
      </c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  <row r="80" spans="1:26" ht="15" customHeight="1" x14ac:dyDescent="0.3">
      <c r="A80" s="12"/>
      <c r="B80" s="53" t="s">
        <v>297</v>
      </c>
      <c r="D80" s="19"/>
      <c r="E80" s="19"/>
      <c r="G80" s="19"/>
      <c r="H80" s="19"/>
      <c r="I80" s="19"/>
      <c r="J80" s="41"/>
      <c r="K80" s="19"/>
      <c r="L80" s="19"/>
      <c r="M80" s="19"/>
      <c r="P80" s="19"/>
      <c r="Q80" s="19"/>
      <c r="R80" s="41"/>
      <c r="S80" s="19"/>
      <c r="T80" s="19"/>
      <c r="U80" s="19"/>
      <c r="V80" s="41"/>
      <c r="W80" s="19"/>
      <c r="X80" s="19"/>
    </row>
    <row r="81" spans="1:24" ht="15" customHeight="1" x14ac:dyDescent="0.3">
      <c r="A81" s="12"/>
      <c r="B81" s="51"/>
      <c r="D81" s="19"/>
      <c r="E81" s="19"/>
      <c r="G81" s="19"/>
      <c r="H81" s="19"/>
      <c r="I81" s="19"/>
      <c r="J81" s="41"/>
      <c r="K81" s="19"/>
      <c r="L81" s="19"/>
      <c r="M81" s="19"/>
      <c r="P81" s="19"/>
      <c r="Q81" s="19"/>
      <c r="R81" s="41"/>
      <c r="S81" s="19"/>
      <c r="T81" s="19"/>
      <c r="U81" s="19"/>
      <c r="V81" s="41"/>
      <c r="W81" s="19"/>
      <c r="X81" s="19"/>
    </row>
    <row r="82" spans="1:24" ht="15" customHeight="1" x14ac:dyDescent="0.3">
      <c r="D82" s="19"/>
      <c r="E82" s="19"/>
      <c r="G82" s="19"/>
      <c r="H82" s="19"/>
      <c r="I82" s="19"/>
      <c r="J82" s="41"/>
      <c r="K82" s="19"/>
      <c r="L82" s="19"/>
      <c r="M82" s="19"/>
      <c r="P82" s="19"/>
      <c r="Q82" s="19"/>
      <c r="R82" s="41"/>
      <c r="S82" s="19"/>
      <c r="T82" s="19"/>
      <c r="U82" s="19"/>
      <c r="V82" s="41"/>
      <c r="W82" s="19"/>
      <c r="X8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4355-1A49-C032-0A69-CE0EE94E6E95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","420"," - ","Catering")</f>
        <v>Department 420 - Catering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49632.639999999999</v>
      </c>
      <c r="I12" s="8"/>
      <c r="J12" s="14"/>
      <c r="K12" s="8"/>
      <c r="L12" s="8">
        <f>+D12-H12</f>
        <v>-49632.639999999999</v>
      </c>
      <c r="M12" s="8"/>
      <c r="N12" s="14">
        <f>IF(H12=0,0,L12/H12)</f>
        <v>-1</v>
      </c>
      <c r="O12" s="13"/>
      <c r="P12" s="8">
        <f>SUM(OSRRefP13x_0)</f>
        <v>0</v>
      </c>
      <c r="Q12" s="8"/>
      <c r="R12" s="14"/>
      <c r="S12" s="8"/>
      <c r="T12" s="8">
        <f>SUM(OSRRefT13x_0)</f>
        <v>489866.6</v>
      </c>
      <c r="U12" s="8"/>
      <c r="V12" s="14"/>
      <c r="W12" s="8"/>
      <c r="X12" s="8">
        <f>+P12-T12</f>
        <v>-489866.6</v>
      </c>
      <c r="Y12" s="8"/>
      <c r="Z12" s="14">
        <f>IF(T12=0,0,X12/T12)</f>
        <v>-1</v>
      </c>
    </row>
    <row r="13" spans="1:26" s="69" customFormat="1" ht="15" hidden="1" customHeight="1" outlineLevel="1" x14ac:dyDescent="0.3">
      <c r="A13" s="47"/>
      <c r="B13" s="9" t="str">
        <f>CONCATENATE("          ","4052"," - ","TAXABLE SALES-FOOD")</f>
        <v xml:space="preserve">          4052 - TAXABLE SALES-FOOD</v>
      </c>
      <c r="C13" s="9"/>
      <c r="D13" s="3">
        <f>0</f>
        <v>0</v>
      </c>
      <c r="E13" s="3"/>
      <c r="F13" s="26"/>
      <c r="G13" s="3"/>
      <c r="H13" s="3">
        <f>--61213.59</f>
        <v>61213.59</v>
      </c>
      <c r="I13" s="3"/>
      <c r="J13" s="26"/>
      <c r="K13" s="3"/>
      <c r="L13" s="3">
        <f>+D13-H13</f>
        <v>-61213.59</v>
      </c>
      <c r="M13" s="3"/>
      <c r="N13" s="26">
        <f>IF(H13=0,0,L13/H13)</f>
        <v>-1</v>
      </c>
      <c r="O13" s="9"/>
      <c r="P13" s="3">
        <f>0</f>
        <v>0</v>
      </c>
      <c r="Q13" s="3"/>
      <c r="R13" s="26"/>
      <c r="S13" s="3"/>
      <c r="T13" s="3">
        <f>--489866.6</f>
        <v>489866.6</v>
      </c>
      <c r="U13" s="3"/>
      <c r="V13" s="26"/>
      <c r="W13" s="3"/>
      <c r="X13" s="3">
        <f>+P13-T13</f>
        <v>-489866.6</v>
      </c>
      <c r="Y13" s="3"/>
      <c r="Z13" s="26">
        <f>IF(T13=0,0,X13/T13)</f>
        <v>-1</v>
      </c>
    </row>
    <row r="14" spans="1:26" s="69" customFormat="1" ht="15" hidden="1" customHeight="1" outlineLevel="1" x14ac:dyDescent="0.3">
      <c r="A14" s="47"/>
      <c r="B14" s="9" t="str">
        <f>CONCATENATE("          ","4152"," - ","NON-TAXABLE SALES-FOOD")</f>
        <v xml:space="preserve">          4152 - NON-TAXABLE SALES-FOOD</v>
      </c>
      <c r="C14" s="9"/>
      <c r="D14" s="3">
        <f>0</f>
        <v>0</v>
      </c>
      <c r="E14" s="3"/>
      <c r="F14" s="26"/>
      <c r="G14" s="3"/>
      <c r="H14" s="3">
        <f>-11580.95</f>
        <v>-11580.95</v>
      </c>
      <c r="I14" s="3"/>
      <c r="J14" s="26"/>
      <c r="K14" s="3"/>
      <c r="L14" s="3">
        <f>+D14-H14</f>
        <v>11580.95</v>
      </c>
      <c r="M14" s="3"/>
      <c r="N14" s="26">
        <f>IF(H14=0,0,L14/H14)</f>
        <v>-1</v>
      </c>
      <c r="O14" s="9"/>
      <c r="P14" s="3">
        <f>0</f>
        <v>0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0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7" t="s">
        <v>287</v>
      </c>
      <c r="C16" s="13"/>
      <c r="D16" s="8">
        <f>SUM(0)</f>
        <v>0</v>
      </c>
      <c r="E16" s="8"/>
      <c r="F16" s="14">
        <f>IF(D$12=0,0,D16/D$12)</f>
        <v>0</v>
      </c>
      <c r="G16" s="8"/>
      <c r="H16" s="8">
        <f>SUM(0)</f>
        <v>0</v>
      </c>
      <c r="I16" s="8"/>
      <c r="J16" s="14">
        <f>IF(H$12=0,0,H16/H$12)</f>
        <v>0</v>
      </c>
      <c r="K16" s="8"/>
      <c r="L16" s="8">
        <f>+D16-H16</f>
        <v>0</v>
      </c>
      <c r="M16" s="8"/>
      <c r="N16" s="14">
        <f>IF(H16=0,0,L16/H16)</f>
        <v>0</v>
      </c>
      <c r="O16" s="13"/>
      <c r="P16" s="8">
        <f>SUM(0)</f>
        <v>0</v>
      </c>
      <c r="Q16" s="8"/>
      <c r="R16" s="14">
        <f>IF(P$12=0,0,P16/P$12)</f>
        <v>0</v>
      </c>
      <c r="S16" s="8"/>
      <c r="T16" s="8">
        <f>SUM(0)</f>
        <v>0</v>
      </c>
      <c r="U16" s="8"/>
      <c r="V16" s="14">
        <f>IF(T$12=0,0,T16/T$12)</f>
        <v>0</v>
      </c>
      <c r="W16" s="8"/>
      <c r="X16" s="8">
        <f>+P16-T16</f>
        <v>0</v>
      </c>
      <c r="Y16" s="8"/>
      <c r="Z16" s="14">
        <f>IF(T16=0,0,X16/T16)</f>
        <v>0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x14ac:dyDescent="0.3">
      <c r="A18" s="13"/>
      <c r="B18" s="28" t="s">
        <v>288</v>
      </c>
      <c r="C18" s="28"/>
      <c r="D18" s="22">
        <f>D12-D16</f>
        <v>0</v>
      </c>
      <c r="E18" s="15"/>
      <c r="F18" s="24">
        <f>IF(D$12=0,0,D18/D$12)</f>
        <v>0</v>
      </c>
      <c r="G18" s="15"/>
      <c r="H18" s="22">
        <f>H12-H16</f>
        <v>49632.639999999999</v>
      </c>
      <c r="I18" s="15"/>
      <c r="J18" s="24">
        <f>IF(H$12=0,0,H18/H$12)</f>
        <v>1</v>
      </c>
      <c r="K18" s="17"/>
      <c r="L18" s="22">
        <f>+D18-H18</f>
        <v>-49632.639999999999</v>
      </c>
      <c r="M18" s="17"/>
      <c r="N18" s="24">
        <f>IF(H18=0,0,L18/H18)</f>
        <v>-1</v>
      </c>
      <c r="O18" s="27"/>
      <c r="P18" s="22">
        <f>P12-P16</f>
        <v>0</v>
      </c>
      <c r="Q18" s="15"/>
      <c r="R18" s="24">
        <f>IF(P$12=0,0,P18/P$12)</f>
        <v>0</v>
      </c>
      <c r="S18" s="15"/>
      <c r="T18" s="22">
        <f>T12-T16</f>
        <v>489866.6</v>
      </c>
      <c r="U18" s="15"/>
      <c r="V18" s="24">
        <f>IF(T$12=0,0,T18/T$12)</f>
        <v>1</v>
      </c>
      <c r="W18" s="17"/>
      <c r="X18" s="22">
        <f>+P18-T18</f>
        <v>-489866.6</v>
      </c>
      <c r="Y18" s="17"/>
      <c r="Z18" s="24">
        <f>IF(T18=0,0,X18/T18)</f>
        <v>-1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289</v>
      </c>
      <c r="C20" s="13"/>
      <c r="D20" s="23" cm="1">
        <f t="array" ref="D20">SUM(OSRRefD22x_0)</f>
        <v>0</v>
      </c>
      <c r="E20" s="23"/>
      <c r="F20" s="34">
        <f>IF(D$12=0,0,D20/D$12)</f>
        <v>0</v>
      </c>
      <c r="G20" s="23"/>
      <c r="H20" s="23" cm="1">
        <f t="array" ref="H20">SUM(OSRRefH22x_0)</f>
        <v>0</v>
      </c>
      <c r="I20" s="23"/>
      <c r="J20" s="34">
        <f>IF(H$12=0,0,H20/H$12)</f>
        <v>0</v>
      </c>
      <c r="K20" s="8"/>
      <c r="L20" s="23">
        <f>+D20-H20</f>
        <v>0</v>
      </c>
      <c r="M20" s="8"/>
      <c r="N20" s="34">
        <f>IF(H20=0,0,L20/H20)</f>
        <v>0</v>
      </c>
      <c r="O20" s="13"/>
      <c r="P20" s="23" cm="1">
        <f t="array" ref="P20">SUM(OSRRefP22x_0)</f>
        <v>0</v>
      </c>
      <c r="Q20" s="23"/>
      <c r="R20" s="34">
        <f>IF(P$12=0,0,P20/P$12)</f>
        <v>0</v>
      </c>
      <c r="S20" s="23"/>
      <c r="T20" s="23" cm="1">
        <f t="array" ref="T20">SUM(OSRRefT22x_0)</f>
        <v>349.08000000000004</v>
      </c>
      <c r="U20" s="23"/>
      <c r="V20" s="34">
        <f>IF(T$12=0,0,T20/T$12)</f>
        <v>7.1260216556915713E-4</v>
      </c>
      <c r="W20" s="8"/>
      <c r="X20" s="23">
        <f>+P20-T20</f>
        <v>-349.08000000000004</v>
      </c>
      <c r="Y20" s="8"/>
      <c r="Z20" s="34">
        <f>IF(T20=0,0,X20/T20)</f>
        <v>-1</v>
      </c>
    </row>
    <row r="21" spans="1:26" s="68" customFormat="1" ht="15" customHeight="1" outlineLevel="1" collapsed="1" x14ac:dyDescent="0.3">
      <c r="A21" s="20"/>
      <c r="B21" s="11" t="str">
        <f>CONCATENATE("     ","*Benefits                                         ")</f>
        <v xml:space="preserve">     *Benefits                                         </v>
      </c>
      <c r="C21" s="11"/>
      <c r="D21" s="2">
        <f>SUM(OSRRefD22_0x_0)</f>
        <v>0</v>
      </c>
      <c r="E21" s="2"/>
      <c r="F21" s="5">
        <f>IF(D$12=0,0,D21/D$12)</f>
        <v>0</v>
      </c>
      <c r="G21" s="2"/>
      <c r="H21" s="2">
        <f>SUM(OSRRefH22_0x_0)</f>
        <v>0</v>
      </c>
      <c r="I21" s="2"/>
      <c r="J21" s="5">
        <f>IF(H$12=0,0,H21/H$12)</f>
        <v>0</v>
      </c>
      <c r="K21" s="2"/>
      <c r="L21" s="2">
        <f>+D21-H21</f>
        <v>0</v>
      </c>
      <c r="M21" s="2"/>
      <c r="N21" s="5">
        <f>IF(H21=0,0,L21/H21)</f>
        <v>0</v>
      </c>
      <c r="O21" s="11"/>
      <c r="P21" s="2">
        <f>SUM(OSRRefP22_0x_0)</f>
        <v>0</v>
      </c>
      <c r="Q21" s="2"/>
      <c r="R21" s="5">
        <f>IF(P$12=0,0,P21/P$12)</f>
        <v>0</v>
      </c>
      <c r="S21" s="2"/>
      <c r="T21" s="2">
        <f>SUM(OSRRefT22_0x_0)</f>
        <v>7.86</v>
      </c>
      <c r="U21" s="2"/>
      <c r="V21" s="5">
        <f>IF(T$12=0,0,T21/T$12)</f>
        <v>1.6045184546160119E-5</v>
      </c>
      <c r="W21" s="2"/>
      <c r="X21" s="2">
        <f>+P21-T21</f>
        <v>-7.86</v>
      </c>
      <c r="Y21" s="2"/>
      <c r="Z21" s="5">
        <f>IF(T21=0,0,X21/T21)</f>
        <v>-1</v>
      </c>
    </row>
    <row r="22" spans="1:26" s="69" customFormat="1" ht="15" hidden="1" customHeight="1" outlineLevel="2" x14ac:dyDescent="0.3">
      <c r="A22" s="21"/>
      <c r="B22" s="9" t="str">
        <f>CONCATENATE("          ","6111"," - ","F.I.C.A.")</f>
        <v xml:space="preserve">          6111 - F.I.C.A.</v>
      </c>
      <c r="C22" s="9"/>
      <c r="D22" s="6"/>
      <c r="E22" s="3"/>
      <c r="F22" s="7">
        <f>IF(D$12=0,0,D22/D$12)</f>
        <v>0</v>
      </c>
      <c r="G22" s="3"/>
      <c r="H22" s="6"/>
      <c r="I22" s="3"/>
      <c r="J22" s="7">
        <f>IF(H$12=0,0,H22/H$12)</f>
        <v>0</v>
      </c>
      <c r="K22" s="3"/>
      <c r="L22" s="6">
        <f>+D22-H22</f>
        <v>0</v>
      </c>
      <c r="M22" s="3"/>
      <c r="N22" s="7">
        <f>IF(H22=0,0,L22/H22)</f>
        <v>0</v>
      </c>
      <c r="O22" s="9"/>
      <c r="P22" s="6"/>
      <c r="Q22" s="3"/>
      <c r="R22" s="7">
        <f>IF(P$12=0,0,P22/P$12)</f>
        <v>0</v>
      </c>
      <c r="S22" s="3"/>
      <c r="T22" s="6">
        <v>7.86</v>
      </c>
      <c r="U22" s="3"/>
      <c r="V22" s="7">
        <f>IF(T$12=0,0,T22/T$12)</f>
        <v>1.6045184546160119E-5</v>
      </c>
      <c r="W22" s="3"/>
      <c r="X22" s="6">
        <f>+P22-T22</f>
        <v>-7.86</v>
      </c>
      <c r="Y22" s="3"/>
      <c r="Z22" s="7">
        <f>IF(T22=0,0,X22/T22)</f>
        <v>-1</v>
      </c>
    </row>
    <row r="23" spans="1:26" s="68" customFormat="1" ht="15" customHeight="1" outlineLevel="1" collapsed="1" x14ac:dyDescent="0.3">
      <c r="A23" s="20"/>
      <c r="B23" s="11" t="str">
        <f>CONCATENATE("     ","Repair and Maintenance                            ")</f>
        <v xml:space="preserve">     Repair and Maintenance                            </v>
      </c>
      <c r="C23" s="11"/>
      <c r="D23" s="2">
        <f>SUM(OSRRefD22_1x_0)</f>
        <v>0</v>
      </c>
      <c r="E23" s="2"/>
      <c r="F23" s="5">
        <f>IF(D$12=0,0,D23/D$12)</f>
        <v>0</v>
      </c>
      <c r="G23" s="2"/>
      <c r="H23" s="2">
        <f>SUM(OSRRefH22_1x_0)</f>
        <v>0</v>
      </c>
      <c r="I23" s="2"/>
      <c r="J23" s="5">
        <f>IF(H$12=0,0,H23/H$12)</f>
        <v>0</v>
      </c>
      <c r="K23" s="2"/>
      <c r="L23" s="2">
        <f>+D23-H23</f>
        <v>0</v>
      </c>
      <c r="M23" s="2"/>
      <c r="N23" s="5">
        <f>IF(H23=0,0,L23/H23)</f>
        <v>0</v>
      </c>
      <c r="O23" s="11"/>
      <c r="P23" s="2">
        <f>SUM(OSRRefP22_1x_0)</f>
        <v>0</v>
      </c>
      <c r="Q23" s="2"/>
      <c r="R23" s="5">
        <f>IF(P$12=0,0,P23/P$12)</f>
        <v>0</v>
      </c>
      <c r="S23" s="2"/>
      <c r="T23" s="2">
        <f>SUM(OSRRefT22_1x_0)</f>
        <v>341.22</v>
      </c>
      <c r="U23" s="2"/>
      <c r="V23" s="5">
        <f>IF(T$12=0,0,T23/T$12)</f>
        <v>6.9655698102299697E-4</v>
      </c>
      <c r="W23" s="2"/>
      <c r="X23" s="2">
        <f>+P23-T23</f>
        <v>-341.22</v>
      </c>
      <c r="Y23" s="2"/>
      <c r="Z23" s="5">
        <f>IF(T23=0,0,X23/T23)</f>
        <v>-1</v>
      </c>
    </row>
    <row r="24" spans="1:26" s="69" customFormat="1" ht="15" hidden="1" customHeight="1" outlineLevel="2" x14ac:dyDescent="0.3">
      <c r="A24" s="21"/>
      <c r="B24" s="9" t="str">
        <f>CONCATENATE("          ","6375"," - ","OUTSIDE REPAIRS &amp; MAINTENANCE")</f>
        <v xml:space="preserve">          6375 - OUTSIDE REPAIRS &amp; MAINTENANCE</v>
      </c>
      <c r="C24" s="9"/>
      <c r="D24" s="6"/>
      <c r="E24" s="3"/>
      <c r="F24" s="7">
        <f>IF(D$12=0,0,D24/D$12)</f>
        <v>0</v>
      </c>
      <c r="G24" s="3"/>
      <c r="H24" s="6"/>
      <c r="I24" s="3"/>
      <c r="J24" s="7">
        <f>IF(H$12=0,0,H24/H$12)</f>
        <v>0</v>
      </c>
      <c r="K24" s="3"/>
      <c r="L24" s="6">
        <f>+D24-H24</f>
        <v>0</v>
      </c>
      <c r="M24" s="3"/>
      <c r="N24" s="7">
        <f>IF(H24=0,0,L24/H24)</f>
        <v>0</v>
      </c>
      <c r="O24" s="9"/>
      <c r="P24" s="6"/>
      <c r="Q24" s="3"/>
      <c r="R24" s="7">
        <f>IF(P$12=0,0,P24/P$12)</f>
        <v>0</v>
      </c>
      <c r="S24" s="3"/>
      <c r="T24" s="6">
        <v>341.22</v>
      </c>
      <c r="U24" s="3"/>
      <c r="V24" s="7">
        <f>IF(T$12=0,0,T24/T$12)</f>
        <v>6.9655698102299697E-4</v>
      </c>
      <c r="W24" s="3"/>
      <c r="X24" s="6">
        <f>+P24-T24</f>
        <v>-341.22</v>
      </c>
      <c r="Y24" s="3"/>
      <c r="Z24" s="7">
        <f>IF(T24=0,0,X24/T24)</f>
        <v>-1</v>
      </c>
    </row>
    <row r="25" spans="1:26" s="64" customFormat="1" ht="15" customHeight="1" x14ac:dyDescent="0.3">
      <c r="A25" s="37"/>
      <c r="B25" s="37"/>
      <c r="C25" s="37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7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2" customFormat="1" ht="15" customHeight="1" x14ac:dyDescent="0.3">
      <c r="A26" s="13"/>
      <c r="B26" s="27" t="s">
        <v>290</v>
      </c>
      <c r="C26" s="13"/>
      <c r="D26" s="8">
        <f>SUM(0)</f>
        <v>0</v>
      </c>
      <c r="E26" s="8"/>
      <c r="F26" s="14">
        <f>IF(D$12=0,0,D26/D$12)</f>
        <v>0</v>
      </c>
      <c r="G26" s="8"/>
      <c r="H26" s="8">
        <f>SUM(0)</f>
        <v>0</v>
      </c>
      <c r="I26" s="8"/>
      <c r="J26" s="14">
        <f>IF(H$12=0,0,H26/H$12)</f>
        <v>0</v>
      </c>
      <c r="K26" s="8"/>
      <c r="L26" s="8">
        <f>+D26-H26</f>
        <v>0</v>
      </c>
      <c r="M26" s="8"/>
      <c r="N26" s="14">
        <f>IF(H26=0,0,L26/H26)</f>
        <v>0</v>
      </c>
      <c r="O26" s="13"/>
      <c r="P26" s="8">
        <f>SUM(0)</f>
        <v>0</v>
      </c>
      <c r="Q26" s="8"/>
      <c r="R26" s="14">
        <f>IF(P$12=0,0,P26/P$12)</f>
        <v>0</v>
      </c>
      <c r="S26" s="8"/>
      <c r="T26" s="8">
        <f>SUM(0)</f>
        <v>0</v>
      </c>
      <c r="U26" s="8"/>
      <c r="V26" s="14">
        <f>IF(T$12=0,0,T26/T$12)</f>
        <v>0</v>
      </c>
      <c r="W26" s="8"/>
      <c r="X26" s="8">
        <f>+P26-T26</f>
        <v>0</v>
      </c>
      <c r="Y26" s="8"/>
      <c r="Z26" s="14">
        <f>IF(T26=0,0,X26/T26)</f>
        <v>0</v>
      </c>
    </row>
    <row r="27" spans="1:26" ht="15" customHeight="1" x14ac:dyDescent="0.3">
      <c r="A27" s="12"/>
      <c r="B27" s="13"/>
      <c r="C27" s="13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O27" s="13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2" customFormat="1" ht="15" customHeight="1" x14ac:dyDescent="0.3">
      <c r="A28" s="13"/>
      <c r="B28" s="28" t="s">
        <v>291</v>
      </c>
      <c r="C28" s="28"/>
      <c r="D28" s="22">
        <f>+D18-D20+D26</f>
        <v>0</v>
      </c>
      <c r="E28" s="15"/>
      <c r="F28" s="24">
        <f>IF(D$12=0,0,D28/D$12)</f>
        <v>0</v>
      </c>
      <c r="G28" s="15"/>
      <c r="H28" s="22">
        <f>+H18-H20+H26</f>
        <v>49632.639999999999</v>
      </c>
      <c r="I28" s="15"/>
      <c r="J28" s="24">
        <f>IF(H$12=0,0,H28/H$12)</f>
        <v>1</v>
      </c>
      <c r="K28" s="17"/>
      <c r="L28" s="22">
        <f>+D28-H28</f>
        <v>-49632.639999999999</v>
      </c>
      <c r="M28" s="17"/>
      <c r="N28" s="24">
        <f>IF(H28=0,0,L28/H28)</f>
        <v>-1</v>
      </c>
      <c r="O28" s="27"/>
      <c r="P28" s="22">
        <f>+P18-P20+P26</f>
        <v>0</v>
      </c>
      <c r="Q28" s="15"/>
      <c r="R28" s="24">
        <f>IF(P$12=0,0,P28/P$12)</f>
        <v>0</v>
      </c>
      <c r="S28" s="15"/>
      <c r="T28" s="22">
        <f>+T18-T20+T26</f>
        <v>489517.51999999996</v>
      </c>
      <c r="U28" s="15"/>
      <c r="V28" s="24">
        <f>IF(T$12=0,0,T28/T$12)</f>
        <v>0.99928739783443077</v>
      </c>
      <c r="W28" s="17"/>
      <c r="X28" s="22">
        <f>+P28-T28</f>
        <v>-489517.51999999996</v>
      </c>
      <c r="Y28" s="17"/>
      <c r="Z28" s="24">
        <f>IF(T28=0,0,X28/T28)</f>
        <v>-1</v>
      </c>
    </row>
    <row r="29" spans="1:26" ht="15" customHeight="1" x14ac:dyDescent="0.3">
      <c r="A29" s="12"/>
      <c r="B29" s="13"/>
      <c r="C29" s="12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2" customFormat="1" ht="15" customHeight="1" x14ac:dyDescent="0.3">
      <c r="A30" s="48"/>
      <c r="B30" s="13" t="s">
        <v>292</v>
      </c>
      <c r="C30" s="13"/>
      <c r="D30" s="8"/>
      <c r="E30" s="8"/>
      <c r="F30" s="14">
        <f>IF(D$12=0,0,D30/D$12)</f>
        <v>0</v>
      </c>
      <c r="G30" s="8"/>
      <c r="H30" s="8">
        <v>41518.629999999997</v>
      </c>
      <c r="I30" s="8"/>
      <c r="J30" s="14">
        <f>IF(H$12=0,0,H30/H$12)</f>
        <v>0.8365186699720184</v>
      </c>
      <c r="K30" s="8"/>
      <c r="L30" s="8">
        <f>+D30-H30</f>
        <v>-41518.629999999997</v>
      </c>
      <c r="M30" s="8"/>
      <c r="N30" s="14">
        <f>IF(H30=0,0,L30/H30)</f>
        <v>-1</v>
      </c>
      <c r="O30" s="13"/>
      <c r="P30" s="8"/>
      <c r="Q30" s="8"/>
      <c r="R30" s="14">
        <f>IF(P$12=0,0,P30/P$12)</f>
        <v>0</v>
      </c>
      <c r="S30" s="8"/>
      <c r="T30" s="8">
        <v>135592.45000000001</v>
      </c>
      <c r="U30" s="8"/>
      <c r="V30" s="14">
        <f>IF(T$12=0,0,T30/T$12)</f>
        <v>0.27679464164325557</v>
      </c>
      <c r="W30" s="8"/>
      <c r="X30" s="8">
        <f>+P30-T30</f>
        <v>-135592.45000000001</v>
      </c>
      <c r="Y30" s="8"/>
      <c r="Z30" s="14">
        <f>IF(T30=0,0,X30/T30)</f>
        <v>-1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2" customFormat="1" ht="15" customHeight="1" x14ac:dyDescent="0.3">
      <c r="A32" s="13"/>
      <c r="B32" s="28" t="s">
        <v>293</v>
      </c>
      <c r="C32" s="28"/>
      <c r="D32" s="29">
        <f>+D28-D30</f>
        <v>0</v>
      </c>
      <c r="E32" s="15"/>
      <c r="F32" s="31">
        <f>IF(D$12=0,0,D32/D$12)</f>
        <v>0</v>
      </c>
      <c r="G32" s="15"/>
      <c r="H32" s="29">
        <f>+H28-H30</f>
        <v>8114.010000000002</v>
      </c>
      <c r="I32" s="15"/>
      <c r="J32" s="31">
        <f>IF(H$12=0,0,H32/H$12)</f>
        <v>0.16348133002798163</v>
      </c>
      <c r="K32" s="17"/>
      <c r="L32" s="29">
        <f>D32-H32</f>
        <v>-8114.010000000002</v>
      </c>
      <c r="M32" s="17"/>
      <c r="N32" s="31">
        <f>IF(H32=0,0,L32/H32)</f>
        <v>-1</v>
      </c>
      <c r="O32" s="27"/>
      <c r="P32" s="29">
        <f>+P28-P30</f>
        <v>0</v>
      </c>
      <c r="Q32" s="15"/>
      <c r="R32" s="31">
        <f>IF(P$12=0,0,P32/P$12)</f>
        <v>0</v>
      </c>
      <c r="S32" s="15"/>
      <c r="T32" s="29">
        <f>+T28-T30</f>
        <v>353925.06999999995</v>
      </c>
      <c r="U32" s="15"/>
      <c r="V32" s="31">
        <f>IF(T$12=0,0,T32/T$12)</f>
        <v>0.72249275619117526</v>
      </c>
      <c r="W32" s="17"/>
      <c r="X32" s="29">
        <f>P32-T32</f>
        <v>-353925.06999999995</v>
      </c>
      <c r="Y32" s="17"/>
      <c r="Z32" s="31">
        <f>IF(T32=0,0,X32/T32)</f>
        <v>-1</v>
      </c>
    </row>
    <row r="33" spans="1:26" ht="15" customHeight="1" x14ac:dyDescent="0.3">
      <c r="A33" s="12"/>
      <c r="B33" s="12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ht="15" customHeight="1" x14ac:dyDescent="0.3">
      <c r="A34" s="12"/>
      <c r="B34" s="12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2" customFormat="1" ht="15" customHeight="1" x14ac:dyDescent="0.3">
      <c r="A35" s="13"/>
      <c r="B35" s="28" t="s">
        <v>296</v>
      </c>
      <c r="C35" s="28"/>
      <c r="D35" s="30">
        <f>SUM(D32:D34)</f>
        <v>0</v>
      </c>
      <c r="E35" s="15"/>
      <c r="F35" s="35">
        <f>IF(D$12=0,0,D35/D$12)</f>
        <v>0</v>
      </c>
      <c r="G35" s="15"/>
      <c r="H35" s="30">
        <f>SUM(H32:H34)</f>
        <v>8114.010000000002</v>
      </c>
      <c r="I35" s="15"/>
      <c r="J35" s="35">
        <f>IF(H$12=0,0,H35/H$12)</f>
        <v>0.16348133002798163</v>
      </c>
      <c r="K35" s="17"/>
      <c r="L35" s="30">
        <f>+D35-H35</f>
        <v>-8114.010000000002</v>
      </c>
      <c r="M35" s="17"/>
      <c r="N35" s="35">
        <f>IF(H35=0,0,L35/H35)</f>
        <v>-1</v>
      </c>
      <c r="O35" s="27"/>
      <c r="P35" s="30">
        <f>SUM(P32:P34)</f>
        <v>0</v>
      </c>
      <c r="Q35" s="15"/>
      <c r="R35" s="35">
        <f>IF(P$12=0,0,P35/P$12)</f>
        <v>0</v>
      </c>
      <c r="S35" s="15"/>
      <c r="T35" s="30">
        <f>SUM(T32:T34)</f>
        <v>353925.06999999995</v>
      </c>
      <c r="U35" s="15"/>
      <c r="V35" s="35">
        <f>IF(T$12=0,0,T35/T$12)</f>
        <v>0.72249275619117526</v>
      </c>
      <c r="W35" s="17"/>
      <c r="X35" s="30">
        <f>+P35-T35</f>
        <v>-353925.06999999995</v>
      </c>
      <c r="Y35" s="17"/>
      <c r="Z35" s="35">
        <f>IF(T35=0,0,X35/T35)</f>
        <v>-1</v>
      </c>
    </row>
    <row r="36" spans="1:26" ht="15" customHeight="1" x14ac:dyDescent="0.3">
      <c r="A36" s="12"/>
      <c r="C36" s="12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2"/>
      <c r="B37" s="54">
        <v>44767.815885219905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3" t="s">
        <v>297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1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FDE71-223D-47F8-36EB-1B1D2B9B96E3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","100"," - ","Corporate")</f>
        <v>Department 100 - Corporate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>
        <f>SUM(0)</f>
        <v>0</v>
      </c>
      <c r="E18" s="23"/>
      <c r="F18" s="34">
        <f>IF(D$12=0,0,D18/D$12)</f>
        <v>0</v>
      </c>
      <c r="G18" s="23"/>
      <c r="H18" s="23">
        <f>SUM(0)</f>
        <v>0</v>
      </c>
      <c r="I18" s="23"/>
      <c r="J18" s="34">
        <f>IF(H$12=0,0,H18/H$12)</f>
        <v>0</v>
      </c>
      <c r="K18" s="8"/>
      <c r="L18" s="23">
        <f>+D18-H18</f>
        <v>0</v>
      </c>
      <c r="M18" s="8"/>
      <c r="N18" s="34">
        <f>IF(H18=0,0,L18/H18)</f>
        <v>0</v>
      </c>
      <c r="O18" s="13"/>
      <c r="P18" s="23">
        <f>SUM(0)</f>
        <v>0</v>
      </c>
      <c r="Q18" s="23"/>
      <c r="R18" s="34">
        <f>IF(P$12=0,0,P18/P$12)</f>
        <v>0</v>
      </c>
      <c r="S18" s="23"/>
      <c r="T18" s="23">
        <f>SUM(0)</f>
        <v>0</v>
      </c>
      <c r="U18" s="23"/>
      <c r="V18" s="34">
        <f>IF(T$12=0,0,T18/T$12)</f>
        <v>0</v>
      </c>
      <c r="W18" s="8"/>
      <c r="X18" s="23">
        <f>+P18-T18</f>
        <v>0</v>
      </c>
      <c r="Y18" s="8"/>
      <c r="Z18" s="34">
        <f>IF(T18=0,0,X18/T18)</f>
        <v>0</v>
      </c>
    </row>
    <row r="19" spans="1:26" s="64" customFormat="1" ht="15" customHeight="1" x14ac:dyDescent="0.3">
      <c r="A19" s="37"/>
      <c r="B19" s="37"/>
      <c r="C19" s="37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290</v>
      </c>
      <c r="C20" s="13"/>
      <c r="D20" s="8">
        <f>SUM(0)</f>
        <v>0</v>
      </c>
      <c r="E20" s="8"/>
      <c r="F20" s="14">
        <f>IF(D$12=0,0,D20/D$12)</f>
        <v>0</v>
      </c>
      <c r="G20" s="8"/>
      <c r="H20" s="8">
        <f>SUM(0)</f>
        <v>0</v>
      </c>
      <c r="I20" s="8"/>
      <c r="J20" s="14">
        <f>IF(H$12=0,0,H20/H$12)</f>
        <v>0</v>
      </c>
      <c r="K20" s="8"/>
      <c r="L20" s="8">
        <f>+D20-H20</f>
        <v>0</v>
      </c>
      <c r="M20" s="8"/>
      <c r="N20" s="14">
        <f>IF(H20=0,0,L20/H20)</f>
        <v>0</v>
      </c>
      <c r="O20" s="13"/>
      <c r="P20" s="8">
        <f>SUM(0)</f>
        <v>0</v>
      </c>
      <c r="Q20" s="8"/>
      <c r="R20" s="14">
        <f>IF(P$12=0,0,P20/P$12)</f>
        <v>0</v>
      </c>
      <c r="S20" s="8"/>
      <c r="T20" s="8">
        <f>SUM(0)</f>
        <v>0</v>
      </c>
      <c r="U20" s="8"/>
      <c r="V20" s="14">
        <f>IF(T$12=0,0,T20/T$12)</f>
        <v>0</v>
      </c>
      <c r="W20" s="8"/>
      <c r="X20" s="8">
        <f>+P20-T20</f>
        <v>0</v>
      </c>
      <c r="Y20" s="8"/>
      <c r="Z20" s="14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2" customFormat="1" ht="15" customHeight="1" x14ac:dyDescent="0.3">
      <c r="A22" s="13"/>
      <c r="B22" s="28" t="s">
        <v>291</v>
      </c>
      <c r="C22" s="28"/>
      <c r="D22" s="22">
        <f>+D16-D18+D20</f>
        <v>0</v>
      </c>
      <c r="E22" s="15"/>
      <c r="F22" s="24">
        <f>IF(D$12=0,0,D22/D$12)</f>
        <v>0</v>
      </c>
      <c r="G22" s="15"/>
      <c r="H22" s="22">
        <f>+H16-H18+H20</f>
        <v>0</v>
      </c>
      <c r="I22" s="15"/>
      <c r="J22" s="24">
        <f>IF(H$12=0,0,H22/H$12)</f>
        <v>0</v>
      </c>
      <c r="K22" s="17"/>
      <c r="L22" s="22">
        <f>+D22-H22</f>
        <v>0</v>
      </c>
      <c r="M22" s="17"/>
      <c r="N22" s="24">
        <f>IF(H22=0,0,L22/H22)</f>
        <v>0</v>
      </c>
      <c r="O22" s="27"/>
      <c r="P22" s="22">
        <f>+P16-P18+P20</f>
        <v>0</v>
      </c>
      <c r="Q22" s="15"/>
      <c r="R22" s="24">
        <f>IF(P$12=0,0,P22/P$12)</f>
        <v>0</v>
      </c>
      <c r="S22" s="15"/>
      <c r="T22" s="22">
        <f>+T16-T18+T20</f>
        <v>0</v>
      </c>
      <c r="U22" s="15"/>
      <c r="V22" s="24">
        <f>IF(T$12=0,0,T22/T$12)</f>
        <v>0</v>
      </c>
      <c r="W22" s="17"/>
      <c r="X22" s="22">
        <f>+P22-T22</f>
        <v>0</v>
      </c>
      <c r="Y22" s="17"/>
      <c r="Z22" s="24">
        <f>IF(T22=0,0,X22/T22)</f>
        <v>0</v>
      </c>
    </row>
    <row r="23" spans="1:26" ht="15" customHeight="1" x14ac:dyDescent="0.3">
      <c r="A23" s="12"/>
      <c r="B23" s="13"/>
      <c r="C23" s="12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2" customFormat="1" ht="15" customHeight="1" x14ac:dyDescent="0.3">
      <c r="A24" s="48"/>
      <c r="B24" s="13" t="s">
        <v>292</v>
      </c>
      <c r="C24" s="13"/>
      <c r="D24" s="8"/>
      <c r="E24" s="8"/>
      <c r="F24" s="14">
        <f>IF(D$12=0,0,D24/D$12)</f>
        <v>0</v>
      </c>
      <c r="G24" s="8"/>
      <c r="H24" s="8"/>
      <c r="I24" s="8"/>
      <c r="J24" s="14">
        <f>IF(H$12=0,0,H24/H$12)</f>
        <v>0</v>
      </c>
      <c r="K24" s="8"/>
      <c r="L24" s="8">
        <f>+D24-H24</f>
        <v>0</v>
      </c>
      <c r="M24" s="8"/>
      <c r="N24" s="14">
        <f>IF(H24=0,0,L24/H24)</f>
        <v>0</v>
      </c>
      <c r="O24" s="13"/>
      <c r="P24" s="8"/>
      <c r="Q24" s="8"/>
      <c r="R24" s="14">
        <f>IF(P$12=0,0,P24/P$12)</f>
        <v>0</v>
      </c>
      <c r="S24" s="8"/>
      <c r="T24" s="8"/>
      <c r="U24" s="8"/>
      <c r="V24" s="14">
        <f>IF(T$12=0,0,T24/T$12)</f>
        <v>0</v>
      </c>
      <c r="W24" s="8"/>
      <c r="X24" s="8">
        <f>+P24-T24</f>
        <v>0</v>
      </c>
      <c r="Y24" s="8"/>
      <c r="Z24" s="14">
        <f>IF(T24=0,0,X24/T24)</f>
        <v>0</v>
      </c>
    </row>
    <row r="25" spans="1:26" ht="15" customHeight="1" x14ac:dyDescent="0.3">
      <c r="A25" s="12"/>
      <c r="B25" s="13"/>
      <c r="C25" s="13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O25" s="13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2" customFormat="1" ht="15" customHeight="1" x14ac:dyDescent="0.3">
      <c r="A26" s="13"/>
      <c r="B26" s="28" t="s">
        <v>293</v>
      </c>
      <c r="C26" s="28"/>
      <c r="D26" s="29">
        <f>+D22-D24</f>
        <v>0</v>
      </c>
      <c r="E26" s="15"/>
      <c r="F26" s="31">
        <f>IF(D$12=0,0,D26/D$12)</f>
        <v>0</v>
      </c>
      <c r="G26" s="15"/>
      <c r="H26" s="29">
        <f>+H22-H24</f>
        <v>0</v>
      </c>
      <c r="I26" s="15"/>
      <c r="J26" s="31">
        <f>IF(H$12=0,0,H26/H$12)</f>
        <v>0</v>
      </c>
      <c r="K26" s="17"/>
      <c r="L26" s="29">
        <f>D26-H26</f>
        <v>0</v>
      </c>
      <c r="M26" s="17"/>
      <c r="N26" s="31">
        <f>IF(H26=0,0,L26/H26)</f>
        <v>0</v>
      </c>
      <c r="O26" s="27"/>
      <c r="P26" s="29">
        <f>+P22-P24</f>
        <v>0</v>
      </c>
      <c r="Q26" s="15"/>
      <c r="R26" s="31">
        <f>IF(P$12=0,0,P26/P$12)</f>
        <v>0</v>
      </c>
      <c r="S26" s="15"/>
      <c r="T26" s="29">
        <f>+T22-T24</f>
        <v>0</v>
      </c>
      <c r="U26" s="15"/>
      <c r="V26" s="31">
        <f>IF(T$12=0,0,T26/T$12)</f>
        <v>0</v>
      </c>
      <c r="W26" s="17"/>
      <c r="X26" s="29">
        <f>P26-T26</f>
        <v>0</v>
      </c>
      <c r="Y26" s="17"/>
      <c r="Z26" s="31">
        <f>IF(T26=0,0,X26/T26)</f>
        <v>0</v>
      </c>
    </row>
    <row r="27" spans="1:26" ht="15" customHeight="1" x14ac:dyDescent="0.3">
      <c r="A27" s="12"/>
      <c r="B27" s="12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2" customFormat="1" ht="15" customHeight="1" x14ac:dyDescent="0.3">
      <c r="A28" s="48"/>
      <c r="B28" s="13" t="s">
        <v>294</v>
      </c>
      <c r="C28" s="13"/>
      <c r="D28" s="8">
        <f>-647351.88</f>
        <v>-647351.88</v>
      </c>
      <c r="E28" s="8"/>
      <c r="F28" s="14">
        <f>IF(D$12=0,0,D28/D$12)</f>
        <v>0</v>
      </c>
      <c r="G28" s="8"/>
      <c r="H28" s="8">
        <f>-920090.89</f>
        <v>-920090.89</v>
      </c>
      <c r="I28" s="8"/>
      <c r="J28" s="14">
        <f>IF(H$12=0,0,H28/H$12)</f>
        <v>0</v>
      </c>
      <c r="K28" s="8"/>
      <c r="L28" s="8">
        <f>+D28-H28</f>
        <v>272739.01</v>
      </c>
      <c r="M28" s="8"/>
      <c r="N28" s="14">
        <f>IF(H28=0,0,L28/H28)</f>
        <v>-0.29642616068071276</v>
      </c>
      <c r="O28" s="13"/>
      <c r="P28" s="8">
        <f>-2199313.68</f>
        <v>-2199313.6800000002</v>
      </c>
      <c r="Q28" s="8"/>
      <c r="R28" s="14">
        <f>IF(P$12=0,0,P28/P$12)</f>
        <v>0</v>
      </c>
      <c r="S28" s="8"/>
      <c r="T28" s="8">
        <f>--1782877.25</f>
        <v>1782877.25</v>
      </c>
      <c r="U28" s="8"/>
      <c r="V28" s="14">
        <f>IF(T$12=0,0,T28/T$12)</f>
        <v>0</v>
      </c>
      <c r="W28" s="8"/>
      <c r="X28" s="8">
        <f>+P28-T28</f>
        <v>-3982190.93</v>
      </c>
      <c r="Y28" s="8"/>
      <c r="Z28" s="14">
        <f>IF(T28=0,0,X28/T28)</f>
        <v>-2.2335754915264077</v>
      </c>
    </row>
    <row r="29" spans="1:26" s="62" customFormat="1" ht="15" customHeight="1" x14ac:dyDescent="0.3">
      <c r="A29" s="48"/>
      <c r="B29" s="13" t="s">
        <v>295</v>
      </c>
      <c r="C29" s="13"/>
      <c r="D29" s="8">
        <f>--24741.39</f>
        <v>24741.39</v>
      </c>
      <c r="E29" s="8"/>
      <c r="F29" s="14">
        <f>IF(D$12=0,0,D29/D$12)</f>
        <v>0</v>
      </c>
      <c r="G29" s="8"/>
      <c r="H29" s="8">
        <f>--2951630.18</f>
        <v>2951630.18</v>
      </c>
      <c r="I29" s="8"/>
      <c r="J29" s="14">
        <f>IF(H$12=0,0,H29/H$12)</f>
        <v>0</v>
      </c>
      <c r="K29" s="8"/>
      <c r="L29" s="8">
        <f>+D29-H29</f>
        <v>-2926888.79</v>
      </c>
      <c r="M29" s="8"/>
      <c r="N29" s="14">
        <f>IF(H29=0,0,L29/H29)</f>
        <v>-0.9916177202118186</v>
      </c>
      <c r="O29" s="13"/>
      <c r="P29" s="8">
        <f>--2394858.95</f>
        <v>2394858.9500000002</v>
      </c>
      <c r="Q29" s="8"/>
      <c r="R29" s="14">
        <f>IF(P$12=0,0,P29/P$12)</f>
        <v>0</v>
      </c>
      <c r="S29" s="8"/>
      <c r="T29" s="8">
        <f>--3055858.1</f>
        <v>3055858.1</v>
      </c>
      <c r="U29" s="8"/>
      <c r="V29" s="14">
        <f>IF(T$12=0,0,T29/T$12)</f>
        <v>0</v>
      </c>
      <c r="W29" s="8"/>
      <c r="X29" s="8">
        <f>+P29-T29</f>
        <v>-660999.14999999991</v>
      </c>
      <c r="Y29" s="8"/>
      <c r="Z29" s="14">
        <f>IF(T29=0,0,X29/T29)</f>
        <v>-0.21630557714705401</v>
      </c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296</v>
      </c>
      <c r="C31" s="28"/>
      <c r="D31" s="30">
        <f>SUM(D26:D30)</f>
        <v>-622610.49</v>
      </c>
      <c r="E31" s="15"/>
      <c r="F31" s="35">
        <f>IF(D$12=0,0,D31/D$12)</f>
        <v>0</v>
      </c>
      <c r="G31" s="15"/>
      <c r="H31" s="30">
        <f>SUM(H26:H30)</f>
        <v>2031539.29</v>
      </c>
      <c r="I31" s="15"/>
      <c r="J31" s="35">
        <f>IF(H$12=0,0,H31/H$12)</f>
        <v>0</v>
      </c>
      <c r="K31" s="17"/>
      <c r="L31" s="30">
        <f>+D31-H31</f>
        <v>-2654149.7800000003</v>
      </c>
      <c r="M31" s="17"/>
      <c r="N31" s="35">
        <f>IF(H31=0,0,L31/H31)</f>
        <v>-1.3064722858498101</v>
      </c>
      <c r="O31" s="27"/>
      <c r="P31" s="30">
        <f>SUM(P26:P30)</f>
        <v>195545.27000000002</v>
      </c>
      <c r="Q31" s="15"/>
      <c r="R31" s="35">
        <f>IF(P$12=0,0,P31/P$12)</f>
        <v>0</v>
      </c>
      <c r="S31" s="15"/>
      <c r="T31" s="30">
        <f>SUM(T26:T30)</f>
        <v>4838735.3499999996</v>
      </c>
      <c r="U31" s="15"/>
      <c r="V31" s="35">
        <f>IF(T$12=0,0,T31/T$12)</f>
        <v>0</v>
      </c>
      <c r="W31" s="17"/>
      <c r="X31" s="30">
        <f>+P31-T31</f>
        <v>-4643190.08</v>
      </c>
      <c r="Y31" s="17"/>
      <c r="Z31" s="35">
        <f>IF(T31=0,0,X31/T31)</f>
        <v>-0.95958752528178681</v>
      </c>
    </row>
    <row r="32" spans="1:26" ht="15" customHeight="1" x14ac:dyDescent="0.3">
      <c r="A32" s="12"/>
      <c r="C32" s="12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2"/>
      <c r="B33" s="54">
        <v>44767.815885219905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3" t="s">
        <v>297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1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4BC8F-7847-72EA-542A-5AD754C0DBAB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","423"," - ","Contract/Vending Revenue")</f>
        <v>Department 423 - Contract/Vending Revenue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4443.29</v>
      </c>
      <c r="E18" s="23"/>
      <c r="F18" s="34">
        <f t="shared" ref="F18:F27" si="0">IF(D$12=0,0,D18/D$12)</f>
        <v>0</v>
      </c>
      <c r="G18" s="23"/>
      <c r="H18" s="23" cm="1">
        <f t="array" ref="H18">SUM(OSRRefH22x_0)</f>
        <v>186</v>
      </c>
      <c r="I18" s="23"/>
      <c r="J18" s="34">
        <f t="shared" ref="J18:J27" si="1">IF(H$12=0,0,H18/H$12)</f>
        <v>0</v>
      </c>
      <c r="K18" s="8"/>
      <c r="L18" s="23">
        <f t="shared" ref="L18:L27" si="2">+D18-H18</f>
        <v>4257.29</v>
      </c>
      <c r="M18" s="8"/>
      <c r="N18" s="34">
        <f t="shared" ref="N18:N27" si="3">IF(H18=0,0,L18/H18)</f>
        <v>22.888655913978493</v>
      </c>
      <c r="O18" s="13"/>
      <c r="P18" s="23" cm="1">
        <f t="array" ref="P18">SUM(OSRRefP22x_0)</f>
        <v>40050.020000000004</v>
      </c>
      <c r="Q18" s="23"/>
      <c r="R18" s="34">
        <f t="shared" ref="R18:R27" si="4">IF(P$12=0,0,P18/P$12)</f>
        <v>0</v>
      </c>
      <c r="S18" s="23"/>
      <c r="T18" s="23" cm="1">
        <f t="array" ref="T18">SUM(OSRRefT22x_0)</f>
        <v>3402.9900000000002</v>
      </c>
      <c r="U18" s="23"/>
      <c r="V18" s="34">
        <f t="shared" ref="V18:V27" si="5">IF(T$12=0,0,T18/T$12)</f>
        <v>0</v>
      </c>
      <c r="W18" s="8"/>
      <c r="X18" s="23">
        <f t="shared" ref="X18:X27" si="6">+P18-T18</f>
        <v>36647.030000000006</v>
      </c>
      <c r="Y18" s="8"/>
      <c r="Z18" s="34">
        <f t="shared" ref="Z18:Z27" si="7">IF(T18=0,0,X18/T18)</f>
        <v>10.769067790384339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0</v>
      </c>
      <c r="Q19" s="2"/>
      <c r="R19" s="5">
        <f t="shared" si="4"/>
        <v>0</v>
      </c>
      <c r="S19" s="2"/>
      <c r="T19" s="2">
        <f>SUM(OSRRefT22_0x_0)</f>
        <v>2478.73</v>
      </c>
      <c r="U19" s="2"/>
      <c r="V19" s="5">
        <f t="shared" si="5"/>
        <v>0</v>
      </c>
      <c r="W19" s="2"/>
      <c r="X19" s="2">
        <f t="shared" si="6"/>
        <v>-2478.73</v>
      </c>
      <c r="Y19" s="2"/>
      <c r="Z19" s="5">
        <f t="shared" si="7"/>
        <v>-1</v>
      </c>
    </row>
    <row r="20" spans="1:26" s="69" customFormat="1" ht="15" hidden="1" customHeight="1" outlineLevel="2" x14ac:dyDescent="0.3">
      <c r="A20" s="21"/>
      <c r="B20" s="9" t="str">
        <f>CONCATENATE("          ","6113"," - ","GROUP INSURANCE")</f>
        <v xml:space="preserve">          6113 - GROUP INSURANCE</v>
      </c>
      <c r="C20" s="9"/>
      <c r="D20" s="6"/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/>
      <c r="Q20" s="3"/>
      <c r="R20" s="7">
        <f t="shared" si="4"/>
        <v>0</v>
      </c>
      <c r="S20" s="3"/>
      <c r="T20" s="6">
        <v>1868.2</v>
      </c>
      <c r="U20" s="3"/>
      <c r="V20" s="7">
        <f t="shared" si="5"/>
        <v>0</v>
      </c>
      <c r="W20" s="3"/>
      <c r="X20" s="6">
        <f t="shared" si="6"/>
        <v>-1868.2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1"/>
      <c r="B21" s="9" t="str">
        <f>CONCATENATE("          ","6115"," - ","P.E.R.S.")</f>
        <v xml:space="preserve">          6115 - P.E.R.S.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/>
      <c r="Q21" s="3"/>
      <c r="R21" s="7">
        <f t="shared" si="4"/>
        <v>0</v>
      </c>
      <c r="S21" s="3"/>
      <c r="T21" s="6">
        <v>610.53</v>
      </c>
      <c r="U21" s="3"/>
      <c r="V21" s="7">
        <f t="shared" si="5"/>
        <v>0</v>
      </c>
      <c r="W21" s="3"/>
      <c r="X21" s="6">
        <f t="shared" si="6"/>
        <v>-610.53</v>
      </c>
      <c r="Y21" s="3"/>
      <c r="Z21" s="7">
        <f t="shared" si="7"/>
        <v>-1</v>
      </c>
    </row>
    <row r="22" spans="1:26" s="68" customFormat="1" ht="15" customHeight="1" outlineLevel="1" collapsed="1" x14ac:dyDescent="0.3">
      <c r="A22" s="20"/>
      <c r="B22" s="11" t="str">
        <f>CONCATENATE("     ","General                                           ")</f>
        <v xml:space="preserve">     General                                           </v>
      </c>
      <c r="C22" s="11"/>
      <c r="D22" s="2">
        <f>SUM(OSRRefD22_1x_0)</f>
        <v>4394.2</v>
      </c>
      <c r="E22" s="2"/>
      <c r="F22" s="5">
        <f t="shared" si="0"/>
        <v>0</v>
      </c>
      <c r="G22" s="2"/>
      <c r="H22" s="2">
        <f>SUM(OSRRefH22_1x_0)</f>
        <v>0</v>
      </c>
      <c r="I22" s="2"/>
      <c r="J22" s="5">
        <f t="shared" si="1"/>
        <v>0</v>
      </c>
      <c r="K22" s="2"/>
      <c r="L22" s="2">
        <f t="shared" si="2"/>
        <v>4394.2</v>
      </c>
      <c r="M22" s="2"/>
      <c r="N22" s="5">
        <f t="shared" si="3"/>
        <v>0</v>
      </c>
      <c r="O22" s="11"/>
      <c r="P22" s="2">
        <f>SUM(OSRRefP22_1x_0)</f>
        <v>38883.4</v>
      </c>
      <c r="Q22" s="2"/>
      <c r="R22" s="5">
        <f t="shared" si="4"/>
        <v>0</v>
      </c>
      <c r="S22" s="2"/>
      <c r="T22" s="2">
        <f>SUM(OSRRefT22_1x_0)</f>
        <v>0</v>
      </c>
      <c r="U22" s="2"/>
      <c r="V22" s="5">
        <f t="shared" si="5"/>
        <v>0</v>
      </c>
      <c r="W22" s="2"/>
      <c r="X22" s="2">
        <f t="shared" si="6"/>
        <v>38883.4</v>
      </c>
      <c r="Y22" s="2"/>
      <c r="Z22" s="5">
        <f t="shared" si="7"/>
        <v>0</v>
      </c>
    </row>
    <row r="23" spans="1:26" s="69" customFormat="1" ht="15" hidden="1" customHeight="1" outlineLevel="2" x14ac:dyDescent="0.3">
      <c r="A23" s="21"/>
      <c r="B23" s="9" t="str">
        <f>CONCATENATE("          ","6279"," - ","GENERAL EXPENSE")</f>
        <v xml:space="preserve">          6279 - GENERAL EXPENSE</v>
      </c>
      <c r="C23" s="9"/>
      <c r="D23" s="6">
        <v>4394.2</v>
      </c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4394.2</v>
      </c>
      <c r="M23" s="3"/>
      <c r="N23" s="7">
        <f t="shared" si="3"/>
        <v>0</v>
      </c>
      <c r="O23" s="9"/>
      <c r="P23" s="6">
        <v>38883.4</v>
      </c>
      <c r="Q23" s="3"/>
      <c r="R23" s="7">
        <f t="shared" si="4"/>
        <v>0</v>
      </c>
      <c r="S23" s="3"/>
      <c r="T23" s="6"/>
      <c r="U23" s="3"/>
      <c r="V23" s="7">
        <f t="shared" si="5"/>
        <v>0</v>
      </c>
      <c r="W23" s="3"/>
      <c r="X23" s="6">
        <f t="shared" si="6"/>
        <v>38883.4</v>
      </c>
      <c r="Y23" s="3"/>
      <c r="Z23" s="7">
        <f t="shared" si="7"/>
        <v>0</v>
      </c>
    </row>
    <row r="24" spans="1:26" s="68" customFormat="1" ht="15" customHeight="1" outlineLevel="1" collapsed="1" x14ac:dyDescent="0.3">
      <c r="A24" s="20"/>
      <c r="B24" s="11" t="str">
        <f>CONCATENATE("     ","Supplies                                          ")</f>
        <v xml:space="preserve">     Supplies                                          </v>
      </c>
      <c r="C24" s="11"/>
      <c r="D24" s="2">
        <f>SUM(OSRRefD22_2x_0)</f>
        <v>13.09</v>
      </c>
      <c r="E24" s="2"/>
      <c r="F24" s="5">
        <f t="shared" si="0"/>
        <v>0</v>
      </c>
      <c r="G24" s="2"/>
      <c r="H24" s="2">
        <f>SUM(OSRRefH22_2x_0)</f>
        <v>0</v>
      </c>
      <c r="I24" s="2"/>
      <c r="J24" s="5">
        <f t="shared" si="1"/>
        <v>0</v>
      </c>
      <c r="K24" s="2"/>
      <c r="L24" s="2">
        <f t="shared" si="2"/>
        <v>13.09</v>
      </c>
      <c r="M24" s="2"/>
      <c r="N24" s="5">
        <f t="shared" si="3"/>
        <v>0</v>
      </c>
      <c r="O24" s="11"/>
      <c r="P24" s="2">
        <f>SUM(OSRRefP22_2x_0)</f>
        <v>577.12</v>
      </c>
      <c r="Q24" s="2"/>
      <c r="R24" s="5">
        <f t="shared" si="4"/>
        <v>0</v>
      </c>
      <c r="S24" s="2"/>
      <c r="T24" s="2">
        <f>SUM(OSRRefT22_2x_0)</f>
        <v>3.26</v>
      </c>
      <c r="U24" s="2"/>
      <c r="V24" s="5">
        <f t="shared" si="5"/>
        <v>0</v>
      </c>
      <c r="W24" s="2"/>
      <c r="X24" s="2">
        <f t="shared" si="6"/>
        <v>573.86</v>
      </c>
      <c r="Y24" s="2"/>
      <c r="Z24" s="5">
        <f t="shared" si="7"/>
        <v>176.03067484662577</v>
      </c>
    </row>
    <row r="25" spans="1:26" s="69" customFormat="1" ht="15" hidden="1" customHeight="1" outlineLevel="2" x14ac:dyDescent="0.3">
      <c r="A25" s="21"/>
      <c r="B25" s="9" t="str">
        <f>CONCATENATE("          ","6241"," - ","OFFICE EXPENSE")</f>
        <v xml:space="preserve">          6241 - OFFICE EXPENSE</v>
      </c>
      <c r="C25" s="9"/>
      <c r="D25" s="6">
        <v>13.09</v>
      </c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13.09</v>
      </c>
      <c r="M25" s="3"/>
      <c r="N25" s="7">
        <f t="shared" si="3"/>
        <v>0</v>
      </c>
      <c r="O25" s="9"/>
      <c r="P25" s="6">
        <v>577.12</v>
      </c>
      <c r="Q25" s="3"/>
      <c r="R25" s="7">
        <f t="shared" si="4"/>
        <v>0</v>
      </c>
      <c r="S25" s="3"/>
      <c r="T25" s="6">
        <v>3.26</v>
      </c>
      <c r="U25" s="3"/>
      <c r="V25" s="7">
        <f t="shared" si="5"/>
        <v>0</v>
      </c>
      <c r="W25" s="3"/>
      <c r="X25" s="6">
        <f t="shared" si="6"/>
        <v>573.86</v>
      </c>
      <c r="Y25" s="3"/>
      <c r="Z25" s="7">
        <f t="shared" si="7"/>
        <v>176.03067484662577</v>
      </c>
    </row>
    <row r="26" spans="1:26" s="68" customFormat="1" ht="15" customHeight="1" outlineLevel="1" collapsed="1" x14ac:dyDescent="0.3">
      <c r="A26" s="20"/>
      <c r="B26" s="11" t="str">
        <f>CONCATENATE("     ","Telephone/Data Lines                              ")</f>
        <v xml:space="preserve">     Telephone/Data Lines                              </v>
      </c>
      <c r="C26" s="11"/>
      <c r="D26" s="2">
        <f>SUM(OSRRefD22_3x_0)</f>
        <v>36</v>
      </c>
      <c r="E26" s="2"/>
      <c r="F26" s="5">
        <f t="shared" si="0"/>
        <v>0</v>
      </c>
      <c r="G26" s="2"/>
      <c r="H26" s="2">
        <f>SUM(OSRRefH22_3x_0)</f>
        <v>186</v>
      </c>
      <c r="I26" s="2"/>
      <c r="J26" s="5">
        <f t="shared" si="1"/>
        <v>0</v>
      </c>
      <c r="K26" s="2"/>
      <c r="L26" s="2">
        <f t="shared" si="2"/>
        <v>-150</v>
      </c>
      <c r="M26" s="2"/>
      <c r="N26" s="5">
        <f t="shared" si="3"/>
        <v>-0.80645161290322576</v>
      </c>
      <c r="O26" s="11"/>
      <c r="P26" s="2">
        <f>SUM(OSRRefP22_3x_0)</f>
        <v>589.5</v>
      </c>
      <c r="Q26" s="2"/>
      <c r="R26" s="5">
        <f t="shared" si="4"/>
        <v>0</v>
      </c>
      <c r="S26" s="2"/>
      <c r="T26" s="2">
        <f>SUM(OSRRefT22_3x_0)</f>
        <v>921</v>
      </c>
      <c r="U26" s="2"/>
      <c r="V26" s="5">
        <f t="shared" si="5"/>
        <v>0</v>
      </c>
      <c r="W26" s="2"/>
      <c r="X26" s="2">
        <f t="shared" si="6"/>
        <v>-331.5</v>
      </c>
      <c r="Y26" s="2"/>
      <c r="Z26" s="5">
        <f t="shared" si="7"/>
        <v>-0.35993485342019543</v>
      </c>
    </row>
    <row r="27" spans="1:26" s="69" customFormat="1" ht="15" hidden="1" customHeight="1" outlineLevel="2" x14ac:dyDescent="0.3">
      <c r="A27" s="21"/>
      <c r="B27" s="9" t="str">
        <f>CONCATENATE("          ","6309"," - ","TELEPHONE")</f>
        <v xml:space="preserve">          6309 - TELEPHONE</v>
      </c>
      <c r="C27" s="9"/>
      <c r="D27" s="6">
        <v>36</v>
      </c>
      <c r="E27" s="3"/>
      <c r="F27" s="7">
        <f t="shared" si="0"/>
        <v>0</v>
      </c>
      <c r="G27" s="3"/>
      <c r="H27" s="6">
        <v>186</v>
      </c>
      <c r="I27" s="3"/>
      <c r="J27" s="7">
        <f t="shared" si="1"/>
        <v>0</v>
      </c>
      <c r="K27" s="3"/>
      <c r="L27" s="6">
        <f t="shared" si="2"/>
        <v>-150</v>
      </c>
      <c r="M27" s="3"/>
      <c r="N27" s="7">
        <f t="shared" si="3"/>
        <v>-0.80645161290322576</v>
      </c>
      <c r="O27" s="9"/>
      <c r="P27" s="6">
        <v>589.5</v>
      </c>
      <c r="Q27" s="3"/>
      <c r="R27" s="7">
        <f t="shared" si="4"/>
        <v>0</v>
      </c>
      <c r="S27" s="3"/>
      <c r="T27" s="6">
        <v>921</v>
      </c>
      <c r="U27" s="3"/>
      <c r="V27" s="7">
        <f t="shared" si="5"/>
        <v>0</v>
      </c>
      <c r="W27" s="3"/>
      <c r="X27" s="6">
        <f t="shared" si="6"/>
        <v>-331.5</v>
      </c>
      <c r="Y27" s="3"/>
      <c r="Z27" s="7">
        <f t="shared" si="7"/>
        <v>-0.35993485342019543</v>
      </c>
    </row>
    <row r="28" spans="1:26" s="64" customFormat="1" ht="15" customHeight="1" x14ac:dyDescent="0.3">
      <c r="A28" s="37"/>
      <c r="B28" s="37"/>
      <c r="C28" s="37"/>
      <c r="D28" s="2"/>
      <c r="E28" s="2"/>
      <c r="F28" s="5"/>
      <c r="G28" s="2"/>
      <c r="H28" s="2"/>
      <c r="I28" s="2"/>
      <c r="J28" s="5"/>
      <c r="K28" s="2"/>
      <c r="L28" s="2"/>
      <c r="M28" s="2"/>
      <c r="N28" s="5"/>
      <c r="O28" s="37"/>
      <c r="P28" s="2"/>
      <c r="Q28" s="2"/>
      <c r="R28" s="5"/>
      <c r="S28" s="2"/>
      <c r="T28" s="2"/>
      <c r="U28" s="2"/>
      <c r="V28" s="5"/>
      <c r="W28" s="2"/>
      <c r="X28" s="2"/>
      <c r="Y28" s="2"/>
      <c r="Z28" s="5"/>
    </row>
    <row r="29" spans="1:26" s="62" customFormat="1" ht="15" customHeight="1" collapsed="1" x14ac:dyDescent="0.3">
      <c r="A29" s="13"/>
      <c r="B29" s="27" t="s">
        <v>290</v>
      </c>
      <c r="C29" s="13"/>
      <c r="D29" s="8">
        <f>SUM(OSRRefD25x_0)</f>
        <v>13192.37</v>
      </c>
      <c r="E29" s="8"/>
      <c r="F29" s="14">
        <f>IF(D$12=0,0,D29/D$12)</f>
        <v>0</v>
      </c>
      <c r="G29" s="8"/>
      <c r="H29" s="8">
        <f>SUM(OSRRefH25x_0)</f>
        <v>0</v>
      </c>
      <c r="I29" s="8"/>
      <c r="J29" s="14">
        <f>IF(H$12=0,0,H29/H$12)</f>
        <v>0</v>
      </c>
      <c r="K29" s="8"/>
      <c r="L29" s="8">
        <f>+D29-H29</f>
        <v>13192.37</v>
      </c>
      <c r="M29" s="8"/>
      <c r="N29" s="14">
        <f>IF(H29=0,0,L29/H29)</f>
        <v>0</v>
      </c>
      <c r="O29" s="13"/>
      <c r="P29" s="8">
        <f>SUM(OSRRefP25x_0)</f>
        <v>174077.81</v>
      </c>
      <c r="Q29" s="8"/>
      <c r="R29" s="14">
        <f>IF(P$12=0,0,P29/P$12)</f>
        <v>0</v>
      </c>
      <c r="S29" s="8"/>
      <c r="T29" s="8">
        <f>SUM(OSRRefT25x_0)</f>
        <v>0</v>
      </c>
      <c r="U29" s="8"/>
      <c r="V29" s="14">
        <f>IF(T$12=0,0,T29/T$12)</f>
        <v>0</v>
      </c>
      <c r="W29" s="8"/>
      <c r="X29" s="8">
        <f>+P29-T29</f>
        <v>174077.81</v>
      </c>
      <c r="Y29" s="8"/>
      <c r="Z29" s="14">
        <f>IF(T29=0,0,X29/T29)</f>
        <v>0</v>
      </c>
    </row>
    <row r="30" spans="1:26" s="69" customFormat="1" ht="15" hidden="1" customHeight="1" outlineLevel="1" x14ac:dyDescent="0.3">
      <c r="A30" s="47"/>
      <c r="B30" s="9" t="str">
        <f>CONCATENATE("          ","9150"," - ","MISC. INCOME")</f>
        <v xml:space="preserve">          9150 - MISC. INCOME</v>
      </c>
      <c r="C30" s="9"/>
      <c r="D30" s="3">
        <f>--13192.37</f>
        <v>13192.37</v>
      </c>
      <c r="E30" s="3"/>
      <c r="F30" s="26">
        <f>IF(D$12=0,0,D30/D$12)</f>
        <v>0</v>
      </c>
      <c r="G30" s="3"/>
      <c r="H30" s="3">
        <f>0</f>
        <v>0</v>
      </c>
      <c r="I30" s="3"/>
      <c r="J30" s="26">
        <f>IF(H$12=0,0,H30/H$12)</f>
        <v>0</v>
      </c>
      <c r="K30" s="3"/>
      <c r="L30" s="3">
        <f>+D30-H30</f>
        <v>13192.37</v>
      </c>
      <c r="M30" s="3"/>
      <c r="N30" s="26">
        <f>IF(H30=0,0,L30/H30)</f>
        <v>0</v>
      </c>
      <c r="O30" s="9"/>
      <c r="P30" s="3">
        <f>--174077.81</f>
        <v>174077.81</v>
      </c>
      <c r="Q30" s="3"/>
      <c r="R30" s="26">
        <f>IF(P$12=0,0,P30/P$12)</f>
        <v>0</v>
      </c>
      <c r="S30" s="3"/>
      <c r="T30" s="3">
        <f>0</f>
        <v>0</v>
      </c>
      <c r="U30" s="3"/>
      <c r="V30" s="26">
        <f>IF(T$12=0,0,T30/T$12)</f>
        <v>0</v>
      </c>
      <c r="W30" s="3"/>
      <c r="X30" s="3">
        <f>+P30-T30</f>
        <v>174077.81</v>
      </c>
      <c r="Y30" s="3"/>
      <c r="Z30" s="26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2" customFormat="1" ht="15" customHeight="1" x14ac:dyDescent="0.3">
      <c r="A32" s="13"/>
      <c r="B32" s="28" t="s">
        <v>291</v>
      </c>
      <c r="C32" s="28"/>
      <c r="D32" s="22">
        <f>+D16-D18+D29</f>
        <v>8749.0800000000017</v>
      </c>
      <c r="E32" s="15"/>
      <c r="F32" s="24">
        <f>IF(D$12=0,0,D32/D$12)</f>
        <v>0</v>
      </c>
      <c r="G32" s="15"/>
      <c r="H32" s="22">
        <f>+H16-H18+H29</f>
        <v>-186</v>
      </c>
      <c r="I32" s="15"/>
      <c r="J32" s="24">
        <f>IF(H$12=0,0,H32/H$12)</f>
        <v>0</v>
      </c>
      <c r="K32" s="17"/>
      <c r="L32" s="22">
        <f>+D32-H32</f>
        <v>8935.0800000000017</v>
      </c>
      <c r="M32" s="17"/>
      <c r="N32" s="24">
        <f>IF(H32=0,0,L32/H32)</f>
        <v>-48.03806451612904</v>
      </c>
      <c r="O32" s="27"/>
      <c r="P32" s="22">
        <f>+P16-P18+P29</f>
        <v>134027.78999999998</v>
      </c>
      <c r="Q32" s="15"/>
      <c r="R32" s="24">
        <f>IF(P$12=0,0,P32/P$12)</f>
        <v>0</v>
      </c>
      <c r="S32" s="15"/>
      <c r="T32" s="22">
        <f>+T16-T18+T29</f>
        <v>-3402.9900000000002</v>
      </c>
      <c r="U32" s="15"/>
      <c r="V32" s="24">
        <f>IF(T$12=0,0,T32/T$12)</f>
        <v>0</v>
      </c>
      <c r="W32" s="17"/>
      <c r="X32" s="22">
        <f>+P32-T32</f>
        <v>137430.77999999997</v>
      </c>
      <c r="Y32" s="17"/>
      <c r="Z32" s="24">
        <f>IF(T32=0,0,X32/T32)</f>
        <v>-40.385302337062399</v>
      </c>
    </row>
    <row r="33" spans="1:26" ht="15" customHeight="1" x14ac:dyDescent="0.3">
      <c r="A33" s="12"/>
      <c r="B33" s="13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s="62" customFormat="1" ht="15" customHeight="1" x14ac:dyDescent="0.3">
      <c r="A34" s="48"/>
      <c r="B34" s="13" t="s">
        <v>292</v>
      </c>
      <c r="C34" s="13"/>
      <c r="D34" s="8"/>
      <c r="E34" s="8"/>
      <c r="F34" s="14">
        <f>IF(D$12=0,0,D34/D$12)</f>
        <v>0</v>
      </c>
      <c r="G34" s="8"/>
      <c r="H34" s="8"/>
      <c r="I34" s="8"/>
      <c r="J34" s="14">
        <f>IF(H$12=0,0,H34/H$12)</f>
        <v>0</v>
      </c>
      <c r="K34" s="8"/>
      <c r="L34" s="8">
        <f>+D34-H34</f>
        <v>0</v>
      </c>
      <c r="M34" s="8"/>
      <c r="N34" s="14">
        <f>IF(H34=0,0,L34/H34)</f>
        <v>0</v>
      </c>
      <c r="O34" s="13"/>
      <c r="P34" s="8"/>
      <c r="Q34" s="8"/>
      <c r="R34" s="14">
        <f>IF(P$12=0,0,P34/P$12)</f>
        <v>0</v>
      </c>
      <c r="S34" s="8"/>
      <c r="T34" s="8"/>
      <c r="U34" s="8"/>
      <c r="V34" s="14">
        <f>IF(T$12=0,0,T34/T$12)</f>
        <v>0</v>
      </c>
      <c r="W34" s="8"/>
      <c r="X34" s="8">
        <f>+P34-T34</f>
        <v>0</v>
      </c>
      <c r="Y34" s="8"/>
      <c r="Z34" s="14">
        <f>IF(T34=0,0,X34/T34)</f>
        <v>0</v>
      </c>
    </row>
    <row r="35" spans="1:26" ht="15" customHeight="1" x14ac:dyDescent="0.3">
      <c r="A35" s="12"/>
      <c r="B35" s="13"/>
      <c r="C35" s="13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O35" s="13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x14ac:dyDescent="0.3">
      <c r="A36" s="13"/>
      <c r="B36" s="28" t="s">
        <v>293</v>
      </c>
      <c r="C36" s="28"/>
      <c r="D36" s="29">
        <f>+D32-D34</f>
        <v>8749.0800000000017</v>
      </c>
      <c r="E36" s="15"/>
      <c r="F36" s="31">
        <f>IF(D$12=0,0,D36/D$12)</f>
        <v>0</v>
      </c>
      <c r="G36" s="15"/>
      <c r="H36" s="29">
        <f>+H32-H34</f>
        <v>-186</v>
      </c>
      <c r="I36" s="15"/>
      <c r="J36" s="31">
        <f>IF(H$12=0,0,H36/H$12)</f>
        <v>0</v>
      </c>
      <c r="K36" s="17"/>
      <c r="L36" s="29">
        <f>D36-H36</f>
        <v>8935.0800000000017</v>
      </c>
      <c r="M36" s="17"/>
      <c r="N36" s="31">
        <f>IF(H36=0,0,L36/H36)</f>
        <v>-48.03806451612904</v>
      </c>
      <c r="O36" s="27"/>
      <c r="P36" s="29">
        <f>+P32-P34</f>
        <v>134027.78999999998</v>
      </c>
      <c r="Q36" s="15"/>
      <c r="R36" s="31">
        <f>IF(P$12=0,0,P36/P$12)</f>
        <v>0</v>
      </c>
      <c r="S36" s="15"/>
      <c r="T36" s="29">
        <f>+T32-T34</f>
        <v>-3402.9900000000002</v>
      </c>
      <c r="U36" s="15"/>
      <c r="V36" s="31">
        <f>IF(T$12=0,0,T36/T$12)</f>
        <v>0</v>
      </c>
      <c r="W36" s="17"/>
      <c r="X36" s="29">
        <f>P36-T36</f>
        <v>137430.77999999997</v>
      </c>
      <c r="Y36" s="17"/>
      <c r="Z36" s="31">
        <f>IF(T36=0,0,X36/T36)</f>
        <v>-40.385302337062399</v>
      </c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ht="15" customHeight="1" x14ac:dyDescent="0.3">
      <c r="A38" s="12"/>
      <c r="B38" s="12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2" customFormat="1" ht="15" customHeight="1" x14ac:dyDescent="0.3">
      <c r="A39" s="13"/>
      <c r="B39" s="28" t="s">
        <v>296</v>
      </c>
      <c r="C39" s="28"/>
      <c r="D39" s="30">
        <f>SUM(D36:D38)</f>
        <v>8749.0800000000017</v>
      </c>
      <c r="E39" s="15"/>
      <c r="F39" s="35">
        <f>IF(D$12=0,0,D39/D$12)</f>
        <v>0</v>
      </c>
      <c r="G39" s="15"/>
      <c r="H39" s="30">
        <f>SUM(H36:H38)</f>
        <v>-186</v>
      </c>
      <c r="I39" s="15"/>
      <c r="J39" s="35">
        <f>IF(H$12=0,0,H39/H$12)</f>
        <v>0</v>
      </c>
      <c r="K39" s="17"/>
      <c r="L39" s="30">
        <f>+D39-H39</f>
        <v>8935.0800000000017</v>
      </c>
      <c r="M39" s="17"/>
      <c r="N39" s="35">
        <f>IF(H39=0,0,L39/H39)</f>
        <v>-48.03806451612904</v>
      </c>
      <c r="O39" s="27"/>
      <c r="P39" s="30">
        <f>SUM(P36:P38)</f>
        <v>134027.78999999998</v>
      </c>
      <c r="Q39" s="15"/>
      <c r="R39" s="35">
        <f>IF(P$12=0,0,P39/P$12)</f>
        <v>0</v>
      </c>
      <c r="S39" s="15"/>
      <c r="T39" s="30">
        <f>SUM(T36:T38)</f>
        <v>-3402.9900000000002</v>
      </c>
      <c r="U39" s="15"/>
      <c r="V39" s="35">
        <f>IF(T$12=0,0,T39/T$12)</f>
        <v>0</v>
      </c>
      <c r="W39" s="17"/>
      <c r="X39" s="30">
        <f>+P39-T39</f>
        <v>137430.77999999997</v>
      </c>
      <c r="Y39" s="17"/>
      <c r="Z39" s="35">
        <f>IF(T39=0,0,X39/T39)</f>
        <v>-40.385302337062399</v>
      </c>
    </row>
    <row r="40" spans="1:26" ht="15" customHeight="1" x14ac:dyDescent="0.3">
      <c r="A40" s="12"/>
      <c r="C40" s="12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4">
        <v>44767.815885219905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3" t="s">
        <v>297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2"/>
      <c r="B43" s="51"/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7CC8-79DB-71A9-2B0D-B3E7B2328A12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","424"," - ","Blair Field")</f>
        <v>Department 424 - Blair Field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collapsed="1" x14ac:dyDescent="0.3">
      <c r="A14" s="13"/>
      <c r="B14" s="27" t="s">
        <v>287</v>
      </c>
      <c r="C14" s="13"/>
      <c r="D14" s="8">
        <f>SUM(OSRRefD16x_0)</f>
        <v>3082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3082</v>
      </c>
      <c r="M14" s="8"/>
      <c r="N14" s="14">
        <f>IF(H14=0,0,L14/H14)</f>
        <v>0</v>
      </c>
      <c r="O14" s="13"/>
      <c r="P14" s="8">
        <f>SUM(OSRRefP16x_0)</f>
        <v>3082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3082</v>
      </c>
      <c r="Y14" s="8"/>
      <c r="Z14" s="14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","5059"," - ","PURCHASES @ COST-FOOD")</f>
        <v xml:space="preserve">          5059 - PURCHASES @ COST-FOOD</v>
      </c>
      <c r="C15" s="9"/>
      <c r="D15" s="3">
        <v>3082</v>
      </c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3082</v>
      </c>
      <c r="M15" s="3"/>
      <c r="N15" s="26">
        <f>IF(H15=0,0,L15/H15)</f>
        <v>0</v>
      </c>
      <c r="O15" s="9"/>
      <c r="P15" s="3">
        <v>3082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3082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D12-D14</f>
        <v>-3082</v>
      </c>
      <c r="E17" s="15"/>
      <c r="F17" s="24">
        <f>IF(D$12=0,0,D17/D$12)</f>
        <v>0</v>
      </c>
      <c r="G17" s="15"/>
      <c r="H17" s="22">
        <f>H12-H14</f>
        <v>0</v>
      </c>
      <c r="I17" s="15"/>
      <c r="J17" s="24">
        <f>IF(H$12=0,0,H17/H$12)</f>
        <v>0</v>
      </c>
      <c r="K17" s="17"/>
      <c r="L17" s="22">
        <f>+D17-H17</f>
        <v>-3082</v>
      </c>
      <c r="M17" s="17"/>
      <c r="N17" s="24">
        <f>IF(H17=0,0,L17/H17)</f>
        <v>0</v>
      </c>
      <c r="O17" s="27"/>
      <c r="P17" s="22">
        <f>P12-P14</f>
        <v>-3082</v>
      </c>
      <c r="Q17" s="15"/>
      <c r="R17" s="24">
        <f>IF(P$12=0,0,P17/P$12)</f>
        <v>0</v>
      </c>
      <c r="S17" s="15"/>
      <c r="T17" s="22">
        <f>T12-T14</f>
        <v>0</v>
      </c>
      <c r="U17" s="15"/>
      <c r="V17" s="24">
        <f>IF(T$12=0,0,T17/T$12)</f>
        <v>0</v>
      </c>
      <c r="W17" s="17"/>
      <c r="X17" s="22">
        <f>+P17-T17</f>
        <v>-3082</v>
      </c>
      <c r="Y17" s="17"/>
      <c r="Z17" s="24">
        <f>IF(T17=0,0,X17/T17)</f>
        <v>0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479.29</v>
      </c>
      <c r="E19" s="23"/>
      <c r="F19" s="34">
        <f t="shared" ref="F19:F27" si="0">IF(D$12=0,0,D19/D$12)</f>
        <v>0</v>
      </c>
      <c r="G19" s="23"/>
      <c r="H19" s="23" cm="1">
        <f t="array" ref="H19">SUM(OSRRefH22x_0)</f>
        <v>479.29</v>
      </c>
      <c r="I19" s="23"/>
      <c r="J19" s="34">
        <f t="shared" ref="J19:J27" si="1">IF(H$12=0,0,H19/H$12)</f>
        <v>0</v>
      </c>
      <c r="K19" s="8"/>
      <c r="L19" s="23">
        <f t="shared" ref="L19:L27" si="2">+D19-H19</f>
        <v>0</v>
      </c>
      <c r="M19" s="8"/>
      <c r="N19" s="34">
        <f t="shared" ref="N19:N27" si="3">IF(H19=0,0,L19/H19)</f>
        <v>0</v>
      </c>
      <c r="O19" s="13"/>
      <c r="P19" s="23" cm="1">
        <f t="array" ref="P19">SUM(OSRRefP22x_0)</f>
        <v>6230.48</v>
      </c>
      <c r="Q19" s="23"/>
      <c r="R19" s="34">
        <f t="shared" ref="R19:R27" si="4">IF(P$12=0,0,P19/P$12)</f>
        <v>0</v>
      </c>
      <c r="S19" s="23"/>
      <c r="T19" s="23" cm="1">
        <f t="array" ref="T19">SUM(OSRRefT22x_0)</f>
        <v>7312.37</v>
      </c>
      <c r="U19" s="23"/>
      <c r="V19" s="34">
        <f t="shared" ref="V19:V27" si="5">IF(T$12=0,0,T19/T$12)</f>
        <v>0</v>
      </c>
      <c r="W19" s="8"/>
      <c r="X19" s="23">
        <f t="shared" ref="X19:X27" si="6">+P19-T19</f>
        <v>-1081.8900000000003</v>
      </c>
      <c r="Y19" s="8"/>
      <c r="Z19" s="34">
        <f t="shared" ref="Z19:Z27" si="7">IF(T19=0,0,X19/T19)</f>
        <v>-0.14795339951342729</v>
      </c>
    </row>
    <row r="20" spans="1:26" s="68" customFormat="1" ht="15" customHeight="1" outlineLevel="1" collapsed="1" x14ac:dyDescent="0.3">
      <c r="A20" s="20"/>
      <c r="B20" s="11" t="str">
        <f>CONCATENATE("     ","Depreciation                                      ")</f>
        <v xml:space="preserve">     Depreciation                                      </v>
      </c>
      <c r="C20" s="11"/>
      <c r="D20" s="2">
        <f>SUM(OSRRefD22_0x_0)</f>
        <v>479.29</v>
      </c>
      <c r="E20" s="2"/>
      <c r="F20" s="5">
        <f t="shared" si="0"/>
        <v>0</v>
      </c>
      <c r="G20" s="2"/>
      <c r="H20" s="2">
        <f>SUM(OSRRefH22_0x_0)</f>
        <v>479.29</v>
      </c>
      <c r="I20" s="2"/>
      <c r="J20" s="5">
        <f t="shared" si="1"/>
        <v>0</v>
      </c>
      <c r="K20" s="2"/>
      <c r="L20" s="2">
        <f t="shared" si="2"/>
        <v>0</v>
      </c>
      <c r="M20" s="2"/>
      <c r="N20" s="5">
        <f t="shared" si="3"/>
        <v>0</v>
      </c>
      <c r="O20" s="11"/>
      <c r="P20" s="2">
        <f>SUM(OSRRefP22_0x_0)</f>
        <v>5751.48</v>
      </c>
      <c r="Q20" s="2"/>
      <c r="R20" s="5">
        <f t="shared" si="4"/>
        <v>0</v>
      </c>
      <c r="S20" s="2"/>
      <c r="T20" s="2">
        <f>SUM(OSRRefT22_0x_0)</f>
        <v>5751.48</v>
      </c>
      <c r="U20" s="2"/>
      <c r="V20" s="5">
        <f t="shared" si="5"/>
        <v>0</v>
      </c>
      <c r="W20" s="2"/>
      <c r="X20" s="2">
        <f t="shared" si="6"/>
        <v>0</v>
      </c>
      <c r="Y20" s="2"/>
      <c r="Z20" s="5">
        <f t="shared" si="7"/>
        <v>0</v>
      </c>
    </row>
    <row r="21" spans="1:26" s="69" customFormat="1" ht="15" hidden="1" customHeight="1" outlineLevel="2" x14ac:dyDescent="0.3">
      <c r="A21" s="21"/>
      <c r="B21" s="9" t="str">
        <f>CONCATENATE("          ","6322"," - ","EQUIPMENT DEPRECIATION EXPENSE")</f>
        <v xml:space="preserve">          6322 - EQUIPMENT DEPRECIATION EXPENSE</v>
      </c>
      <c r="C21" s="9"/>
      <c r="D21" s="6">
        <v>479.29</v>
      </c>
      <c r="E21" s="3"/>
      <c r="F21" s="7">
        <f t="shared" si="0"/>
        <v>0</v>
      </c>
      <c r="G21" s="3"/>
      <c r="H21" s="6">
        <v>479.29</v>
      </c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>
        <v>5751.48</v>
      </c>
      <c r="Q21" s="3"/>
      <c r="R21" s="7">
        <f t="shared" si="4"/>
        <v>0</v>
      </c>
      <c r="S21" s="3"/>
      <c r="T21" s="6">
        <v>5751.48</v>
      </c>
      <c r="U21" s="3"/>
      <c r="V21" s="7">
        <f t="shared" si="5"/>
        <v>0</v>
      </c>
      <c r="W21" s="3"/>
      <c r="X21" s="6">
        <f t="shared" si="6"/>
        <v>0</v>
      </c>
      <c r="Y21" s="3"/>
      <c r="Z21" s="7">
        <f t="shared" si="7"/>
        <v>0</v>
      </c>
    </row>
    <row r="22" spans="1:26" s="68" customFormat="1" ht="15" customHeight="1" outlineLevel="1" collapsed="1" x14ac:dyDescent="0.3">
      <c r="A22" s="20"/>
      <c r="B22" s="11" t="str">
        <f>CONCATENATE("     ","General                                           ")</f>
        <v xml:space="preserve">     General                                           </v>
      </c>
      <c r="C22" s="11"/>
      <c r="D22" s="2">
        <f>SUM(OSRRefD22_1x_0)</f>
        <v>0</v>
      </c>
      <c r="E22" s="2"/>
      <c r="F22" s="5">
        <f t="shared" si="0"/>
        <v>0</v>
      </c>
      <c r="G22" s="2"/>
      <c r="H22" s="2">
        <f>SUM(OSRRefH22_1x_0)</f>
        <v>0</v>
      </c>
      <c r="I22" s="2"/>
      <c r="J22" s="5">
        <f t="shared" si="1"/>
        <v>0</v>
      </c>
      <c r="K22" s="2"/>
      <c r="L22" s="2">
        <f t="shared" si="2"/>
        <v>0</v>
      </c>
      <c r="M22" s="2"/>
      <c r="N22" s="5">
        <f t="shared" si="3"/>
        <v>0</v>
      </c>
      <c r="O22" s="11"/>
      <c r="P22" s="2">
        <f>SUM(OSRRefP22_1x_0)</f>
        <v>479</v>
      </c>
      <c r="Q22" s="2"/>
      <c r="R22" s="5">
        <f t="shared" si="4"/>
        <v>0</v>
      </c>
      <c r="S22" s="2"/>
      <c r="T22" s="2">
        <f>SUM(OSRRefT22_1x_0)</f>
        <v>978.55</v>
      </c>
      <c r="U22" s="2"/>
      <c r="V22" s="5">
        <f t="shared" si="5"/>
        <v>0</v>
      </c>
      <c r="W22" s="2"/>
      <c r="X22" s="2">
        <f t="shared" si="6"/>
        <v>-499.54999999999995</v>
      </c>
      <c r="Y22" s="2"/>
      <c r="Z22" s="5">
        <f t="shared" si="7"/>
        <v>-0.51050022993204225</v>
      </c>
    </row>
    <row r="23" spans="1:26" s="69" customFormat="1" ht="15" hidden="1" customHeight="1" outlineLevel="2" x14ac:dyDescent="0.3">
      <c r="A23" s="21"/>
      <c r="B23" s="9" t="str">
        <f>CONCATENATE("          ","6279"," - ","GENERAL EXPENSE")</f>
        <v xml:space="preserve">          6279 - GENERAL EXPENSE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>
        <v>479</v>
      </c>
      <c r="Q23" s="3"/>
      <c r="R23" s="7">
        <f t="shared" si="4"/>
        <v>0</v>
      </c>
      <c r="S23" s="3"/>
      <c r="T23" s="6">
        <v>978.55</v>
      </c>
      <c r="U23" s="3"/>
      <c r="V23" s="7">
        <f t="shared" si="5"/>
        <v>0</v>
      </c>
      <c r="W23" s="3"/>
      <c r="X23" s="6">
        <f t="shared" si="6"/>
        <v>-499.54999999999995</v>
      </c>
      <c r="Y23" s="3"/>
      <c r="Z23" s="7">
        <f t="shared" si="7"/>
        <v>-0.51050022993204225</v>
      </c>
    </row>
    <row r="24" spans="1:26" s="68" customFormat="1" ht="15" customHeight="1" outlineLevel="1" collapsed="1" x14ac:dyDescent="0.3">
      <c r="A24" s="20"/>
      <c r="B24" s="11" t="str">
        <f>CONCATENATE("     ","Repair and Maintenance                            ")</f>
        <v xml:space="preserve">     Repair and Maintenance                            </v>
      </c>
      <c r="C24" s="11"/>
      <c r="D24" s="2">
        <f>SUM(OSRRefD22_2x_0)</f>
        <v>0</v>
      </c>
      <c r="E24" s="2"/>
      <c r="F24" s="5">
        <f t="shared" si="0"/>
        <v>0</v>
      </c>
      <c r="G24" s="2"/>
      <c r="H24" s="2">
        <f>SUM(OSRRefH22_2x_0)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SUM(OSRRefP22_2x_0)</f>
        <v>0</v>
      </c>
      <c r="Q24" s="2"/>
      <c r="R24" s="5">
        <f t="shared" si="4"/>
        <v>0</v>
      </c>
      <c r="S24" s="2"/>
      <c r="T24" s="2">
        <f>SUM(OSRRefT22_2x_0)</f>
        <v>154.33000000000001</v>
      </c>
      <c r="U24" s="2"/>
      <c r="V24" s="5">
        <f t="shared" si="5"/>
        <v>0</v>
      </c>
      <c r="W24" s="2"/>
      <c r="X24" s="2">
        <f t="shared" si="6"/>
        <v>-154.33000000000001</v>
      </c>
      <c r="Y24" s="2"/>
      <c r="Z24" s="5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","6373"," - ","MAINTENANCE CONTRACTS")</f>
        <v xml:space="preserve">          6373 - MAINTENANCE CONTRACTS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154.33000000000001</v>
      </c>
      <c r="U25" s="3"/>
      <c r="V25" s="7">
        <f t="shared" si="5"/>
        <v>0</v>
      </c>
      <c r="W25" s="3"/>
      <c r="X25" s="6">
        <f t="shared" si="6"/>
        <v>-154.33000000000001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0"/>
      <c r="B26" s="11" t="str">
        <f>CONCATENATE("     ","Telephone/Data Lines                              ")</f>
        <v xml:space="preserve">     Telephone/Data Lines                              </v>
      </c>
      <c r="C26" s="11"/>
      <c r="D26" s="2">
        <f>SUM(OSRRefD22_3x_0)</f>
        <v>0</v>
      </c>
      <c r="E26" s="2"/>
      <c r="F26" s="5">
        <f t="shared" si="0"/>
        <v>0</v>
      </c>
      <c r="G26" s="2"/>
      <c r="H26" s="2">
        <f>SUM(OSRRefH22_3x_0)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SUM(OSRRefP22_3x_0)</f>
        <v>0</v>
      </c>
      <c r="Q26" s="2"/>
      <c r="R26" s="5">
        <f t="shared" si="4"/>
        <v>0</v>
      </c>
      <c r="S26" s="2"/>
      <c r="T26" s="2">
        <f>SUM(OSRRefT22_3x_0)</f>
        <v>428.01</v>
      </c>
      <c r="U26" s="2"/>
      <c r="V26" s="5">
        <f t="shared" si="5"/>
        <v>0</v>
      </c>
      <c r="W26" s="2"/>
      <c r="X26" s="2">
        <f t="shared" si="6"/>
        <v>-428.01</v>
      </c>
      <c r="Y26" s="2"/>
      <c r="Z26" s="5">
        <f t="shared" si="7"/>
        <v>-1</v>
      </c>
    </row>
    <row r="27" spans="1:26" s="69" customFormat="1" ht="15" hidden="1" customHeight="1" outlineLevel="2" x14ac:dyDescent="0.3">
      <c r="A27" s="21"/>
      <c r="B27" s="9" t="str">
        <f>CONCATENATE("          ","6309"," - ","TELEPHONE")</f>
        <v xml:space="preserve">          6309 - TELEPHONE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428.01</v>
      </c>
      <c r="U27" s="3"/>
      <c r="V27" s="7">
        <f t="shared" si="5"/>
        <v>0</v>
      </c>
      <c r="W27" s="3"/>
      <c r="X27" s="6">
        <f t="shared" si="6"/>
        <v>-428.01</v>
      </c>
      <c r="Y27" s="3"/>
      <c r="Z27" s="7">
        <f t="shared" si="7"/>
        <v>-1</v>
      </c>
    </row>
    <row r="28" spans="1:26" s="64" customFormat="1" ht="15" customHeight="1" x14ac:dyDescent="0.3">
      <c r="A28" s="37"/>
      <c r="B28" s="37"/>
      <c r="C28" s="37"/>
      <c r="D28" s="2"/>
      <c r="E28" s="2"/>
      <c r="F28" s="5"/>
      <c r="G28" s="2"/>
      <c r="H28" s="2"/>
      <c r="I28" s="2"/>
      <c r="J28" s="5"/>
      <c r="K28" s="2"/>
      <c r="L28" s="2"/>
      <c r="M28" s="2"/>
      <c r="N28" s="5"/>
      <c r="O28" s="37"/>
      <c r="P28" s="2"/>
      <c r="Q28" s="2"/>
      <c r="R28" s="5"/>
      <c r="S28" s="2"/>
      <c r="T28" s="2"/>
      <c r="U28" s="2"/>
      <c r="V28" s="5"/>
      <c r="W28" s="2"/>
      <c r="X28" s="2"/>
      <c r="Y28" s="2"/>
      <c r="Z28" s="5"/>
    </row>
    <row r="29" spans="1:26" s="62" customFormat="1" ht="15" customHeight="1" x14ac:dyDescent="0.3">
      <c r="A29" s="13"/>
      <c r="B29" s="27" t="s">
        <v>290</v>
      </c>
      <c r="C29" s="13"/>
      <c r="D29" s="8">
        <f>SUM(0)</f>
        <v>0</v>
      </c>
      <c r="E29" s="8"/>
      <c r="F29" s="14">
        <f>IF(D$12=0,0,D29/D$12)</f>
        <v>0</v>
      </c>
      <c r="G29" s="8"/>
      <c r="H29" s="8">
        <f>SUM(0)</f>
        <v>0</v>
      </c>
      <c r="I29" s="8"/>
      <c r="J29" s="14">
        <f>IF(H$12=0,0,H29/H$12)</f>
        <v>0</v>
      </c>
      <c r="K29" s="8"/>
      <c r="L29" s="8">
        <f>+D29-H29</f>
        <v>0</v>
      </c>
      <c r="M29" s="8"/>
      <c r="N29" s="14">
        <f>IF(H29=0,0,L29/H29)</f>
        <v>0</v>
      </c>
      <c r="O29" s="13"/>
      <c r="P29" s="8">
        <f>SUM(0)</f>
        <v>0</v>
      </c>
      <c r="Q29" s="8"/>
      <c r="R29" s="14">
        <f>IF(P$12=0,0,P29/P$12)</f>
        <v>0</v>
      </c>
      <c r="S29" s="8"/>
      <c r="T29" s="8">
        <f>SUM(0)</f>
        <v>0</v>
      </c>
      <c r="U29" s="8"/>
      <c r="V29" s="14">
        <f>IF(T$12=0,0,T29/T$12)</f>
        <v>0</v>
      </c>
      <c r="W29" s="8"/>
      <c r="X29" s="8">
        <f>+P29-T29</f>
        <v>0</v>
      </c>
      <c r="Y29" s="8"/>
      <c r="Z29" s="14">
        <f>IF(T29=0,0,X29/T29)</f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291</v>
      </c>
      <c r="C31" s="28"/>
      <c r="D31" s="22">
        <f>+D17-D19+D29</f>
        <v>-3561.29</v>
      </c>
      <c r="E31" s="15"/>
      <c r="F31" s="24">
        <f>IF(D$12=0,0,D31/D$12)</f>
        <v>0</v>
      </c>
      <c r="G31" s="15"/>
      <c r="H31" s="22">
        <f>+H17-H19+H29</f>
        <v>-479.29</v>
      </c>
      <c r="I31" s="15"/>
      <c r="J31" s="24">
        <f>IF(H$12=0,0,H31/H$12)</f>
        <v>0</v>
      </c>
      <c r="K31" s="17"/>
      <c r="L31" s="22">
        <f>+D31-H31</f>
        <v>-3082</v>
      </c>
      <c r="M31" s="17"/>
      <c r="N31" s="24">
        <f>IF(H31=0,0,L31/H31)</f>
        <v>6.4303448851426062</v>
      </c>
      <c r="O31" s="27"/>
      <c r="P31" s="22">
        <f>+P17-P19+P29</f>
        <v>-9312.48</v>
      </c>
      <c r="Q31" s="15"/>
      <c r="R31" s="24">
        <f>IF(P$12=0,0,P31/P$12)</f>
        <v>0</v>
      </c>
      <c r="S31" s="15"/>
      <c r="T31" s="22">
        <f>+T17-T19+T29</f>
        <v>-7312.37</v>
      </c>
      <c r="U31" s="15"/>
      <c r="V31" s="24">
        <f>IF(T$12=0,0,T31/T$12)</f>
        <v>0</v>
      </c>
      <c r="W31" s="17"/>
      <c r="X31" s="22">
        <f>+P31-T31</f>
        <v>-2000.1099999999997</v>
      </c>
      <c r="Y31" s="17"/>
      <c r="Z31" s="24">
        <f>IF(T31=0,0,X31/T31)</f>
        <v>0.27352417889138536</v>
      </c>
    </row>
    <row r="32" spans="1:26" ht="15" customHeight="1" x14ac:dyDescent="0.3">
      <c r="A32" s="12"/>
      <c r="B32" s="13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2" customFormat="1" ht="15" customHeight="1" x14ac:dyDescent="0.3">
      <c r="A33" s="48"/>
      <c r="B33" s="13" t="s">
        <v>292</v>
      </c>
      <c r="C33" s="13"/>
      <c r="D33" s="8"/>
      <c r="E33" s="8"/>
      <c r="F33" s="14">
        <f>IF(D$12=0,0,D33/D$12)</f>
        <v>0</v>
      </c>
      <c r="G33" s="8"/>
      <c r="H33" s="8"/>
      <c r="I33" s="8"/>
      <c r="J33" s="14">
        <f>IF(H$12=0,0,H33/H$12)</f>
        <v>0</v>
      </c>
      <c r="K33" s="8"/>
      <c r="L33" s="8">
        <f>+D33-H33</f>
        <v>0</v>
      </c>
      <c r="M33" s="8"/>
      <c r="N33" s="14">
        <f>IF(H33=0,0,L33/H33)</f>
        <v>0</v>
      </c>
      <c r="O33" s="13"/>
      <c r="P33" s="8"/>
      <c r="Q33" s="8"/>
      <c r="R33" s="14">
        <f>IF(P$12=0,0,P33/P$12)</f>
        <v>0</v>
      </c>
      <c r="S33" s="8"/>
      <c r="T33" s="8"/>
      <c r="U33" s="8"/>
      <c r="V33" s="14">
        <f>IF(T$12=0,0,T33/T$12)</f>
        <v>0</v>
      </c>
      <c r="W33" s="8"/>
      <c r="X33" s="8">
        <f>+P33-T33</f>
        <v>0</v>
      </c>
      <c r="Y33" s="8"/>
      <c r="Z33" s="14">
        <f>IF(T33=0,0,X33/T33)</f>
        <v>0</v>
      </c>
    </row>
    <row r="34" spans="1:26" ht="15" customHeight="1" x14ac:dyDescent="0.3">
      <c r="A34" s="12"/>
      <c r="B34" s="13"/>
      <c r="C34" s="13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O34" s="13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2" customFormat="1" ht="15" customHeight="1" x14ac:dyDescent="0.3">
      <c r="A35" s="13"/>
      <c r="B35" s="28" t="s">
        <v>293</v>
      </c>
      <c r="C35" s="28"/>
      <c r="D35" s="29">
        <f>+D31-D33</f>
        <v>-3561.29</v>
      </c>
      <c r="E35" s="15"/>
      <c r="F35" s="31">
        <f>IF(D$12=0,0,D35/D$12)</f>
        <v>0</v>
      </c>
      <c r="G35" s="15"/>
      <c r="H35" s="29">
        <f>+H31-H33</f>
        <v>-479.29</v>
      </c>
      <c r="I35" s="15"/>
      <c r="J35" s="31">
        <f>IF(H$12=0,0,H35/H$12)</f>
        <v>0</v>
      </c>
      <c r="K35" s="17"/>
      <c r="L35" s="29">
        <f>D35-H35</f>
        <v>-3082</v>
      </c>
      <c r="M35" s="17"/>
      <c r="N35" s="31">
        <f>IF(H35=0,0,L35/H35)</f>
        <v>6.4303448851426062</v>
      </c>
      <c r="O35" s="27"/>
      <c r="P35" s="29">
        <f>+P31-P33</f>
        <v>-9312.48</v>
      </c>
      <c r="Q35" s="15"/>
      <c r="R35" s="31">
        <f>IF(P$12=0,0,P35/P$12)</f>
        <v>0</v>
      </c>
      <c r="S35" s="15"/>
      <c r="T35" s="29">
        <f>+T31-T33</f>
        <v>-7312.37</v>
      </c>
      <c r="U35" s="15"/>
      <c r="V35" s="31">
        <f>IF(T$12=0,0,T35/T$12)</f>
        <v>0</v>
      </c>
      <c r="W35" s="17"/>
      <c r="X35" s="29">
        <f>P35-T35</f>
        <v>-2000.1099999999997</v>
      </c>
      <c r="Y35" s="17"/>
      <c r="Z35" s="31">
        <f>IF(T35=0,0,X35/T35)</f>
        <v>0.27352417889138536</v>
      </c>
    </row>
    <row r="36" spans="1:26" ht="15" customHeight="1" x14ac:dyDescent="0.3">
      <c r="A36" s="12"/>
      <c r="B36" s="12"/>
      <c r="C36" s="12"/>
      <c r="D36" s="4"/>
      <c r="E36" s="4"/>
      <c r="F36" s="10"/>
      <c r="G36" s="4"/>
      <c r="H36" s="4"/>
      <c r="I36" s="4"/>
      <c r="J36" s="10"/>
      <c r="K36" s="4"/>
      <c r="L36" s="4"/>
      <c r="M36" s="4"/>
      <c r="N36" s="10"/>
      <c r="P36" s="4"/>
      <c r="Q36" s="4"/>
      <c r="R36" s="10"/>
      <c r="S36" s="4"/>
      <c r="T36" s="4"/>
      <c r="U36" s="4"/>
      <c r="V36" s="10"/>
      <c r="W36" s="4"/>
      <c r="X36" s="4"/>
      <c r="Y36" s="4"/>
      <c r="Z36" s="10"/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x14ac:dyDescent="0.3">
      <c r="A38" s="13"/>
      <c r="B38" s="28" t="s">
        <v>296</v>
      </c>
      <c r="C38" s="28"/>
      <c r="D38" s="30">
        <f>SUM(D35:D37)</f>
        <v>-3561.29</v>
      </c>
      <c r="E38" s="15"/>
      <c r="F38" s="35">
        <f>IF(D$12=0,0,D38/D$12)</f>
        <v>0</v>
      </c>
      <c r="G38" s="15"/>
      <c r="H38" s="30">
        <f>SUM(H35:H37)</f>
        <v>-479.29</v>
      </c>
      <c r="I38" s="15"/>
      <c r="J38" s="35">
        <f>IF(H$12=0,0,H38/H$12)</f>
        <v>0</v>
      </c>
      <c r="K38" s="17"/>
      <c r="L38" s="30">
        <f>+D38-H38</f>
        <v>-3082</v>
      </c>
      <c r="M38" s="17"/>
      <c r="N38" s="35">
        <f>IF(H38=0,0,L38/H38)</f>
        <v>6.4303448851426062</v>
      </c>
      <c r="O38" s="27"/>
      <c r="P38" s="30">
        <f>SUM(P35:P37)</f>
        <v>-9312.48</v>
      </c>
      <c r="Q38" s="15"/>
      <c r="R38" s="35">
        <f>IF(P$12=0,0,P38/P$12)</f>
        <v>0</v>
      </c>
      <c r="S38" s="15"/>
      <c r="T38" s="30">
        <f>SUM(T35:T37)</f>
        <v>-7312.37</v>
      </c>
      <c r="U38" s="15"/>
      <c r="V38" s="35">
        <f>IF(T$12=0,0,T38/T$12)</f>
        <v>0</v>
      </c>
      <c r="W38" s="17"/>
      <c r="X38" s="30">
        <f>+P38-T38</f>
        <v>-2000.1099999999997</v>
      </c>
      <c r="Y38" s="17"/>
      <c r="Z38" s="35">
        <f>IF(T38=0,0,X38/T38)</f>
        <v>0.27352417889138536</v>
      </c>
    </row>
    <row r="39" spans="1:26" ht="15" customHeight="1" x14ac:dyDescent="0.3">
      <c r="A39" s="12"/>
      <c r="C39" s="12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4">
        <v>44767.815885219905</v>
      </c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3" t="s">
        <v>297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1"/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7523C-C993-A4C3-F56D-208BB4D3917E}">
  <sheetPr>
    <tabColor rgb="FF92D050"/>
    <outlinePr summaryBelow="0" summaryRight="0"/>
  </sheetPr>
  <dimension ref="A2:Z6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","425"," - ","Events Center")</f>
        <v>Department 425 - Events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10447.15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10447.15</v>
      </c>
      <c r="M12" s="8"/>
      <c r="N12" s="14">
        <f>IF(H12=0,0,L12/H12)</f>
        <v>0</v>
      </c>
      <c r="O12" s="13"/>
      <c r="P12" s="8">
        <f>SUM(OSRRefP13x_0)</f>
        <v>35192.410000000003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35192.410000000003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--10447.15</f>
        <v>10447.15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10447.15</v>
      </c>
      <c r="M13" s="3"/>
      <c r="N13" s="26">
        <f>IF(H13=0,0,L13/H13)</f>
        <v>0</v>
      </c>
      <c r="O13" s="9"/>
      <c r="P13" s="3">
        <f>--35192.41</f>
        <v>35192.410000000003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35192.410000000003</v>
      </c>
      <c r="Y13" s="3"/>
      <c r="Z13" s="26">
        <f>IF(T13=0,0,X13/T13)</f>
        <v>0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2" customFormat="1" ht="15" customHeight="1" collapsed="1" x14ac:dyDescent="0.3">
      <c r="A15" s="13"/>
      <c r="B15" s="27" t="s">
        <v>287</v>
      </c>
      <c r="C15" s="13"/>
      <c r="D15" s="8">
        <f>SUM(OSRRefD16x_0)</f>
        <v>3942.78</v>
      </c>
      <c r="E15" s="8"/>
      <c r="F15" s="14">
        <f>IF(D$12=0,0,D15/D$12)</f>
        <v>0.37740244947186558</v>
      </c>
      <c r="G15" s="8"/>
      <c r="H15" s="8">
        <f>SUM(OSRRefH16x_0)</f>
        <v>0</v>
      </c>
      <c r="I15" s="8"/>
      <c r="J15" s="14">
        <f>IF(H$12=0,0,H15/H$12)</f>
        <v>0</v>
      </c>
      <c r="K15" s="8"/>
      <c r="L15" s="8">
        <f>+D15-H15</f>
        <v>3942.78</v>
      </c>
      <c r="M15" s="8"/>
      <c r="N15" s="14">
        <f>IF(H15=0,0,L15/H15)</f>
        <v>0</v>
      </c>
      <c r="O15" s="13"/>
      <c r="P15" s="8">
        <f>SUM(OSRRefP16x_0)</f>
        <v>15349.69</v>
      </c>
      <c r="Q15" s="8"/>
      <c r="R15" s="14">
        <f>IF(P$12=0,0,P15/P$12)</f>
        <v>0.43616478666848901</v>
      </c>
      <c r="S15" s="8"/>
      <c r="T15" s="8">
        <f>SUM(OSRRefT16x_0)</f>
        <v>-6593.4</v>
      </c>
      <c r="U15" s="8"/>
      <c r="V15" s="14">
        <f>IF(T$12=0,0,T15/T$12)</f>
        <v>0</v>
      </c>
      <c r="W15" s="8"/>
      <c r="X15" s="8">
        <f>+P15-T15</f>
        <v>21943.09</v>
      </c>
      <c r="Y15" s="8"/>
      <c r="Z15" s="14">
        <f>IF(T15=0,0,X15/T15)</f>
        <v>-3.3280386447053116</v>
      </c>
    </row>
    <row r="16" spans="1:26" s="69" customFormat="1" ht="15" hidden="1" customHeight="1" outlineLevel="1" x14ac:dyDescent="0.3">
      <c r="A16" s="47"/>
      <c r="B16" s="9" t="str">
        <f>CONCATENATE("          ","5053"," - ","PURCHASES @ COST-FOOD")</f>
        <v xml:space="preserve">          5053 - PURCHASES @ COST-FOOD</v>
      </c>
      <c r="C16" s="9"/>
      <c r="D16" s="3">
        <v>3942.78</v>
      </c>
      <c r="E16" s="3"/>
      <c r="F16" s="26">
        <f>IF(D$12=0,0,D16/D$12)</f>
        <v>0.37740244947186558</v>
      </c>
      <c r="G16" s="3"/>
      <c r="H16" s="3"/>
      <c r="I16" s="3"/>
      <c r="J16" s="26">
        <f>IF(H$12=0,0,H16/H$12)</f>
        <v>0</v>
      </c>
      <c r="K16" s="3"/>
      <c r="L16" s="3">
        <f>+D16-H16</f>
        <v>3942.78</v>
      </c>
      <c r="M16" s="3"/>
      <c r="N16" s="26">
        <f>IF(H16=0,0,L16/H16)</f>
        <v>0</v>
      </c>
      <c r="O16" s="9"/>
      <c r="P16" s="3">
        <v>15349.69</v>
      </c>
      <c r="Q16" s="3"/>
      <c r="R16" s="26">
        <f>IF(P$12=0,0,P16/P$12)</f>
        <v>0.43616478666848901</v>
      </c>
      <c r="S16" s="3"/>
      <c r="T16" s="3">
        <v>-6593.4</v>
      </c>
      <c r="U16" s="3"/>
      <c r="V16" s="26">
        <f>IF(T$12=0,0,T16/T$12)</f>
        <v>0</v>
      </c>
      <c r="W16" s="3"/>
      <c r="X16" s="3">
        <f>+P16-T16</f>
        <v>21943.09</v>
      </c>
      <c r="Y16" s="3"/>
      <c r="Z16" s="26">
        <f>IF(T16=0,0,X16/T16)</f>
        <v>-3.3280386447053116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x14ac:dyDescent="0.3">
      <c r="A18" s="13"/>
      <c r="B18" s="28" t="s">
        <v>288</v>
      </c>
      <c r="C18" s="28"/>
      <c r="D18" s="22">
        <f>D12-D15</f>
        <v>6504.369999999999</v>
      </c>
      <c r="E18" s="15"/>
      <c r="F18" s="24">
        <f>IF(D$12=0,0,D18/D$12)</f>
        <v>0.62259755052813437</v>
      </c>
      <c r="G18" s="15"/>
      <c r="H18" s="22">
        <f>H12-H15</f>
        <v>0</v>
      </c>
      <c r="I18" s="15"/>
      <c r="J18" s="24">
        <f>IF(H$12=0,0,H18/H$12)</f>
        <v>0</v>
      </c>
      <c r="K18" s="17"/>
      <c r="L18" s="22">
        <f>+D18-H18</f>
        <v>6504.369999999999</v>
      </c>
      <c r="M18" s="17"/>
      <c r="N18" s="24">
        <f>IF(H18=0,0,L18/H18)</f>
        <v>0</v>
      </c>
      <c r="O18" s="27"/>
      <c r="P18" s="22">
        <f>P12-P15</f>
        <v>19842.72</v>
      </c>
      <c r="Q18" s="15"/>
      <c r="R18" s="24">
        <f>IF(P$12=0,0,P18/P$12)</f>
        <v>0.56383521333151099</v>
      </c>
      <c r="S18" s="15"/>
      <c r="T18" s="22">
        <f>T12-T15</f>
        <v>6593.4</v>
      </c>
      <c r="U18" s="15"/>
      <c r="V18" s="24">
        <f>IF(T$12=0,0,T18/T$12)</f>
        <v>0</v>
      </c>
      <c r="W18" s="17"/>
      <c r="X18" s="22">
        <f>+P18-T18</f>
        <v>13249.320000000002</v>
      </c>
      <c r="Y18" s="17"/>
      <c r="Z18" s="24">
        <f>IF(T18=0,0,X18/T18)</f>
        <v>2.00948220948221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289</v>
      </c>
      <c r="C20" s="13"/>
      <c r="D20" s="23" cm="1">
        <f t="array" ref="D20">SUM(OSRRefD22x_0)</f>
        <v>5031.1100000000006</v>
      </c>
      <c r="E20" s="23"/>
      <c r="F20" s="34">
        <f t="shared" ref="F20:F45" si="0">IF(D$12=0,0,D20/D$12)</f>
        <v>0.4815772722704279</v>
      </c>
      <c r="G20" s="23"/>
      <c r="H20" s="23" cm="1">
        <f t="array" ref="H20">SUM(OSRRefH22x_0)</f>
        <v>1000.95</v>
      </c>
      <c r="I20" s="23"/>
      <c r="J20" s="34">
        <f t="shared" ref="J20:J45" si="1">IF(H$12=0,0,H20/H$12)</f>
        <v>0</v>
      </c>
      <c r="K20" s="8"/>
      <c r="L20" s="23">
        <f t="shared" ref="L20:L45" si="2">+D20-H20</f>
        <v>4030.1600000000008</v>
      </c>
      <c r="M20" s="8"/>
      <c r="N20" s="34">
        <f t="shared" ref="N20:N45" si="3">IF(H20=0,0,L20/H20)</f>
        <v>4.026334981767322</v>
      </c>
      <c r="O20" s="13"/>
      <c r="P20" s="23" cm="1">
        <f t="array" ref="P20">SUM(OSRRefP22x_0)</f>
        <v>28569.759999999995</v>
      </c>
      <c r="Q20" s="23"/>
      <c r="R20" s="34">
        <f t="shared" ref="R20:R45" si="4">IF(P$12=0,0,P20/P$12)</f>
        <v>0.8118159569066169</v>
      </c>
      <c r="S20" s="23"/>
      <c r="T20" s="23" cm="1">
        <f t="array" ref="T20">SUM(OSRRefT22x_0)</f>
        <v>15639.64</v>
      </c>
      <c r="U20" s="23"/>
      <c r="V20" s="34">
        <f t="shared" ref="V20:V45" si="5">IF(T$12=0,0,T20/T$12)</f>
        <v>0</v>
      </c>
      <c r="W20" s="8"/>
      <c r="X20" s="23">
        <f t="shared" ref="X20:X45" si="6">+P20-T20</f>
        <v>12930.119999999995</v>
      </c>
      <c r="Y20" s="8"/>
      <c r="Z20" s="34">
        <f t="shared" ref="Z20:Z45" si="7">IF(T20=0,0,X20/T20)</f>
        <v>0.8267530454665194</v>
      </c>
    </row>
    <row r="21" spans="1:26" s="68" customFormat="1" ht="15" customHeight="1" outlineLevel="1" collapsed="1" x14ac:dyDescent="0.3">
      <c r="A21" s="20"/>
      <c r="B21" s="11" t="str">
        <f>CONCATENATE("     ","*Benefits                                         ")</f>
        <v xml:space="preserve">     *Benefits                                         </v>
      </c>
      <c r="C21" s="11"/>
      <c r="D21" s="2">
        <f>SUM(OSRRefD22_0x_0)</f>
        <v>0</v>
      </c>
      <c r="E21" s="2"/>
      <c r="F21" s="5">
        <f t="shared" si="0"/>
        <v>0</v>
      </c>
      <c r="G21" s="2"/>
      <c r="H21" s="2">
        <f>SUM(OSRRefH22_0x_0)</f>
        <v>0</v>
      </c>
      <c r="I21" s="2"/>
      <c r="J21" s="5">
        <f t="shared" si="1"/>
        <v>0</v>
      </c>
      <c r="K21" s="2"/>
      <c r="L21" s="2">
        <f t="shared" si="2"/>
        <v>0</v>
      </c>
      <c r="M21" s="2"/>
      <c r="N21" s="5">
        <f t="shared" si="3"/>
        <v>0</v>
      </c>
      <c r="O21" s="11"/>
      <c r="P21" s="2">
        <f>SUM(OSRRefP22_0x_0)</f>
        <v>0</v>
      </c>
      <c r="Q21" s="2"/>
      <c r="R21" s="5">
        <f t="shared" si="4"/>
        <v>0</v>
      </c>
      <c r="S21" s="2"/>
      <c r="T21" s="2">
        <f>SUM(OSRRefT22_0x_0)</f>
        <v>1420.5</v>
      </c>
      <c r="U21" s="2"/>
      <c r="V21" s="5">
        <f t="shared" si="5"/>
        <v>0</v>
      </c>
      <c r="W21" s="2"/>
      <c r="X21" s="2">
        <f t="shared" si="6"/>
        <v>-1420.5</v>
      </c>
      <c r="Y21" s="2"/>
      <c r="Z21" s="5">
        <f t="shared" si="7"/>
        <v>-1</v>
      </c>
    </row>
    <row r="22" spans="1:26" s="69" customFormat="1" ht="15" hidden="1" customHeight="1" outlineLevel="2" x14ac:dyDescent="0.3">
      <c r="A22" s="21"/>
      <c r="B22" s="9" t="str">
        <f>CONCATENATE("          ","6111"," - ","F.I.C.A.")</f>
        <v xml:space="preserve">          6111 - F.I.C.A.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171.54</v>
      </c>
      <c r="U22" s="3"/>
      <c r="V22" s="7">
        <f t="shared" si="5"/>
        <v>0</v>
      </c>
      <c r="W22" s="3"/>
      <c r="X22" s="6">
        <f t="shared" si="6"/>
        <v>-171.54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/>
      <c r="Q23" s="3"/>
      <c r="R23" s="7">
        <f t="shared" si="4"/>
        <v>0</v>
      </c>
      <c r="S23" s="3"/>
      <c r="T23" s="6">
        <v>699.3</v>
      </c>
      <c r="U23" s="3"/>
      <c r="V23" s="7">
        <f t="shared" si="5"/>
        <v>0</v>
      </c>
      <c r="W23" s="3"/>
      <c r="X23" s="6">
        <f t="shared" si="6"/>
        <v>-699.3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355.22</v>
      </c>
      <c r="U24" s="3"/>
      <c r="V24" s="7">
        <f t="shared" si="5"/>
        <v>0</v>
      </c>
      <c r="W24" s="3"/>
      <c r="X24" s="6">
        <f t="shared" si="6"/>
        <v>-355.22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88.46</v>
      </c>
      <c r="U25" s="3"/>
      <c r="V25" s="7">
        <f t="shared" si="5"/>
        <v>0</v>
      </c>
      <c r="W25" s="3"/>
      <c r="X25" s="6">
        <f t="shared" si="6"/>
        <v>-88.46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105.98</v>
      </c>
      <c r="U26" s="3"/>
      <c r="V26" s="7">
        <f t="shared" si="5"/>
        <v>0</v>
      </c>
      <c r="W26" s="3"/>
      <c r="X26" s="6">
        <f t="shared" si="6"/>
        <v>-105.98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0"/>
      <c r="B27" s="11" t="str">
        <f>CONCATENATE("     ","*Payroll                                          ")</f>
        <v xml:space="preserve">     *Payroll                                          </v>
      </c>
      <c r="C27" s="11"/>
      <c r="D27" s="2">
        <f>SUM(OSRRefD22_1x_0)</f>
        <v>0</v>
      </c>
      <c r="E27" s="2"/>
      <c r="F27" s="5">
        <f t="shared" si="0"/>
        <v>0</v>
      </c>
      <c r="G27" s="2"/>
      <c r="H27" s="2">
        <f>SUM(OSRRefH22_1x_0)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SUM(OSRRefP22_1x_0)</f>
        <v>0</v>
      </c>
      <c r="Q27" s="2"/>
      <c r="R27" s="5">
        <f t="shared" si="4"/>
        <v>0</v>
      </c>
      <c r="S27" s="2"/>
      <c r="T27" s="2">
        <f>SUM(OSRRefT22_1x_0)</f>
        <v>1378.61</v>
      </c>
      <c r="U27" s="2"/>
      <c r="V27" s="5">
        <f t="shared" si="5"/>
        <v>0</v>
      </c>
      <c r="W27" s="2"/>
      <c r="X27" s="2">
        <f t="shared" si="6"/>
        <v>-1378.61</v>
      </c>
      <c r="Y27" s="2"/>
      <c r="Z27" s="5">
        <f t="shared" si="7"/>
        <v>-1</v>
      </c>
    </row>
    <row r="28" spans="1:26" s="69" customFormat="1" ht="15" hidden="1" customHeight="1" outlineLevel="2" x14ac:dyDescent="0.3">
      <c r="A28" s="21"/>
      <c r="B28" s="9" t="str">
        <f>CONCATENATE("          ","6002"," - ","STAFF SALARIES")</f>
        <v xml:space="preserve">          6002 - STAFF SALARIES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1378.61</v>
      </c>
      <c r="U28" s="3"/>
      <c r="V28" s="7">
        <f t="shared" si="5"/>
        <v>0</v>
      </c>
      <c r="W28" s="3"/>
      <c r="X28" s="6">
        <f t="shared" si="6"/>
        <v>-1378.61</v>
      </c>
      <c r="Y28" s="3"/>
      <c r="Z28" s="7">
        <f t="shared" si="7"/>
        <v>-1</v>
      </c>
    </row>
    <row r="29" spans="1:26" s="68" customFormat="1" ht="15" customHeight="1" outlineLevel="1" collapsed="1" x14ac:dyDescent="0.3">
      <c r="A29" s="20"/>
      <c r="B29" s="11" t="str">
        <f>CONCATENATE("     ","Bank/card Fees                                    ")</f>
        <v xml:space="preserve">     Bank/card Fees                                    </v>
      </c>
      <c r="C29" s="11"/>
      <c r="D29" s="2">
        <f>SUM(OSRRefD22_2x_0)</f>
        <v>286.07</v>
      </c>
      <c r="E29" s="2"/>
      <c r="F29" s="5">
        <f t="shared" si="0"/>
        <v>2.7382587595660059E-2</v>
      </c>
      <c r="G29" s="2"/>
      <c r="H29" s="2">
        <f>SUM(OSRRefH22_2x_0)</f>
        <v>0</v>
      </c>
      <c r="I29" s="2"/>
      <c r="J29" s="5">
        <f t="shared" si="1"/>
        <v>0</v>
      </c>
      <c r="K29" s="2"/>
      <c r="L29" s="2">
        <f t="shared" si="2"/>
        <v>286.07</v>
      </c>
      <c r="M29" s="2"/>
      <c r="N29" s="5">
        <f t="shared" si="3"/>
        <v>0</v>
      </c>
      <c r="O29" s="11"/>
      <c r="P29" s="2">
        <f>SUM(OSRRefP22_2x_0)</f>
        <v>857.03</v>
      </c>
      <c r="Q29" s="2"/>
      <c r="R29" s="5">
        <f t="shared" si="4"/>
        <v>2.4352694231511849E-2</v>
      </c>
      <c r="S29" s="2"/>
      <c r="T29" s="2">
        <f>SUM(OSRRefT22_2x_0)</f>
        <v>0</v>
      </c>
      <c r="U29" s="2"/>
      <c r="V29" s="5">
        <f t="shared" si="5"/>
        <v>0</v>
      </c>
      <c r="W29" s="2"/>
      <c r="X29" s="2">
        <f t="shared" si="6"/>
        <v>857.03</v>
      </c>
      <c r="Y29" s="2"/>
      <c r="Z29" s="5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","6381"," - ","BANK/CREDIT CARD FEES")</f>
        <v xml:space="preserve">          6381 - BANK/CREDIT CARD FEES</v>
      </c>
      <c r="C30" s="9"/>
      <c r="D30" s="6">
        <v>286.07</v>
      </c>
      <c r="E30" s="3"/>
      <c r="F30" s="7">
        <f t="shared" si="0"/>
        <v>2.7382587595660059E-2</v>
      </c>
      <c r="G30" s="3"/>
      <c r="H30" s="6"/>
      <c r="I30" s="3"/>
      <c r="J30" s="7">
        <f t="shared" si="1"/>
        <v>0</v>
      </c>
      <c r="K30" s="3"/>
      <c r="L30" s="6">
        <f t="shared" si="2"/>
        <v>286.07</v>
      </c>
      <c r="M30" s="3"/>
      <c r="N30" s="7">
        <f t="shared" si="3"/>
        <v>0</v>
      </c>
      <c r="O30" s="9"/>
      <c r="P30" s="6">
        <v>857.03</v>
      </c>
      <c r="Q30" s="3"/>
      <c r="R30" s="7">
        <f t="shared" si="4"/>
        <v>2.4352694231511849E-2</v>
      </c>
      <c r="S30" s="3"/>
      <c r="T30" s="6"/>
      <c r="U30" s="3"/>
      <c r="V30" s="7">
        <f t="shared" si="5"/>
        <v>0</v>
      </c>
      <c r="W30" s="3"/>
      <c r="X30" s="6">
        <f t="shared" si="6"/>
        <v>857.03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0"/>
      <c r="B31" s="11" t="str">
        <f>CONCATENATE("     ","Depreciation                                      ")</f>
        <v xml:space="preserve">     Depreciation                                      </v>
      </c>
      <c r="C31" s="11"/>
      <c r="D31" s="2">
        <f>SUM(OSRRefD22_3x_0)</f>
        <v>1000.95</v>
      </c>
      <c r="E31" s="2"/>
      <c r="F31" s="5">
        <f t="shared" si="0"/>
        <v>9.5810819218638585E-2</v>
      </c>
      <c r="G31" s="2"/>
      <c r="H31" s="2">
        <f>SUM(OSRRefH22_3x_0)</f>
        <v>1000.95</v>
      </c>
      <c r="I31" s="2"/>
      <c r="J31" s="5">
        <f t="shared" si="1"/>
        <v>0</v>
      </c>
      <c r="K31" s="2"/>
      <c r="L31" s="2">
        <f t="shared" si="2"/>
        <v>0</v>
      </c>
      <c r="M31" s="2"/>
      <c r="N31" s="5">
        <f t="shared" si="3"/>
        <v>0</v>
      </c>
      <c r="O31" s="11"/>
      <c r="P31" s="2">
        <f>SUM(OSRRefP22_3x_0)</f>
        <v>12010.96</v>
      </c>
      <c r="Q31" s="2"/>
      <c r="R31" s="5">
        <f t="shared" si="4"/>
        <v>0.34129404607413921</v>
      </c>
      <c r="S31" s="2"/>
      <c r="T31" s="2">
        <f>SUM(OSRRefT22_3x_0)</f>
        <v>12010.96</v>
      </c>
      <c r="U31" s="2"/>
      <c r="V31" s="5">
        <f t="shared" si="5"/>
        <v>0</v>
      </c>
      <c r="W31" s="2"/>
      <c r="X31" s="2">
        <f t="shared" si="6"/>
        <v>0</v>
      </c>
      <c r="Y31" s="2"/>
      <c r="Z31" s="5">
        <f t="shared" si="7"/>
        <v>0</v>
      </c>
    </row>
    <row r="32" spans="1:26" s="69" customFormat="1" ht="15" hidden="1" customHeight="1" outlineLevel="2" x14ac:dyDescent="0.3">
      <c r="A32" s="21"/>
      <c r="B32" s="9" t="str">
        <f>CONCATENATE("          ","6322"," - ","EQUIPMENT DEPRECIATION EXPENSE")</f>
        <v xml:space="preserve">          6322 - EQUIPMENT DEPRECIATION EXPENSE</v>
      </c>
      <c r="C32" s="9"/>
      <c r="D32" s="6">
        <v>1000.95</v>
      </c>
      <c r="E32" s="3"/>
      <c r="F32" s="7">
        <f t="shared" si="0"/>
        <v>9.5810819218638585E-2</v>
      </c>
      <c r="G32" s="3"/>
      <c r="H32" s="6">
        <v>1000.95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12010.96</v>
      </c>
      <c r="Q32" s="3"/>
      <c r="R32" s="7">
        <f t="shared" si="4"/>
        <v>0.34129404607413921</v>
      </c>
      <c r="S32" s="3"/>
      <c r="T32" s="6">
        <v>12010.96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0"/>
      <c r="B33" s="11" t="str">
        <f>CONCATENATE("     ","General                                           ")</f>
        <v xml:space="preserve">     General                                           </v>
      </c>
      <c r="C33" s="11"/>
      <c r="D33" s="2">
        <f>SUM(OSRRefD22_4x_0)</f>
        <v>1000</v>
      </c>
      <c r="E33" s="2"/>
      <c r="F33" s="5">
        <f t="shared" si="0"/>
        <v>9.5719885327577386E-2</v>
      </c>
      <c r="G33" s="2"/>
      <c r="H33" s="2">
        <f>SUM(OSRRefH22_4x_0)</f>
        <v>0</v>
      </c>
      <c r="I33" s="2"/>
      <c r="J33" s="5">
        <f t="shared" si="1"/>
        <v>0</v>
      </c>
      <c r="K33" s="2"/>
      <c r="L33" s="2">
        <f t="shared" si="2"/>
        <v>1000</v>
      </c>
      <c r="M33" s="2"/>
      <c r="N33" s="5">
        <f t="shared" si="3"/>
        <v>0</v>
      </c>
      <c r="O33" s="11"/>
      <c r="P33" s="2">
        <f>SUM(OSRRefP22_4x_0)</f>
        <v>6655</v>
      </c>
      <c r="Q33" s="2"/>
      <c r="R33" s="5">
        <f t="shared" si="4"/>
        <v>0.18910327539375676</v>
      </c>
      <c r="S33" s="2"/>
      <c r="T33" s="2">
        <f>SUM(OSRRefT22_4x_0)</f>
        <v>455</v>
      </c>
      <c r="U33" s="2"/>
      <c r="V33" s="5">
        <f t="shared" si="5"/>
        <v>0</v>
      </c>
      <c r="W33" s="2"/>
      <c r="X33" s="2">
        <f t="shared" si="6"/>
        <v>6200</v>
      </c>
      <c r="Y33" s="2"/>
      <c r="Z33" s="5">
        <f t="shared" si="7"/>
        <v>13.626373626373626</v>
      </c>
    </row>
    <row r="34" spans="1:26" s="69" customFormat="1" ht="15" hidden="1" customHeight="1" outlineLevel="2" x14ac:dyDescent="0.3">
      <c r="A34" s="21"/>
      <c r="B34" s="9" t="str">
        <f>CONCATENATE("          ","6279"," - ","GENERAL EXPENSE")</f>
        <v xml:space="preserve">          6279 - GENERAL EXPENSE</v>
      </c>
      <c r="C34" s="9"/>
      <c r="D34" s="6">
        <v>1000</v>
      </c>
      <c r="E34" s="3"/>
      <c r="F34" s="7">
        <f t="shared" si="0"/>
        <v>9.5719885327577386E-2</v>
      </c>
      <c r="G34" s="3"/>
      <c r="H34" s="6"/>
      <c r="I34" s="3"/>
      <c r="J34" s="7">
        <f t="shared" si="1"/>
        <v>0</v>
      </c>
      <c r="K34" s="3"/>
      <c r="L34" s="6">
        <f t="shared" si="2"/>
        <v>1000</v>
      </c>
      <c r="M34" s="3"/>
      <c r="N34" s="7">
        <f t="shared" si="3"/>
        <v>0</v>
      </c>
      <c r="O34" s="9"/>
      <c r="P34" s="6">
        <v>6655</v>
      </c>
      <c r="Q34" s="3"/>
      <c r="R34" s="7">
        <f t="shared" si="4"/>
        <v>0.18910327539375676</v>
      </c>
      <c r="S34" s="3"/>
      <c r="T34" s="6">
        <v>455</v>
      </c>
      <c r="U34" s="3"/>
      <c r="V34" s="7">
        <f t="shared" si="5"/>
        <v>0</v>
      </c>
      <c r="W34" s="3"/>
      <c r="X34" s="6">
        <f t="shared" si="6"/>
        <v>6200</v>
      </c>
      <c r="Y34" s="3"/>
      <c r="Z34" s="7">
        <f t="shared" si="7"/>
        <v>13.626373626373626</v>
      </c>
    </row>
    <row r="35" spans="1:26" s="68" customFormat="1" ht="15" customHeight="1" outlineLevel="1" collapsed="1" x14ac:dyDescent="0.3">
      <c r="A35" s="20"/>
      <c r="B35" s="11" t="str">
        <f>CONCATENATE("     ","Repair and Maintenance                            ")</f>
        <v xml:space="preserve">     Repair and Maintenance                            </v>
      </c>
      <c r="C35" s="11"/>
      <c r="D35" s="2">
        <f>SUM(OSRRefD22_5x_0)</f>
        <v>0</v>
      </c>
      <c r="E35" s="2"/>
      <c r="F35" s="5">
        <f t="shared" si="0"/>
        <v>0</v>
      </c>
      <c r="G35" s="2"/>
      <c r="H35" s="2">
        <f>SUM(OSRRefH22_5x_0)</f>
        <v>0</v>
      </c>
      <c r="I35" s="2"/>
      <c r="J35" s="5">
        <f t="shared" si="1"/>
        <v>0</v>
      </c>
      <c r="K35" s="2"/>
      <c r="L35" s="2">
        <f t="shared" si="2"/>
        <v>0</v>
      </c>
      <c r="M35" s="2"/>
      <c r="N35" s="5">
        <f t="shared" si="3"/>
        <v>0</v>
      </c>
      <c r="O35" s="11"/>
      <c r="P35" s="2">
        <f>SUM(OSRRefP22_5x_0)</f>
        <v>0</v>
      </c>
      <c r="Q35" s="2"/>
      <c r="R35" s="5">
        <f t="shared" si="4"/>
        <v>0</v>
      </c>
      <c r="S35" s="2"/>
      <c r="T35" s="2">
        <f>SUM(OSRRefT22_5x_0)</f>
        <v>242.03</v>
      </c>
      <c r="U35" s="2"/>
      <c r="V35" s="5">
        <f t="shared" si="5"/>
        <v>0</v>
      </c>
      <c r="W35" s="2"/>
      <c r="X35" s="2">
        <f t="shared" si="6"/>
        <v>-242.03</v>
      </c>
      <c r="Y35" s="2"/>
      <c r="Z35" s="5">
        <f t="shared" si="7"/>
        <v>-1</v>
      </c>
    </row>
    <row r="36" spans="1:26" s="69" customFormat="1" ht="15" hidden="1" customHeight="1" outlineLevel="2" x14ac:dyDescent="0.3">
      <c r="A36" s="21"/>
      <c r="B36" s="9" t="str">
        <f>CONCATENATE("          ","6373"," - ","MAINTENANCE CONTRACTS")</f>
        <v xml:space="preserve">          6373 - MAINTENANCE CONTRACTS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235.8</v>
      </c>
      <c r="U36" s="3"/>
      <c r="V36" s="7">
        <f t="shared" si="5"/>
        <v>0</v>
      </c>
      <c r="W36" s="3"/>
      <c r="X36" s="6">
        <f t="shared" si="6"/>
        <v>-235.8</v>
      </c>
      <c r="Y36" s="3"/>
      <c r="Z36" s="7">
        <f t="shared" si="7"/>
        <v>-1</v>
      </c>
    </row>
    <row r="37" spans="1:26" s="69" customFormat="1" ht="15" hidden="1" customHeight="1" outlineLevel="2" x14ac:dyDescent="0.3">
      <c r="A37" s="21"/>
      <c r="B37" s="9" t="str">
        <f>CONCATENATE("          ","6375"," - ","OUTSIDE REPAIRS &amp; MAINTENANCE")</f>
        <v xml:space="preserve">          6375 - OUTSIDE REPAIRS &amp; MAINTENANCE</v>
      </c>
      <c r="C37" s="9"/>
      <c r="D37" s="6"/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6.23</v>
      </c>
      <c r="U37" s="3"/>
      <c r="V37" s="7">
        <f t="shared" si="5"/>
        <v>0</v>
      </c>
      <c r="W37" s="3"/>
      <c r="X37" s="6">
        <f t="shared" si="6"/>
        <v>-6.23</v>
      </c>
      <c r="Y37" s="3"/>
      <c r="Z37" s="7">
        <f t="shared" si="7"/>
        <v>-1</v>
      </c>
    </row>
    <row r="38" spans="1:26" s="68" customFormat="1" ht="15" customHeight="1" outlineLevel="1" collapsed="1" x14ac:dyDescent="0.3">
      <c r="A38" s="20"/>
      <c r="B38" s="11" t="str">
        <f>CONCATENATE("     ","Royalty &amp; Commissions                             ")</f>
        <v xml:space="preserve">     Royalty &amp; Commissions                             </v>
      </c>
      <c r="C38" s="11"/>
      <c r="D38" s="2">
        <f>SUM(OSRRefD22_6x_0)</f>
        <v>2013.15</v>
      </c>
      <c r="E38" s="2"/>
      <c r="F38" s="5">
        <f t="shared" si="0"/>
        <v>0.19269848714721241</v>
      </c>
      <c r="G38" s="2"/>
      <c r="H38" s="2">
        <f>SUM(OSRRefH22_6x_0)</f>
        <v>0</v>
      </c>
      <c r="I38" s="2"/>
      <c r="J38" s="5">
        <f t="shared" si="1"/>
        <v>0</v>
      </c>
      <c r="K38" s="2"/>
      <c r="L38" s="2">
        <f t="shared" si="2"/>
        <v>2013.15</v>
      </c>
      <c r="M38" s="2"/>
      <c r="N38" s="5">
        <f t="shared" si="3"/>
        <v>0</v>
      </c>
      <c r="O38" s="11"/>
      <c r="P38" s="2">
        <f>SUM(OSRRefP22_6x_0)</f>
        <v>8199.57</v>
      </c>
      <c r="Q38" s="2"/>
      <c r="R38" s="5">
        <f t="shared" si="4"/>
        <v>0.23299256856805201</v>
      </c>
      <c r="S38" s="2"/>
      <c r="T38" s="2">
        <f>SUM(OSRRefT22_6x_0)</f>
        <v>0</v>
      </c>
      <c r="U38" s="2"/>
      <c r="V38" s="5">
        <f t="shared" si="5"/>
        <v>0</v>
      </c>
      <c r="W38" s="2"/>
      <c r="X38" s="2">
        <f t="shared" si="6"/>
        <v>8199.57</v>
      </c>
      <c r="Y38" s="2"/>
      <c r="Z38" s="5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","6254"," - ","ROYALTY &amp; COMMISSIONS")</f>
        <v xml:space="preserve">          6254 - ROYALTY &amp; COMMISSIONS</v>
      </c>
      <c r="C39" s="9"/>
      <c r="D39" s="6">
        <v>2013.15</v>
      </c>
      <c r="E39" s="3"/>
      <c r="F39" s="7">
        <f t="shared" si="0"/>
        <v>0.19269848714721241</v>
      </c>
      <c r="G39" s="3"/>
      <c r="H39" s="6"/>
      <c r="I39" s="3"/>
      <c r="J39" s="7">
        <f t="shared" si="1"/>
        <v>0</v>
      </c>
      <c r="K39" s="3"/>
      <c r="L39" s="6">
        <f t="shared" si="2"/>
        <v>2013.15</v>
      </c>
      <c r="M39" s="3"/>
      <c r="N39" s="7">
        <f t="shared" si="3"/>
        <v>0</v>
      </c>
      <c r="O39" s="9"/>
      <c r="P39" s="6">
        <v>8199.57</v>
      </c>
      <c r="Q39" s="3"/>
      <c r="R39" s="7">
        <f t="shared" si="4"/>
        <v>0.23299256856805201</v>
      </c>
      <c r="S39" s="3"/>
      <c r="T39" s="6"/>
      <c r="U39" s="3"/>
      <c r="V39" s="7">
        <f t="shared" si="5"/>
        <v>0</v>
      </c>
      <c r="W39" s="3"/>
      <c r="X39" s="6">
        <f t="shared" si="6"/>
        <v>8199.57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0"/>
      <c r="B40" s="11" t="str">
        <f>CONCATENATE("     ","Supplies                                          ")</f>
        <v xml:space="preserve">     Supplies                                          </v>
      </c>
      <c r="C40" s="11"/>
      <c r="D40" s="2">
        <f>SUM(OSRRefD22_7x_0)</f>
        <v>730.94</v>
      </c>
      <c r="E40" s="2"/>
      <c r="F40" s="5">
        <f t="shared" si="0"/>
        <v>6.9965492981339417E-2</v>
      </c>
      <c r="G40" s="2"/>
      <c r="H40" s="2">
        <f>SUM(OSRRefH22_7x_0)</f>
        <v>0</v>
      </c>
      <c r="I40" s="2"/>
      <c r="J40" s="5">
        <f t="shared" si="1"/>
        <v>0</v>
      </c>
      <c r="K40" s="2"/>
      <c r="L40" s="2">
        <f t="shared" si="2"/>
        <v>730.94</v>
      </c>
      <c r="M40" s="2"/>
      <c r="N40" s="5">
        <f t="shared" si="3"/>
        <v>0</v>
      </c>
      <c r="O40" s="11"/>
      <c r="P40" s="2">
        <f>SUM(OSRRefP22_7x_0)</f>
        <v>847.2</v>
      </c>
      <c r="Q40" s="2"/>
      <c r="R40" s="5">
        <f t="shared" si="4"/>
        <v>2.4073372639157136E-2</v>
      </c>
      <c r="S40" s="2"/>
      <c r="T40" s="2">
        <f>SUM(OSRRefT22_7x_0)</f>
        <v>0</v>
      </c>
      <c r="U40" s="2"/>
      <c r="V40" s="5">
        <f t="shared" si="5"/>
        <v>0</v>
      </c>
      <c r="W40" s="2"/>
      <c r="X40" s="2">
        <f t="shared" si="6"/>
        <v>847.2</v>
      </c>
      <c r="Y40" s="2"/>
      <c r="Z40" s="5">
        <f t="shared" si="7"/>
        <v>0</v>
      </c>
    </row>
    <row r="41" spans="1:26" s="69" customFormat="1" ht="15" hidden="1" customHeight="1" outlineLevel="2" x14ac:dyDescent="0.3">
      <c r="A41" s="21"/>
      <c r="B41" s="9" t="str">
        <f>CONCATENATE("          ","6239"," - ","KITCHEN SUPPLIES")</f>
        <v xml:space="preserve">          6239 - KITCHEN SUPPLIES</v>
      </c>
      <c r="C41" s="9"/>
      <c r="D41" s="6">
        <v>132.30000000000001</v>
      </c>
      <c r="E41" s="3"/>
      <c r="F41" s="7">
        <f t="shared" si="0"/>
        <v>1.2663740828838489E-2</v>
      </c>
      <c r="G41" s="3"/>
      <c r="H41" s="6"/>
      <c r="I41" s="3"/>
      <c r="J41" s="7">
        <f t="shared" si="1"/>
        <v>0</v>
      </c>
      <c r="K41" s="3"/>
      <c r="L41" s="6">
        <f t="shared" si="2"/>
        <v>132.30000000000001</v>
      </c>
      <c r="M41" s="3"/>
      <c r="N41" s="7">
        <f t="shared" si="3"/>
        <v>0</v>
      </c>
      <c r="O41" s="9"/>
      <c r="P41" s="6">
        <v>132.30000000000001</v>
      </c>
      <c r="Q41" s="3"/>
      <c r="R41" s="7">
        <f t="shared" si="4"/>
        <v>3.7593333335227681E-3</v>
      </c>
      <c r="S41" s="3"/>
      <c r="T41" s="6"/>
      <c r="U41" s="3"/>
      <c r="V41" s="7">
        <f t="shared" si="5"/>
        <v>0</v>
      </c>
      <c r="W41" s="3"/>
      <c r="X41" s="6">
        <f t="shared" si="6"/>
        <v>132.30000000000001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","6243"," - ","PAPER SUPPLIES")</f>
        <v xml:space="preserve">          6243 - PAPER SUPPLIES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116.26</v>
      </c>
      <c r="Q42" s="3"/>
      <c r="R42" s="7">
        <f t="shared" si="4"/>
        <v>3.3035532377578003E-3</v>
      </c>
      <c r="S42" s="3"/>
      <c r="T42" s="6"/>
      <c r="U42" s="3"/>
      <c r="V42" s="7">
        <f t="shared" si="5"/>
        <v>0</v>
      </c>
      <c r="W42" s="3"/>
      <c r="X42" s="6">
        <f t="shared" si="6"/>
        <v>116.26</v>
      </c>
      <c r="Y42" s="3"/>
      <c r="Z42" s="7">
        <f t="shared" si="7"/>
        <v>0</v>
      </c>
    </row>
    <row r="43" spans="1:26" s="69" customFormat="1" ht="15" hidden="1" customHeight="1" outlineLevel="2" x14ac:dyDescent="0.3">
      <c r="A43" s="21"/>
      <c r="B43" s="9" t="str">
        <f>CONCATENATE("          ","6245"," - ","PRINTING")</f>
        <v xml:space="preserve">          6245 - PRINTING</v>
      </c>
      <c r="C43" s="9"/>
      <c r="D43" s="6">
        <v>598.64</v>
      </c>
      <c r="E43" s="3"/>
      <c r="F43" s="7">
        <f t="shared" si="0"/>
        <v>5.7301752152500919E-2</v>
      </c>
      <c r="G43" s="3"/>
      <c r="H43" s="6"/>
      <c r="I43" s="3"/>
      <c r="J43" s="7">
        <f t="shared" si="1"/>
        <v>0</v>
      </c>
      <c r="K43" s="3"/>
      <c r="L43" s="6">
        <f t="shared" si="2"/>
        <v>598.64</v>
      </c>
      <c r="M43" s="3"/>
      <c r="N43" s="7">
        <f t="shared" si="3"/>
        <v>0</v>
      </c>
      <c r="O43" s="9"/>
      <c r="P43" s="6">
        <v>598.64</v>
      </c>
      <c r="Q43" s="3"/>
      <c r="R43" s="7">
        <f t="shared" si="4"/>
        <v>1.7010486067876567E-2</v>
      </c>
      <c r="S43" s="3"/>
      <c r="T43" s="6"/>
      <c r="U43" s="3"/>
      <c r="V43" s="7">
        <f t="shared" si="5"/>
        <v>0</v>
      </c>
      <c r="W43" s="3"/>
      <c r="X43" s="6">
        <f t="shared" si="6"/>
        <v>598.64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0"/>
      <c r="B44" s="11" t="str">
        <f>CONCATENATE("     ","Telephone/Data Lines                              ")</f>
        <v xml:space="preserve">     Telephone/Data Lines                              </v>
      </c>
      <c r="C44" s="11"/>
      <c r="D44" s="2">
        <f>SUM(OSRRefD22_8x_0)</f>
        <v>0</v>
      </c>
      <c r="E44" s="2"/>
      <c r="F44" s="5">
        <f t="shared" si="0"/>
        <v>0</v>
      </c>
      <c r="G44" s="2"/>
      <c r="H44" s="2">
        <f>SUM(OSRRefH22_8x_0)</f>
        <v>0</v>
      </c>
      <c r="I44" s="2"/>
      <c r="J44" s="5">
        <f t="shared" si="1"/>
        <v>0</v>
      </c>
      <c r="K44" s="2"/>
      <c r="L44" s="2">
        <f t="shared" si="2"/>
        <v>0</v>
      </c>
      <c r="M44" s="2"/>
      <c r="N44" s="5">
        <f t="shared" si="3"/>
        <v>0</v>
      </c>
      <c r="O44" s="11"/>
      <c r="P44" s="2">
        <f>SUM(OSRRefP22_8x_0)</f>
        <v>0</v>
      </c>
      <c r="Q44" s="2"/>
      <c r="R44" s="5">
        <f t="shared" si="4"/>
        <v>0</v>
      </c>
      <c r="S44" s="2"/>
      <c r="T44" s="2">
        <f>SUM(OSRRefT22_8x_0)</f>
        <v>132.54</v>
      </c>
      <c r="U44" s="2"/>
      <c r="V44" s="5">
        <f t="shared" si="5"/>
        <v>0</v>
      </c>
      <c r="W44" s="2"/>
      <c r="X44" s="2">
        <f t="shared" si="6"/>
        <v>-132.54</v>
      </c>
      <c r="Y44" s="2"/>
      <c r="Z44" s="5">
        <f t="shared" si="7"/>
        <v>-1</v>
      </c>
    </row>
    <row r="45" spans="1:26" s="69" customFormat="1" ht="15" hidden="1" customHeight="1" outlineLevel="2" x14ac:dyDescent="0.3">
      <c r="A45" s="21"/>
      <c r="B45" s="9" t="str">
        <f>CONCATENATE("          ","6309"," - ","TELEPHONE")</f>
        <v xml:space="preserve">          6309 - TELEPHONE</v>
      </c>
      <c r="C45" s="9"/>
      <c r="D45" s="6"/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/>
      <c r="Q45" s="3"/>
      <c r="R45" s="7">
        <f t="shared" si="4"/>
        <v>0</v>
      </c>
      <c r="S45" s="3"/>
      <c r="T45" s="6">
        <v>132.54</v>
      </c>
      <c r="U45" s="3"/>
      <c r="V45" s="7">
        <f t="shared" si="5"/>
        <v>0</v>
      </c>
      <c r="W45" s="3"/>
      <c r="X45" s="6">
        <f t="shared" si="6"/>
        <v>-132.54</v>
      </c>
      <c r="Y45" s="3"/>
      <c r="Z45" s="7">
        <f t="shared" si="7"/>
        <v>-1</v>
      </c>
    </row>
    <row r="46" spans="1:26" s="64" customFormat="1" ht="15" customHeight="1" x14ac:dyDescent="0.3">
      <c r="A46" s="37"/>
      <c r="B46" s="37"/>
      <c r="C46" s="37"/>
      <c r="D46" s="2"/>
      <c r="E46" s="2"/>
      <c r="F46" s="5"/>
      <c r="G46" s="2"/>
      <c r="H46" s="2"/>
      <c r="I46" s="2"/>
      <c r="J46" s="5"/>
      <c r="K46" s="2"/>
      <c r="L46" s="2"/>
      <c r="M46" s="2"/>
      <c r="N46" s="5"/>
      <c r="O46" s="37"/>
      <c r="P46" s="2"/>
      <c r="Q46" s="2"/>
      <c r="R46" s="5"/>
      <c r="S46" s="2"/>
      <c r="T46" s="2"/>
      <c r="U46" s="2"/>
      <c r="V46" s="5"/>
      <c r="W46" s="2"/>
      <c r="X46" s="2"/>
      <c r="Y46" s="2"/>
      <c r="Z46" s="5"/>
    </row>
    <row r="47" spans="1:26" s="62" customFormat="1" ht="15" customHeight="1" x14ac:dyDescent="0.3">
      <c r="A47" s="13"/>
      <c r="B47" s="27" t="s">
        <v>290</v>
      </c>
      <c r="C47" s="13"/>
      <c r="D47" s="8">
        <f>SUM(0)</f>
        <v>0</v>
      </c>
      <c r="E47" s="8"/>
      <c r="F47" s="14">
        <f>IF(D$12=0,0,D47/D$12)</f>
        <v>0</v>
      </c>
      <c r="G47" s="8"/>
      <c r="H47" s="8">
        <f>SUM(0)</f>
        <v>0</v>
      </c>
      <c r="I47" s="8"/>
      <c r="J47" s="14">
        <f>IF(H$12=0,0,H47/H$12)</f>
        <v>0</v>
      </c>
      <c r="K47" s="8"/>
      <c r="L47" s="8">
        <f>+D47-H47</f>
        <v>0</v>
      </c>
      <c r="M47" s="8"/>
      <c r="N47" s="14">
        <f>IF(H47=0,0,L47/H47)</f>
        <v>0</v>
      </c>
      <c r="O47" s="13"/>
      <c r="P47" s="8">
        <f>SUM(0)</f>
        <v>0</v>
      </c>
      <c r="Q47" s="8"/>
      <c r="R47" s="14">
        <f>IF(P$12=0,0,P47/P$12)</f>
        <v>0</v>
      </c>
      <c r="S47" s="8"/>
      <c r="T47" s="8">
        <f>SUM(0)</f>
        <v>0</v>
      </c>
      <c r="U47" s="8"/>
      <c r="V47" s="14">
        <f>IF(T$12=0,0,T47/T$12)</f>
        <v>0</v>
      </c>
      <c r="W47" s="8"/>
      <c r="X47" s="8">
        <f>+P47-T47</f>
        <v>0</v>
      </c>
      <c r="Y47" s="8"/>
      <c r="Z47" s="14">
        <f>IF(T47=0,0,X47/T47)</f>
        <v>0</v>
      </c>
    </row>
    <row r="48" spans="1:26" ht="15" customHeight="1" x14ac:dyDescent="0.3">
      <c r="A48" s="12"/>
      <c r="B48" s="13"/>
      <c r="C48" s="13"/>
      <c r="D48" s="4"/>
      <c r="E48" s="4"/>
      <c r="F48" s="10"/>
      <c r="G48" s="4"/>
      <c r="H48" s="4"/>
      <c r="I48" s="4"/>
      <c r="J48" s="10"/>
      <c r="K48" s="4"/>
      <c r="L48" s="4"/>
      <c r="M48" s="4"/>
      <c r="N48" s="10"/>
      <c r="O48" s="13"/>
      <c r="P48" s="4"/>
      <c r="Q48" s="4"/>
      <c r="R48" s="10"/>
      <c r="S48" s="4"/>
      <c r="T48" s="4"/>
      <c r="U48" s="4"/>
      <c r="V48" s="10"/>
      <c r="W48" s="4"/>
      <c r="X48" s="4"/>
      <c r="Y48" s="4"/>
      <c r="Z48" s="10"/>
    </row>
    <row r="49" spans="1:26" s="62" customFormat="1" ht="15" customHeight="1" x14ac:dyDescent="0.3">
      <c r="A49" s="13"/>
      <c r="B49" s="28" t="s">
        <v>291</v>
      </c>
      <c r="C49" s="28"/>
      <c r="D49" s="22">
        <f>+D18-D20+D47</f>
        <v>1473.2599999999984</v>
      </c>
      <c r="E49" s="15"/>
      <c r="F49" s="24">
        <f>IF(D$12=0,0,D49/D$12)</f>
        <v>0.14102027825770649</v>
      </c>
      <c r="G49" s="15"/>
      <c r="H49" s="22">
        <f>+H18-H20+H47</f>
        <v>-1000.95</v>
      </c>
      <c r="I49" s="15"/>
      <c r="J49" s="24">
        <f>IF(H$12=0,0,H49/H$12)</f>
        <v>0</v>
      </c>
      <c r="K49" s="17"/>
      <c r="L49" s="22">
        <f>+D49-H49</f>
        <v>2474.2099999999982</v>
      </c>
      <c r="M49" s="17"/>
      <c r="N49" s="24">
        <f>IF(H49=0,0,L49/H49)</f>
        <v>-2.4718617313552107</v>
      </c>
      <c r="O49" s="27"/>
      <c r="P49" s="22">
        <f>+P18-P20+P47</f>
        <v>-8727.0399999999936</v>
      </c>
      <c r="Q49" s="15"/>
      <c r="R49" s="24">
        <f>IF(P$12=0,0,P49/P$12)</f>
        <v>-0.24798074357510591</v>
      </c>
      <c r="S49" s="15"/>
      <c r="T49" s="22">
        <f>+T18-T20+T47</f>
        <v>-9046.24</v>
      </c>
      <c r="U49" s="15"/>
      <c r="V49" s="24">
        <f>IF(T$12=0,0,T49/T$12)</f>
        <v>0</v>
      </c>
      <c r="W49" s="17"/>
      <c r="X49" s="22">
        <f>+P49-T49</f>
        <v>319.20000000000618</v>
      </c>
      <c r="Y49" s="17"/>
      <c r="Z49" s="24">
        <f>IF(T49=0,0,X49/T49)</f>
        <v>-3.5285378234493688E-2</v>
      </c>
    </row>
    <row r="50" spans="1:26" ht="15" customHeight="1" x14ac:dyDescent="0.3">
      <c r="A50" s="12"/>
      <c r="B50" s="13"/>
      <c r="C50" s="12"/>
      <c r="D50" s="4"/>
      <c r="E50" s="4"/>
      <c r="F50" s="10"/>
      <c r="G50" s="4"/>
      <c r="H50" s="4"/>
      <c r="I50" s="4"/>
      <c r="J50" s="10"/>
      <c r="K50" s="4"/>
      <c r="L50" s="4"/>
      <c r="M50" s="4"/>
      <c r="N50" s="10"/>
      <c r="P50" s="4"/>
      <c r="Q50" s="4"/>
      <c r="R50" s="10"/>
      <c r="S50" s="4"/>
      <c r="T50" s="4"/>
      <c r="U50" s="4"/>
      <c r="V50" s="10"/>
      <c r="W50" s="4"/>
      <c r="X50" s="4"/>
      <c r="Y50" s="4"/>
      <c r="Z50" s="10"/>
    </row>
    <row r="51" spans="1:26" s="62" customFormat="1" ht="15" customHeight="1" x14ac:dyDescent="0.3">
      <c r="A51" s="48"/>
      <c r="B51" s="13" t="s">
        <v>292</v>
      </c>
      <c r="C51" s="13"/>
      <c r="D51" s="8">
        <v>-6839.28</v>
      </c>
      <c r="E51" s="8"/>
      <c r="F51" s="14">
        <f>IF(D$12=0,0,D51/D$12)</f>
        <v>-0.65465509732319338</v>
      </c>
      <c r="G51" s="8"/>
      <c r="H51" s="8"/>
      <c r="I51" s="8"/>
      <c r="J51" s="14">
        <f>IF(H$12=0,0,H51/H$12)</f>
        <v>0</v>
      </c>
      <c r="K51" s="8"/>
      <c r="L51" s="8">
        <f>+D51-H51</f>
        <v>-6839.28</v>
      </c>
      <c r="M51" s="8"/>
      <c r="N51" s="14">
        <f>IF(H51=0,0,L51/H51)</f>
        <v>0</v>
      </c>
      <c r="O51" s="13"/>
      <c r="P51" s="8">
        <v>-4057.29</v>
      </c>
      <c r="Q51" s="8"/>
      <c r="R51" s="14">
        <f>IF(P$12=0,0,P51/P$12)</f>
        <v>-0.11528877959764619</v>
      </c>
      <c r="S51" s="8"/>
      <c r="T51" s="8"/>
      <c r="U51" s="8"/>
      <c r="V51" s="14">
        <f>IF(T$12=0,0,T51/T$12)</f>
        <v>0</v>
      </c>
      <c r="W51" s="8"/>
      <c r="X51" s="8">
        <f>+P51-T51</f>
        <v>-4057.29</v>
      </c>
      <c r="Y51" s="8"/>
      <c r="Z51" s="14">
        <f>IF(T51=0,0,X51/T51)</f>
        <v>0</v>
      </c>
    </row>
    <row r="52" spans="1:26" ht="15" customHeight="1" x14ac:dyDescent="0.3">
      <c r="A52" s="12"/>
      <c r="B52" s="13"/>
      <c r="C52" s="13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O52" s="13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2" customFormat="1" ht="15" customHeight="1" x14ac:dyDescent="0.3">
      <c r="A53" s="13"/>
      <c r="B53" s="28" t="s">
        <v>293</v>
      </c>
      <c r="C53" s="28"/>
      <c r="D53" s="29">
        <f>+D49-D51</f>
        <v>8312.5399999999972</v>
      </c>
      <c r="E53" s="15"/>
      <c r="F53" s="31">
        <f>IF(D$12=0,0,D53/D$12)</f>
        <v>0.79567537558089985</v>
      </c>
      <c r="G53" s="15"/>
      <c r="H53" s="29">
        <f>+H49-H51</f>
        <v>-1000.95</v>
      </c>
      <c r="I53" s="15"/>
      <c r="J53" s="31">
        <f>IF(H$12=0,0,H53/H$12)</f>
        <v>0</v>
      </c>
      <c r="K53" s="17"/>
      <c r="L53" s="29">
        <f>D53-H53</f>
        <v>9313.489999999998</v>
      </c>
      <c r="M53" s="17"/>
      <c r="N53" s="31">
        <f>IF(H53=0,0,L53/H53)</f>
        <v>-9.304650581947147</v>
      </c>
      <c r="O53" s="27"/>
      <c r="P53" s="29">
        <f>+P49-P51</f>
        <v>-4669.7499999999936</v>
      </c>
      <c r="Q53" s="15"/>
      <c r="R53" s="31">
        <f>IF(P$12=0,0,P53/P$12)</f>
        <v>-0.13269196397745972</v>
      </c>
      <c r="S53" s="15"/>
      <c r="T53" s="29">
        <f>+T49-T51</f>
        <v>-9046.24</v>
      </c>
      <c r="U53" s="15"/>
      <c r="V53" s="31">
        <f>IF(T$12=0,0,T53/T$12)</f>
        <v>0</v>
      </c>
      <c r="W53" s="17"/>
      <c r="X53" s="29">
        <f>P53-T53</f>
        <v>4376.4900000000061</v>
      </c>
      <c r="Y53" s="17"/>
      <c r="Z53" s="31">
        <f>IF(T53=0,0,X53/T53)</f>
        <v>-0.48379105573144271</v>
      </c>
    </row>
    <row r="54" spans="1:26" ht="15" customHeight="1" x14ac:dyDescent="0.3">
      <c r="A54" s="12"/>
      <c r="B54" s="12"/>
      <c r="C54" s="12"/>
      <c r="D54" s="4"/>
      <c r="E54" s="4"/>
      <c r="F54" s="10"/>
      <c r="G54" s="4"/>
      <c r="H54" s="4"/>
      <c r="I54" s="4"/>
      <c r="J54" s="10"/>
      <c r="K54" s="4"/>
      <c r="L54" s="4"/>
      <c r="M54" s="4"/>
      <c r="N54" s="10"/>
      <c r="P54" s="4"/>
      <c r="Q54" s="4"/>
      <c r="R54" s="10"/>
      <c r="S54" s="4"/>
      <c r="T54" s="4"/>
      <c r="U54" s="4"/>
      <c r="V54" s="10"/>
      <c r="W54" s="4"/>
      <c r="X54" s="4"/>
      <c r="Y54" s="4"/>
      <c r="Z54" s="10"/>
    </row>
    <row r="55" spans="1:26" ht="15" customHeight="1" x14ac:dyDescent="0.3">
      <c r="A55" s="12"/>
      <c r="B55" s="12"/>
      <c r="C55" s="12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2" customFormat="1" ht="15" customHeight="1" x14ac:dyDescent="0.3">
      <c r="A56" s="13"/>
      <c r="B56" s="28" t="s">
        <v>296</v>
      </c>
      <c r="C56" s="28"/>
      <c r="D56" s="30">
        <f>SUM(D53:D55)</f>
        <v>8312.5399999999972</v>
      </c>
      <c r="E56" s="15"/>
      <c r="F56" s="35">
        <f>IF(D$12=0,0,D56/D$12)</f>
        <v>0.79567537558089985</v>
      </c>
      <c r="G56" s="15"/>
      <c r="H56" s="30">
        <f>SUM(H53:H55)</f>
        <v>-1000.95</v>
      </c>
      <c r="I56" s="15"/>
      <c r="J56" s="35">
        <f>IF(H$12=0,0,H56/H$12)</f>
        <v>0</v>
      </c>
      <c r="K56" s="17"/>
      <c r="L56" s="30">
        <f>+D56-H56</f>
        <v>9313.489999999998</v>
      </c>
      <c r="M56" s="17"/>
      <c r="N56" s="35">
        <f>IF(H56=0,0,L56/H56)</f>
        <v>-9.304650581947147</v>
      </c>
      <c r="O56" s="27"/>
      <c r="P56" s="30">
        <f>SUM(P53:P55)</f>
        <v>-4669.7499999999936</v>
      </c>
      <c r="Q56" s="15"/>
      <c r="R56" s="35">
        <f>IF(P$12=0,0,P56/P$12)</f>
        <v>-0.13269196397745972</v>
      </c>
      <c r="S56" s="15"/>
      <c r="T56" s="30">
        <f>SUM(T53:T55)</f>
        <v>-9046.24</v>
      </c>
      <c r="U56" s="15"/>
      <c r="V56" s="35">
        <f>IF(T$12=0,0,T56/T$12)</f>
        <v>0</v>
      </c>
      <c r="W56" s="17"/>
      <c r="X56" s="30">
        <f>+P56-T56</f>
        <v>4376.4900000000061</v>
      </c>
      <c r="Y56" s="17"/>
      <c r="Z56" s="35">
        <f>IF(T56=0,0,X56/T56)</f>
        <v>-0.48379105573144271</v>
      </c>
    </row>
    <row r="57" spans="1:26" ht="15" customHeight="1" x14ac:dyDescent="0.3">
      <c r="A57" s="12"/>
      <c r="C57" s="12"/>
      <c r="D57" s="19"/>
      <c r="E57" s="19"/>
      <c r="G57" s="19"/>
      <c r="H57" s="19"/>
      <c r="I57" s="19"/>
      <c r="J57" s="41"/>
      <c r="K57" s="19"/>
      <c r="L57" s="19"/>
      <c r="M57" s="19"/>
      <c r="P57" s="19"/>
      <c r="Q57" s="19"/>
      <c r="R57" s="41"/>
      <c r="S57" s="19"/>
      <c r="T57" s="19"/>
      <c r="U57" s="19"/>
      <c r="V57" s="41"/>
      <c r="W57" s="19"/>
      <c r="X57" s="19"/>
    </row>
    <row r="58" spans="1:26" ht="15" customHeight="1" x14ac:dyDescent="0.3">
      <c r="A58" s="12"/>
      <c r="B58" s="54">
        <v>44767.815885219905</v>
      </c>
      <c r="D58" s="19"/>
      <c r="E58" s="19"/>
      <c r="G58" s="19"/>
      <c r="H58" s="19"/>
      <c r="I58" s="19"/>
      <c r="J58" s="41"/>
      <c r="K58" s="19"/>
      <c r="L58" s="19"/>
      <c r="M58" s="19"/>
      <c r="P58" s="19"/>
      <c r="Q58" s="19"/>
      <c r="R58" s="41"/>
      <c r="S58" s="19"/>
      <c r="T58" s="19"/>
      <c r="U58" s="19"/>
      <c r="V58" s="41"/>
      <c r="W58" s="19"/>
      <c r="X58" s="19"/>
    </row>
    <row r="59" spans="1:26" ht="15" customHeight="1" x14ac:dyDescent="0.3">
      <c r="A59" s="12"/>
      <c r="B59" s="53" t="s">
        <v>297</v>
      </c>
      <c r="D59" s="19"/>
      <c r="E59" s="19"/>
      <c r="G59" s="19"/>
      <c r="H59" s="19"/>
      <c r="I59" s="19"/>
      <c r="J59" s="41"/>
      <c r="K59" s="19"/>
      <c r="L59" s="19"/>
      <c r="M59" s="19"/>
      <c r="P59" s="19"/>
      <c r="Q59" s="19"/>
      <c r="R59" s="41"/>
      <c r="S59" s="19"/>
      <c r="T59" s="19"/>
      <c r="U59" s="19"/>
      <c r="V59" s="41"/>
      <c r="W59" s="19"/>
      <c r="X59" s="19"/>
    </row>
    <row r="60" spans="1:26" ht="15" customHeight="1" x14ac:dyDescent="0.3">
      <c r="A60" s="12"/>
      <c r="B60" s="51"/>
      <c r="D60" s="19"/>
      <c r="E60" s="19"/>
      <c r="G60" s="19"/>
      <c r="H60" s="19"/>
      <c r="I60" s="19"/>
      <c r="J60" s="41"/>
      <c r="K60" s="19"/>
      <c r="L60" s="19"/>
      <c r="M60" s="19"/>
      <c r="P60" s="19"/>
      <c r="Q60" s="19"/>
      <c r="R60" s="41"/>
      <c r="S60" s="19"/>
      <c r="T60" s="19"/>
      <c r="U60" s="19"/>
      <c r="V60" s="41"/>
      <c r="W60" s="19"/>
      <c r="X60" s="19"/>
    </row>
    <row r="61" spans="1:26" ht="15" customHeight="1" x14ac:dyDescent="0.3">
      <c r="D61" s="19"/>
      <c r="E61" s="19"/>
      <c r="G61" s="19"/>
      <c r="H61" s="19"/>
      <c r="I61" s="19"/>
      <c r="J61" s="41"/>
      <c r="K61" s="19"/>
      <c r="L61" s="19"/>
      <c r="M61" s="19"/>
      <c r="P61" s="19"/>
      <c r="Q61" s="19"/>
      <c r="R61" s="41"/>
      <c r="S61" s="19"/>
      <c r="T61" s="19"/>
      <c r="U61" s="19"/>
      <c r="V61" s="41"/>
      <c r="W61" s="19"/>
      <c r="X6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4FD05-B72C-EAA6-4DF1-6091B3ABCAEF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","455"," - ","Vending (old)")</f>
        <v>Department 455 - Vending (old)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>
        <f>SUM(0)</f>
        <v>0</v>
      </c>
      <c r="E18" s="23"/>
      <c r="F18" s="34">
        <f>IF(D$12=0,0,D18/D$12)</f>
        <v>0</v>
      </c>
      <c r="G18" s="23"/>
      <c r="H18" s="23">
        <f>SUM(0)</f>
        <v>0</v>
      </c>
      <c r="I18" s="23"/>
      <c r="J18" s="34">
        <f>IF(H$12=0,0,H18/H$12)</f>
        <v>0</v>
      </c>
      <c r="K18" s="8"/>
      <c r="L18" s="23">
        <f>+D18-H18</f>
        <v>0</v>
      </c>
      <c r="M18" s="8"/>
      <c r="N18" s="34">
        <f>IF(H18=0,0,L18/H18)</f>
        <v>0</v>
      </c>
      <c r="O18" s="13"/>
      <c r="P18" s="23">
        <f>SUM(0)</f>
        <v>0</v>
      </c>
      <c r="Q18" s="23"/>
      <c r="R18" s="34">
        <f>IF(P$12=0,0,P18/P$12)</f>
        <v>0</v>
      </c>
      <c r="S18" s="23"/>
      <c r="T18" s="23">
        <f>SUM(0)</f>
        <v>0</v>
      </c>
      <c r="U18" s="23"/>
      <c r="V18" s="34">
        <f>IF(T$12=0,0,T18/T$12)</f>
        <v>0</v>
      </c>
      <c r="W18" s="8"/>
      <c r="X18" s="23">
        <f>+P18-T18</f>
        <v>0</v>
      </c>
      <c r="Y18" s="8"/>
      <c r="Z18" s="34">
        <f>IF(T18=0,0,X18/T18)</f>
        <v>0</v>
      </c>
    </row>
    <row r="19" spans="1:26" s="64" customFormat="1" ht="15" customHeight="1" x14ac:dyDescent="0.3">
      <c r="A19" s="37"/>
      <c r="B19" s="37"/>
      <c r="C19" s="37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collapsed="1" x14ac:dyDescent="0.3">
      <c r="A20" s="13"/>
      <c r="B20" s="27" t="s">
        <v>290</v>
      </c>
      <c r="C20" s="13"/>
      <c r="D20" s="8">
        <f>SUM(OSRRefD25x_0)</f>
        <v>0</v>
      </c>
      <c r="E20" s="8"/>
      <c r="F20" s="14">
        <f>IF(D$12=0,0,D20/D$12)</f>
        <v>0</v>
      </c>
      <c r="G20" s="8"/>
      <c r="H20" s="8">
        <f>SUM(OSRRefH25x_0)</f>
        <v>576.86</v>
      </c>
      <c r="I20" s="8"/>
      <c r="J20" s="14">
        <f>IF(H$12=0,0,H20/H$12)</f>
        <v>0</v>
      </c>
      <c r="K20" s="8"/>
      <c r="L20" s="8">
        <f>+D20-H20</f>
        <v>-576.86</v>
      </c>
      <c r="M20" s="8"/>
      <c r="N20" s="14">
        <f>IF(H20=0,0,L20/H20)</f>
        <v>-1</v>
      </c>
      <c r="O20" s="13"/>
      <c r="P20" s="8">
        <f>SUM(OSRRefP25x_0)</f>
        <v>0</v>
      </c>
      <c r="Q20" s="8"/>
      <c r="R20" s="14">
        <f>IF(P$12=0,0,P20/P$12)</f>
        <v>0</v>
      </c>
      <c r="S20" s="8"/>
      <c r="T20" s="8">
        <f>SUM(OSRRefT25x_0)</f>
        <v>16897.25</v>
      </c>
      <c r="U20" s="8"/>
      <c r="V20" s="14">
        <f>IF(T$12=0,0,T20/T$12)</f>
        <v>0</v>
      </c>
      <c r="W20" s="8"/>
      <c r="X20" s="8">
        <f>+P20-T20</f>
        <v>-16897.25</v>
      </c>
      <c r="Y20" s="8"/>
      <c r="Z20" s="14">
        <f>IF(T20=0,0,X20/T20)</f>
        <v>-1</v>
      </c>
    </row>
    <row r="21" spans="1:26" s="69" customFormat="1" ht="15" hidden="1" customHeight="1" outlineLevel="1" x14ac:dyDescent="0.3">
      <c r="A21" s="47"/>
      <c r="B21" s="9" t="str">
        <f>CONCATENATE("          ","9160"," - ","MISC. INCOME")</f>
        <v xml:space="preserve">          9160 - MISC. INCOME</v>
      </c>
      <c r="C21" s="9"/>
      <c r="D21" s="3">
        <f>0</f>
        <v>0</v>
      </c>
      <c r="E21" s="3"/>
      <c r="F21" s="26">
        <f>IF(D$12=0,0,D21/D$12)</f>
        <v>0</v>
      </c>
      <c r="G21" s="3"/>
      <c r="H21" s="3">
        <f>0</f>
        <v>0</v>
      </c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>
        <f>0</f>
        <v>0</v>
      </c>
      <c r="Q21" s="3"/>
      <c r="R21" s="26">
        <f>IF(P$12=0,0,P21/P$12)</f>
        <v>0</v>
      </c>
      <c r="S21" s="3"/>
      <c r="T21" s="3">
        <f>--12798.71</f>
        <v>12798.71</v>
      </c>
      <c r="U21" s="3"/>
      <c r="V21" s="26">
        <f>IF(T$12=0,0,T21/T$12)</f>
        <v>0</v>
      </c>
      <c r="W21" s="3"/>
      <c r="X21" s="3">
        <f>+P21-T21</f>
        <v>-12798.71</v>
      </c>
      <c r="Y21" s="3"/>
      <c r="Z21" s="26">
        <f>IF(T21=0,0,X21/T21)</f>
        <v>-1</v>
      </c>
    </row>
    <row r="22" spans="1:26" s="69" customFormat="1" ht="15" hidden="1" customHeight="1" outlineLevel="1" x14ac:dyDescent="0.3">
      <c r="A22" s="47"/>
      <c r="B22" s="9" t="str">
        <f>CONCATENATE("          ","9165"," - ","OTHER INCOME")</f>
        <v xml:space="preserve">          9165 - OTHER INCOME</v>
      </c>
      <c r="C22" s="9"/>
      <c r="D22" s="3">
        <f>0</f>
        <v>0</v>
      </c>
      <c r="E22" s="3"/>
      <c r="F22" s="26">
        <f>IF(D$12=0,0,D22/D$12)</f>
        <v>0</v>
      </c>
      <c r="G22" s="3"/>
      <c r="H22" s="3">
        <f>--576.86</f>
        <v>576.86</v>
      </c>
      <c r="I22" s="3"/>
      <c r="J22" s="26">
        <f>IF(H$12=0,0,H22/H$12)</f>
        <v>0</v>
      </c>
      <c r="K22" s="3"/>
      <c r="L22" s="3">
        <f>+D22-H22</f>
        <v>-576.86</v>
      </c>
      <c r="M22" s="3"/>
      <c r="N22" s="26">
        <f>IF(H22=0,0,L22/H22)</f>
        <v>-1</v>
      </c>
      <c r="O22" s="9"/>
      <c r="P22" s="3">
        <f>0</f>
        <v>0</v>
      </c>
      <c r="Q22" s="3"/>
      <c r="R22" s="26">
        <f>IF(P$12=0,0,P22/P$12)</f>
        <v>0</v>
      </c>
      <c r="S22" s="3"/>
      <c r="T22" s="3">
        <f>--4098.54</f>
        <v>4098.54</v>
      </c>
      <c r="U22" s="3"/>
      <c r="V22" s="26">
        <f>IF(T$12=0,0,T22/T$12)</f>
        <v>0</v>
      </c>
      <c r="W22" s="3"/>
      <c r="X22" s="3">
        <f>+P22-T22</f>
        <v>-4098.54</v>
      </c>
      <c r="Y22" s="3"/>
      <c r="Z22" s="26">
        <f>IF(T22=0,0,X22/T22)</f>
        <v>-1</v>
      </c>
    </row>
    <row r="23" spans="1:26" ht="15" customHeight="1" x14ac:dyDescent="0.3">
      <c r="A23" s="12"/>
      <c r="B23" s="13"/>
      <c r="C23" s="13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O23" s="13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2" customFormat="1" ht="15" customHeight="1" x14ac:dyDescent="0.3">
      <c r="A24" s="13"/>
      <c r="B24" s="28" t="s">
        <v>291</v>
      </c>
      <c r="C24" s="28"/>
      <c r="D24" s="22">
        <f>+D16-D18+D20</f>
        <v>0</v>
      </c>
      <c r="E24" s="15"/>
      <c r="F24" s="24">
        <f>IF(D$12=0,0,D24/D$12)</f>
        <v>0</v>
      </c>
      <c r="G24" s="15"/>
      <c r="H24" s="22">
        <f>+H16-H18+H20</f>
        <v>576.86</v>
      </c>
      <c r="I24" s="15"/>
      <c r="J24" s="24">
        <f>IF(H$12=0,0,H24/H$12)</f>
        <v>0</v>
      </c>
      <c r="K24" s="17"/>
      <c r="L24" s="22">
        <f>+D24-H24</f>
        <v>-576.86</v>
      </c>
      <c r="M24" s="17"/>
      <c r="N24" s="24">
        <f>IF(H24=0,0,L24/H24)</f>
        <v>-1</v>
      </c>
      <c r="O24" s="27"/>
      <c r="P24" s="22">
        <f>+P16-P18+P20</f>
        <v>0</v>
      </c>
      <c r="Q24" s="15"/>
      <c r="R24" s="24">
        <f>IF(P$12=0,0,P24/P$12)</f>
        <v>0</v>
      </c>
      <c r="S24" s="15"/>
      <c r="T24" s="22">
        <f>+T16-T18+T20</f>
        <v>16897.25</v>
      </c>
      <c r="U24" s="15"/>
      <c r="V24" s="24">
        <f>IF(T$12=0,0,T24/T$12)</f>
        <v>0</v>
      </c>
      <c r="W24" s="17"/>
      <c r="X24" s="22">
        <f>+P24-T24</f>
        <v>-16897.25</v>
      </c>
      <c r="Y24" s="17"/>
      <c r="Z24" s="24">
        <f>IF(T24=0,0,X24/T24)</f>
        <v>-1</v>
      </c>
    </row>
    <row r="25" spans="1:26" ht="15" customHeight="1" x14ac:dyDescent="0.3">
      <c r="A25" s="12"/>
      <c r="B25" s="13"/>
      <c r="C25" s="12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2" customFormat="1" ht="15" customHeight="1" x14ac:dyDescent="0.3">
      <c r="A26" s="48"/>
      <c r="B26" s="13" t="s">
        <v>292</v>
      </c>
      <c r="C26" s="13"/>
      <c r="D26" s="8"/>
      <c r="E26" s="8"/>
      <c r="F26" s="14">
        <f>IF(D$12=0,0,D26/D$12)</f>
        <v>0</v>
      </c>
      <c r="G26" s="8"/>
      <c r="H26" s="8"/>
      <c r="I26" s="8"/>
      <c r="J26" s="14">
        <f>IF(H$12=0,0,H26/H$12)</f>
        <v>0</v>
      </c>
      <c r="K26" s="8"/>
      <c r="L26" s="8">
        <f>+D26-H26</f>
        <v>0</v>
      </c>
      <c r="M26" s="8"/>
      <c r="N26" s="14">
        <f>IF(H26=0,0,L26/H26)</f>
        <v>0</v>
      </c>
      <c r="O26" s="13"/>
      <c r="P26" s="8"/>
      <c r="Q26" s="8"/>
      <c r="R26" s="14">
        <f>IF(P$12=0,0,P26/P$12)</f>
        <v>0</v>
      </c>
      <c r="S26" s="8"/>
      <c r="T26" s="8"/>
      <c r="U26" s="8"/>
      <c r="V26" s="14">
        <f>IF(T$12=0,0,T26/T$12)</f>
        <v>0</v>
      </c>
      <c r="W26" s="8"/>
      <c r="X26" s="8">
        <f>+P26-T26</f>
        <v>0</v>
      </c>
      <c r="Y26" s="8"/>
      <c r="Z26" s="14">
        <f>IF(T26=0,0,X26/T26)</f>
        <v>0</v>
      </c>
    </row>
    <row r="27" spans="1:26" ht="15" customHeight="1" x14ac:dyDescent="0.3">
      <c r="A27" s="12"/>
      <c r="B27" s="13"/>
      <c r="C27" s="13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O27" s="13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2" customFormat="1" ht="15" customHeight="1" x14ac:dyDescent="0.3">
      <c r="A28" s="13"/>
      <c r="B28" s="28" t="s">
        <v>293</v>
      </c>
      <c r="C28" s="28"/>
      <c r="D28" s="29">
        <f>+D24-D26</f>
        <v>0</v>
      </c>
      <c r="E28" s="15"/>
      <c r="F28" s="31">
        <f>IF(D$12=0,0,D28/D$12)</f>
        <v>0</v>
      </c>
      <c r="G28" s="15"/>
      <c r="H28" s="29">
        <f>+H24-H26</f>
        <v>576.86</v>
      </c>
      <c r="I28" s="15"/>
      <c r="J28" s="31">
        <f>IF(H$12=0,0,H28/H$12)</f>
        <v>0</v>
      </c>
      <c r="K28" s="17"/>
      <c r="L28" s="29">
        <f>D28-H28</f>
        <v>-576.86</v>
      </c>
      <c r="M28" s="17"/>
      <c r="N28" s="31">
        <f>IF(H28=0,0,L28/H28)</f>
        <v>-1</v>
      </c>
      <c r="O28" s="27"/>
      <c r="P28" s="29">
        <f>+P24-P26</f>
        <v>0</v>
      </c>
      <c r="Q28" s="15"/>
      <c r="R28" s="31">
        <f>IF(P$12=0,0,P28/P$12)</f>
        <v>0</v>
      </c>
      <c r="S28" s="15"/>
      <c r="T28" s="29">
        <f>+T24-T26</f>
        <v>16897.25</v>
      </c>
      <c r="U28" s="15"/>
      <c r="V28" s="31">
        <f>IF(T$12=0,0,T28/T$12)</f>
        <v>0</v>
      </c>
      <c r="W28" s="17"/>
      <c r="X28" s="29">
        <f>P28-T28</f>
        <v>-16897.25</v>
      </c>
      <c r="Y28" s="17"/>
      <c r="Z28" s="31">
        <f>IF(T28=0,0,X28/T28)</f>
        <v>-1</v>
      </c>
    </row>
    <row r="29" spans="1:26" ht="15" customHeight="1" x14ac:dyDescent="0.3">
      <c r="A29" s="12"/>
      <c r="B29" s="12"/>
      <c r="C29" s="12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296</v>
      </c>
      <c r="C31" s="28"/>
      <c r="D31" s="30">
        <f>SUM(D28:D30)</f>
        <v>0</v>
      </c>
      <c r="E31" s="15"/>
      <c r="F31" s="35">
        <f>IF(D$12=0,0,D31/D$12)</f>
        <v>0</v>
      </c>
      <c r="G31" s="15"/>
      <c r="H31" s="30">
        <f>SUM(H28:H30)</f>
        <v>576.86</v>
      </c>
      <c r="I31" s="15"/>
      <c r="J31" s="35">
        <f>IF(H$12=0,0,H31/H$12)</f>
        <v>0</v>
      </c>
      <c r="K31" s="17"/>
      <c r="L31" s="30">
        <f>+D31-H31</f>
        <v>-576.86</v>
      </c>
      <c r="M31" s="17"/>
      <c r="N31" s="35">
        <f>IF(H31=0,0,L31/H31)</f>
        <v>-1</v>
      </c>
      <c r="O31" s="27"/>
      <c r="P31" s="30">
        <f>SUM(P28:P30)</f>
        <v>0</v>
      </c>
      <c r="Q31" s="15"/>
      <c r="R31" s="35">
        <f>IF(P$12=0,0,P31/P$12)</f>
        <v>0</v>
      </c>
      <c r="S31" s="15"/>
      <c r="T31" s="30">
        <f>SUM(T28:T30)</f>
        <v>16897.25</v>
      </c>
      <c r="U31" s="15"/>
      <c r="V31" s="35">
        <f>IF(T$12=0,0,T31/T$12)</f>
        <v>0</v>
      </c>
      <c r="W31" s="17"/>
      <c r="X31" s="30">
        <f>+P31-T31</f>
        <v>-16897.25</v>
      </c>
      <c r="Y31" s="17"/>
      <c r="Z31" s="35">
        <f>IF(T31=0,0,X31/T31)</f>
        <v>-1</v>
      </c>
    </row>
    <row r="32" spans="1:26" ht="15" customHeight="1" x14ac:dyDescent="0.3">
      <c r="A32" s="12"/>
      <c r="C32" s="12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2"/>
      <c r="B33" s="54">
        <v>44767.815885219905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3" t="s">
        <v>297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1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98951-8868-052C-2D6B-ECBD9A4A688C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160074.59</v>
      </c>
      <c r="E12" s="8"/>
      <c r="F12" s="14"/>
      <c r="G12" s="8"/>
      <c r="H12" s="8">
        <f>SUM(OSRRefH13x_0)</f>
        <v>30111.4</v>
      </c>
      <c r="I12" s="8"/>
      <c r="J12" s="14"/>
      <c r="K12" s="8"/>
      <c r="L12" s="8">
        <f t="shared" ref="L12:L17" si="0">+D12-H12</f>
        <v>129963.19</v>
      </c>
      <c r="M12" s="8"/>
      <c r="N12" s="14">
        <f t="shared" ref="N12:N17" si="1">IF(H12=0,0,L12/H12)</f>
        <v>4.3160792922281921</v>
      </c>
      <c r="O12" s="13"/>
      <c r="P12" s="8">
        <f>SUM(OSRRefP13x_0)</f>
        <v>11775617.390000001</v>
      </c>
      <c r="Q12" s="8"/>
      <c r="R12" s="14"/>
      <c r="S12" s="8"/>
      <c r="T12" s="8">
        <f>SUM(OSRRefT13x_0)</f>
        <v>1021996</v>
      </c>
      <c r="U12" s="8"/>
      <c r="V12" s="14"/>
      <c r="W12" s="8"/>
      <c r="X12" s="8">
        <f t="shared" ref="X12:X17" si="2">+P12-T12</f>
        <v>10753621.390000001</v>
      </c>
      <c r="Y12" s="8"/>
      <c r="Z12" s="14">
        <f t="shared" ref="Z12:Z17" si="3">IF(T12=0,0,X12/T12)</f>
        <v>10.522175615168749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--1305.2</f>
        <v>1305.2</v>
      </c>
      <c r="E13" s="3"/>
      <c r="F13" s="26"/>
      <c r="G13" s="3"/>
      <c r="H13" s="3">
        <f>--10.83</f>
        <v>10.83</v>
      </c>
      <c r="I13" s="3"/>
      <c r="J13" s="26"/>
      <c r="K13" s="3"/>
      <c r="L13" s="3">
        <f t="shared" si="0"/>
        <v>1294.3700000000001</v>
      </c>
      <c r="M13" s="3"/>
      <c r="N13" s="26">
        <f t="shared" si="1"/>
        <v>119.51708217913205</v>
      </c>
      <c r="O13" s="9"/>
      <c r="P13" s="3">
        <f>--5921.92</f>
        <v>5921.92</v>
      </c>
      <c r="Q13" s="3"/>
      <c r="R13" s="26"/>
      <c r="S13" s="3"/>
      <c r="T13" s="3">
        <f>--1117.39</f>
        <v>1117.3900000000001</v>
      </c>
      <c r="U13" s="3"/>
      <c r="V13" s="26"/>
      <c r="W13" s="3"/>
      <c r="X13" s="3">
        <f t="shared" si="2"/>
        <v>4804.53</v>
      </c>
      <c r="Y13" s="3"/>
      <c r="Z13" s="26">
        <f t="shared" si="3"/>
        <v>4.2997789491583056</v>
      </c>
    </row>
    <row r="14" spans="1:26" s="69" customFormat="1" ht="15" hidden="1" customHeight="1" outlineLevel="1" x14ac:dyDescent="0.3">
      <c r="A14" s="47"/>
      <c r="B14" s="9" t="str">
        <f>CONCATENATE("          ","4055"," - ","TAXABLE SALES-FOOD")</f>
        <v xml:space="preserve">          4055 - TAXABLE SALES-FOOD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--2070.63</f>
        <v>2070.63</v>
      </c>
      <c r="Q14" s="3"/>
      <c r="R14" s="26"/>
      <c r="S14" s="3"/>
      <c r="T14" s="3">
        <f>0</f>
        <v>0</v>
      </c>
      <c r="U14" s="3"/>
      <c r="V14" s="26"/>
      <c r="W14" s="3"/>
      <c r="X14" s="3">
        <f t="shared" si="2"/>
        <v>2070.63</v>
      </c>
      <c r="Y14" s="3"/>
      <c r="Z14" s="26">
        <f t="shared" si="3"/>
        <v>0</v>
      </c>
    </row>
    <row r="15" spans="1:26" s="69" customFormat="1" ht="15" hidden="1" customHeight="1" outlineLevel="1" x14ac:dyDescent="0.3">
      <c r="A15" s="47"/>
      <c r="B15" s="9" t="str">
        <f>CONCATENATE("          ","4151"," - ","NON-TAXABLE SALES-FOOD")</f>
        <v xml:space="preserve">          4151 - NON-TAXABLE SALES-FOOD</v>
      </c>
      <c r="C15" s="9"/>
      <c r="D15" s="3">
        <f>--157642.87</f>
        <v>157642.87</v>
      </c>
      <c r="E15" s="3"/>
      <c r="F15" s="26"/>
      <c r="G15" s="3"/>
      <c r="H15" s="3">
        <f>--27599</f>
        <v>27599</v>
      </c>
      <c r="I15" s="3"/>
      <c r="J15" s="26"/>
      <c r="K15" s="3"/>
      <c r="L15" s="3">
        <f t="shared" si="0"/>
        <v>130043.87</v>
      </c>
      <c r="M15" s="3"/>
      <c r="N15" s="26">
        <f t="shared" si="1"/>
        <v>4.7119051414906332</v>
      </c>
      <c r="O15" s="9"/>
      <c r="P15" s="3">
        <f>--11643699.92</f>
        <v>11643699.92</v>
      </c>
      <c r="Q15" s="3"/>
      <c r="R15" s="26"/>
      <c r="S15" s="3"/>
      <c r="T15" s="3">
        <f>--968042.72</f>
        <v>968042.72</v>
      </c>
      <c r="U15" s="3"/>
      <c r="V15" s="26"/>
      <c r="W15" s="3"/>
      <c r="X15" s="3">
        <f t="shared" si="2"/>
        <v>10675657.199999999</v>
      </c>
      <c r="Y15" s="3"/>
      <c r="Z15" s="26">
        <f t="shared" si="3"/>
        <v>11.028084793613241</v>
      </c>
    </row>
    <row r="16" spans="1:26" s="69" customFormat="1" ht="15" hidden="1" customHeight="1" outlineLevel="1" x14ac:dyDescent="0.3">
      <c r="A16" s="47"/>
      <c r="B16" s="9" t="str">
        <f>CONCATENATE("          ","4153"," - ","NON-TAXABLE SALES-FOOD")</f>
        <v xml:space="preserve">          4153 - NON-TAXABLE SALES-FOOD</v>
      </c>
      <c r="C16" s="9"/>
      <c r="D16" s="3">
        <f>--1126.52</f>
        <v>1126.52</v>
      </c>
      <c r="E16" s="3"/>
      <c r="F16" s="26"/>
      <c r="G16" s="3"/>
      <c r="H16" s="3">
        <f>--2501.57</f>
        <v>2501.5700000000002</v>
      </c>
      <c r="I16" s="3"/>
      <c r="J16" s="26"/>
      <c r="K16" s="3"/>
      <c r="L16" s="3">
        <f t="shared" si="0"/>
        <v>-1375.0500000000002</v>
      </c>
      <c r="M16" s="3"/>
      <c r="N16" s="26">
        <f t="shared" si="1"/>
        <v>-0.54967480422294801</v>
      </c>
      <c r="O16" s="9"/>
      <c r="P16" s="3">
        <f>--119241.51</f>
        <v>119241.51</v>
      </c>
      <c r="Q16" s="3"/>
      <c r="R16" s="26"/>
      <c r="S16" s="3"/>
      <c r="T16" s="3">
        <f>--52835.89</f>
        <v>52835.89</v>
      </c>
      <c r="U16" s="3"/>
      <c r="V16" s="26"/>
      <c r="W16" s="3"/>
      <c r="X16" s="3">
        <f t="shared" si="2"/>
        <v>66405.62</v>
      </c>
      <c r="Y16" s="3"/>
      <c r="Z16" s="26">
        <f t="shared" si="3"/>
        <v>1.2568278872561813</v>
      </c>
    </row>
    <row r="17" spans="1:26" s="69" customFormat="1" ht="15" hidden="1" customHeight="1" outlineLevel="1" x14ac:dyDescent="0.3">
      <c r="A17" s="47"/>
      <c r="B17" s="9" t="str">
        <f>CONCATENATE("          ","4155"," - ","NON-TAXABLE SALES-FOOD")</f>
        <v xml:space="preserve">          4155 - NON-TAXABLE SALES-FOOD</v>
      </c>
      <c r="C17" s="9"/>
      <c r="D17" s="3">
        <f>0</f>
        <v>0</v>
      </c>
      <c r="E17" s="3"/>
      <c r="F17" s="26"/>
      <c r="G17" s="3"/>
      <c r="H17" s="3">
        <f>0</f>
        <v>0</v>
      </c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--4683.41</f>
        <v>4683.41</v>
      </c>
      <c r="Q17" s="3"/>
      <c r="R17" s="26"/>
      <c r="S17" s="3"/>
      <c r="T17" s="3">
        <f>0</f>
        <v>0</v>
      </c>
      <c r="U17" s="3"/>
      <c r="V17" s="26"/>
      <c r="W17" s="3"/>
      <c r="X17" s="3">
        <f t="shared" si="2"/>
        <v>4683.41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2" customFormat="1" ht="15" customHeight="1" collapsed="1" x14ac:dyDescent="0.3">
      <c r="A19" s="13"/>
      <c r="B19" s="27" t="s">
        <v>287</v>
      </c>
      <c r="C19" s="13"/>
      <c r="D19" s="8">
        <f>SUM(OSRRefD16x_0)</f>
        <v>52927.69</v>
      </c>
      <c r="E19" s="8"/>
      <c r="F19" s="14">
        <f>IF(D$12=0,0,D19/D$12)</f>
        <v>0.33064392043734114</v>
      </c>
      <c r="G19" s="8"/>
      <c r="H19" s="8">
        <f>SUM(OSRRefH16x_0)</f>
        <v>19817.82</v>
      </c>
      <c r="I19" s="8"/>
      <c r="J19" s="14">
        <f>IF(H$12=0,0,H19/H$12)</f>
        <v>0.65815006940892817</v>
      </c>
      <c r="K19" s="8"/>
      <c r="L19" s="8">
        <f>+D19-H19</f>
        <v>33109.870000000003</v>
      </c>
      <c r="M19" s="8"/>
      <c r="N19" s="14">
        <f>IF(H19=0,0,L19/H19)</f>
        <v>1.6707120157514803</v>
      </c>
      <c r="O19" s="13"/>
      <c r="P19" s="8">
        <f>SUM(OSRRefP16x_0)</f>
        <v>2813794.0900000003</v>
      </c>
      <c r="Q19" s="8"/>
      <c r="R19" s="14">
        <f>IF(P$12=0,0,P19/P$12)</f>
        <v>0.23895087593364819</v>
      </c>
      <c r="S19" s="8"/>
      <c r="T19" s="8">
        <f>SUM(OSRRefT16x_0)</f>
        <v>460889.79</v>
      </c>
      <c r="U19" s="8"/>
      <c r="V19" s="14">
        <f>IF(T$12=0,0,T19/T$12)</f>
        <v>0.45097024841584504</v>
      </c>
      <c r="W19" s="8"/>
      <c r="X19" s="8">
        <f>+P19-T19</f>
        <v>2352904.3000000003</v>
      </c>
      <c r="Y19" s="8"/>
      <c r="Z19" s="14">
        <f>IF(T19=0,0,X19/T19)</f>
        <v>5.1051343532691416</v>
      </c>
    </row>
    <row r="20" spans="1:26" s="69" customFormat="1" ht="15" hidden="1" customHeight="1" outlineLevel="1" x14ac:dyDescent="0.3">
      <c r="A20" s="47"/>
      <c r="B20" s="9" t="str">
        <f>CONCATENATE("          ","5053"," - ","PURCHASES @ COST-FOOD")</f>
        <v xml:space="preserve">          5053 - PURCHASES @ COST-FOOD</v>
      </c>
      <c r="C20" s="9"/>
      <c r="D20" s="3">
        <v>67827.69</v>
      </c>
      <c r="E20" s="3"/>
      <c r="F20" s="26">
        <f>IF(D$12=0,0,D20/D$12)</f>
        <v>0.42372552695590227</v>
      </c>
      <c r="G20" s="3"/>
      <c r="H20" s="3">
        <v>14888.82</v>
      </c>
      <c r="I20" s="3"/>
      <c r="J20" s="26">
        <f>IF(H$12=0,0,H20/H$12)</f>
        <v>0.49445791294991265</v>
      </c>
      <c r="K20" s="3"/>
      <c r="L20" s="3">
        <f>+D20-H20</f>
        <v>52938.87</v>
      </c>
      <c r="M20" s="3"/>
      <c r="N20" s="26">
        <f>IF(H20=0,0,L20/H20)</f>
        <v>3.5556121976086756</v>
      </c>
      <c r="O20" s="9"/>
      <c r="P20" s="3">
        <v>2847027.95</v>
      </c>
      <c r="Q20" s="3"/>
      <c r="R20" s="26">
        <f>IF(P$12=0,0,P20/P$12)</f>
        <v>0.24177313644868687</v>
      </c>
      <c r="S20" s="3"/>
      <c r="T20" s="3">
        <v>458637.49</v>
      </c>
      <c r="U20" s="3"/>
      <c r="V20" s="26">
        <f>IF(T$12=0,0,T20/T$12)</f>
        <v>0.44876642374334147</v>
      </c>
      <c r="W20" s="3"/>
      <c r="X20" s="3">
        <f>+P20-T20</f>
        <v>2388390.46</v>
      </c>
      <c r="Y20" s="3"/>
      <c r="Z20" s="26">
        <f>IF(T20=0,0,X20/T20)</f>
        <v>5.2075779064637739</v>
      </c>
    </row>
    <row r="21" spans="1:26" s="69" customFormat="1" ht="15" hidden="1" customHeight="1" outlineLevel="1" x14ac:dyDescent="0.3">
      <c r="A21" s="47"/>
      <c r="B21" s="9" t="str">
        <f>CONCATENATE("          ","5059"," - ","PURCHASES @ COST-FOOD")</f>
        <v xml:space="preserve">          5059 - PURCHASES @ COST-FOOD</v>
      </c>
      <c r="C21" s="9"/>
      <c r="D21" s="3">
        <v>-14900</v>
      </c>
      <c r="E21" s="3"/>
      <c r="F21" s="26">
        <f>IF(D$12=0,0,D21/D$12)</f>
        <v>-9.3081606518561136E-2</v>
      </c>
      <c r="G21" s="3"/>
      <c r="H21" s="3">
        <v>4929</v>
      </c>
      <c r="I21" s="3"/>
      <c r="J21" s="26">
        <f>IF(H$12=0,0,H21/H$12)</f>
        <v>0.16369215645901553</v>
      </c>
      <c r="K21" s="3"/>
      <c r="L21" s="3">
        <f>+D21-H21</f>
        <v>-19829</v>
      </c>
      <c r="M21" s="3"/>
      <c r="N21" s="26">
        <f>IF(H21=0,0,L21/H21)</f>
        <v>-4.0229255427064317</v>
      </c>
      <c r="O21" s="9"/>
      <c r="P21" s="3">
        <v>-33233.86</v>
      </c>
      <c r="Q21" s="3"/>
      <c r="R21" s="26">
        <f>IF(P$12=0,0,P21/P$12)</f>
        <v>-2.8222605150386936E-3</v>
      </c>
      <c r="S21" s="3"/>
      <c r="T21" s="3">
        <v>2252.3000000000002</v>
      </c>
      <c r="U21" s="3"/>
      <c r="V21" s="26">
        <f>IF(T$12=0,0,T21/T$12)</f>
        <v>2.2038246725036106E-3</v>
      </c>
      <c r="W21" s="3"/>
      <c r="X21" s="3">
        <f>+P21-T21</f>
        <v>-35486.160000000003</v>
      </c>
      <c r="Y21" s="3"/>
      <c r="Z21" s="26">
        <f>IF(T21=0,0,X21/T21)</f>
        <v>-15.755521022954314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2" customFormat="1" ht="15" customHeight="1" x14ac:dyDescent="0.3">
      <c r="A23" s="13"/>
      <c r="B23" s="28" t="s">
        <v>288</v>
      </c>
      <c r="C23" s="28"/>
      <c r="D23" s="22">
        <f>D12-D19</f>
        <v>107146.9</v>
      </c>
      <c r="E23" s="15"/>
      <c r="F23" s="24">
        <f>IF(D$12=0,0,D23/D$12)</f>
        <v>0.66935607956265886</v>
      </c>
      <c r="G23" s="15"/>
      <c r="H23" s="22">
        <f>H12-H19</f>
        <v>10293.580000000002</v>
      </c>
      <c r="I23" s="15"/>
      <c r="J23" s="24">
        <f>IF(H$12=0,0,H23/H$12)</f>
        <v>0.34184993059107188</v>
      </c>
      <c r="K23" s="17"/>
      <c r="L23" s="22">
        <f>+D23-H23</f>
        <v>96853.319999999992</v>
      </c>
      <c r="M23" s="17"/>
      <c r="N23" s="24">
        <f>IF(H23=0,0,L23/H23)</f>
        <v>9.4090996524047004</v>
      </c>
      <c r="O23" s="27"/>
      <c r="P23" s="22">
        <f>P12-P19</f>
        <v>8961823.3000000007</v>
      </c>
      <c r="Q23" s="15"/>
      <c r="R23" s="24">
        <f>IF(P$12=0,0,P23/P$12)</f>
        <v>0.76104912406635183</v>
      </c>
      <c r="S23" s="15"/>
      <c r="T23" s="22">
        <f>T12-T19</f>
        <v>561106.21</v>
      </c>
      <c r="U23" s="15"/>
      <c r="V23" s="24">
        <f>IF(T$12=0,0,T23/T$12)</f>
        <v>0.5490297515841549</v>
      </c>
      <c r="W23" s="17"/>
      <c r="X23" s="22">
        <f>+P23-T23</f>
        <v>8400717.0899999999</v>
      </c>
      <c r="Y23" s="17"/>
      <c r="Z23" s="24">
        <f>IF(T23=0,0,X23/T23)</f>
        <v>14.971705784543001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7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2" customFormat="1" ht="15" customHeight="1" x14ac:dyDescent="0.3">
      <c r="A25" s="13"/>
      <c r="B25" s="27" t="s">
        <v>289</v>
      </c>
      <c r="C25" s="13"/>
      <c r="D25" s="23" cm="1">
        <f t="array" ref="D25">SUM(OSRRefD22x_0)</f>
        <v>185520.31999999998</v>
      </c>
      <c r="E25" s="23"/>
      <c r="F25" s="34">
        <f t="shared" ref="F25:F56" si="4">IF(D$12=0,0,D25/D$12)</f>
        <v>1.1589617065394326</v>
      </c>
      <c r="G25" s="23"/>
      <c r="H25" s="23" cm="1">
        <f t="array" ref="H25">SUM(OSRRefH22x_0)</f>
        <v>186453.34</v>
      </c>
      <c r="I25" s="23"/>
      <c r="J25" s="34">
        <f t="shared" ref="J25:J56" si="5">IF(H$12=0,0,H25/H$12)</f>
        <v>6.1921179353998816</v>
      </c>
      <c r="K25" s="8"/>
      <c r="L25" s="23">
        <f t="shared" ref="L25:L56" si="6">+D25-H25</f>
        <v>-933.02000000001863</v>
      </c>
      <c r="M25" s="8"/>
      <c r="N25" s="34">
        <f t="shared" ref="N25:N56" si="7">IF(H25=0,0,L25/H25)</f>
        <v>-5.0040401528876803E-3</v>
      </c>
      <c r="O25" s="13"/>
      <c r="P25" s="23" cm="1">
        <f t="array" ref="P25">SUM(OSRRefP22x_0)</f>
        <v>5323922.0099999988</v>
      </c>
      <c r="Q25" s="23"/>
      <c r="R25" s="34">
        <f t="shared" ref="R25:R56" si="8">IF(P$12=0,0,P25/P$12)</f>
        <v>0.45211404495199881</v>
      </c>
      <c r="S25" s="23"/>
      <c r="T25" s="23" cm="1">
        <f t="array" ref="T25">SUM(OSRRefT22x_0)</f>
        <v>2654253.1099999994</v>
      </c>
      <c r="U25" s="23"/>
      <c r="V25" s="34">
        <f t="shared" ref="V25:V56" si="9">IF(T$12=0,0,T25/T$12)</f>
        <v>2.5971267108677525</v>
      </c>
      <c r="W25" s="8"/>
      <c r="X25" s="23">
        <f t="shared" ref="X25:X56" si="10">+P25-T25</f>
        <v>2669668.8999999994</v>
      </c>
      <c r="Y25" s="8"/>
      <c r="Z25" s="34">
        <f t="shared" ref="Z25:Z56" si="11">IF(T25=0,0,X25/T25)</f>
        <v>1.0058079577798817</v>
      </c>
    </row>
    <row r="26" spans="1:26" s="68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35979.730000000003</v>
      </c>
      <c r="E26" s="2"/>
      <c r="F26" s="5">
        <f t="shared" si="4"/>
        <v>0.22476852822174964</v>
      </c>
      <c r="G26" s="2"/>
      <c r="H26" s="2">
        <f>SUM(OSRRefH22_0x_0)</f>
        <v>74650.010000000009</v>
      </c>
      <c r="I26" s="2"/>
      <c r="J26" s="5">
        <f t="shared" si="5"/>
        <v>2.4791278386259026</v>
      </c>
      <c r="K26" s="2"/>
      <c r="L26" s="2">
        <f t="shared" si="6"/>
        <v>-38670.280000000006</v>
      </c>
      <c r="M26" s="2"/>
      <c r="N26" s="5">
        <f t="shared" si="7"/>
        <v>-0.51802109604539903</v>
      </c>
      <c r="O26" s="11"/>
      <c r="P26" s="2">
        <f>SUM(OSRRefP22_0x_0)</f>
        <v>995245.82999999984</v>
      </c>
      <c r="Q26" s="2"/>
      <c r="R26" s="5">
        <f t="shared" si="8"/>
        <v>8.4517507408586059E-2</v>
      </c>
      <c r="S26" s="2"/>
      <c r="T26" s="2">
        <f>SUM(OSRRefT22_0x_0)</f>
        <v>923533.87</v>
      </c>
      <c r="U26" s="2"/>
      <c r="V26" s="5">
        <f t="shared" si="9"/>
        <v>0.90365702996880615</v>
      </c>
      <c r="W26" s="2"/>
      <c r="X26" s="2">
        <f t="shared" si="10"/>
        <v>71711.959999999846</v>
      </c>
      <c r="Y26" s="2"/>
      <c r="Z26" s="5">
        <f t="shared" si="11"/>
        <v>7.7649518149236749E-2</v>
      </c>
    </row>
    <row r="27" spans="1:26" s="69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9611.8799999999992</v>
      </c>
      <c r="E27" s="3"/>
      <c r="F27" s="7">
        <f t="shared" si="4"/>
        <v>6.004625718547834E-2</v>
      </c>
      <c r="G27" s="3"/>
      <c r="H27" s="6">
        <v>6728.86</v>
      </c>
      <c r="I27" s="3"/>
      <c r="J27" s="7">
        <f t="shared" si="5"/>
        <v>0.2234655313270057</v>
      </c>
      <c r="K27" s="3"/>
      <c r="L27" s="6">
        <f t="shared" si="6"/>
        <v>2883.0199999999995</v>
      </c>
      <c r="M27" s="3"/>
      <c r="N27" s="7">
        <f t="shared" si="7"/>
        <v>0.42845593458624487</v>
      </c>
      <c r="O27" s="9"/>
      <c r="P27" s="6">
        <v>144382.19</v>
      </c>
      <c r="Q27" s="3"/>
      <c r="R27" s="7">
        <f t="shared" si="8"/>
        <v>1.2261114234452891E-2</v>
      </c>
      <c r="S27" s="3"/>
      <c r="T27" s="6">
        <v>96017.37</v>
      </c>
      <c r="U27" s="3"/>
      <c r="V27" s="7">
        <f t="shared" si="9"/>
        <v>9.3950827596194109E-2</v>
      </c>
      <c r="W27" s="3"/>
      <c r="X27" s="6">
        <f t="shared" si="10"/>
        <v>48364.820000000007</v>
      </c>
      <c r="Y27" s="3"/>
      <c r="Z27" s="7">
        <f t="shared" si="11"/>
        <v>0.50370906847375641</v>
      </c>
    </row>
    <row r="28" spans="1:26" s="69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-37177.040000000001</v>
      </c>
      <c r="E28" s="3"/>
      <c r="F28" s="7">
        <f t="shared" si="4"/>
        <v>-0.23224822877884618</v>
      </c>
      <c r="G28" s="3"/>
      <c r="H28" s="6">
        <v>3759.81</v>
      </c>
      <c r="I28" s="3"/>
      <c r="J28" s="7">
        <f t="shared" si="5"/>
        <v>0.12486334079451636</v>
      </c>
      <c r="K28" s="3"/>
      <c r="L28" s="6">
        <f t="shared" si="6"/>
        <v>-40936.85</v>
      </c>
      <c r="M28" s="3"/>
      <c r="N28" s="7">
        <f t="shared" si="7"/>
        <v>-10.888010298392738</v>
      </c>
      <c r="O28" s="9"/>
      <c r="P28" s="6">
        <v>52122.58</v>
      </c>
      <c r="Q28" s="3"/>
      <c r="R28" s="7">
        <f t="shared" si="8"/>
        <v>4.4263139904887824E-3</v>
      </c>
      <c r="S28" s="3"/>
      <c r="T28" s="6">
        <v>59067.74</v>
      </c>
      <c r="U28" s="3"/>
      <c r="V28" s="7">
        <f t="shared" si="9"/>
        <v>5.7796449301171428E-2</v>
      </c>
      <c r="W28" s="3"/>
      <c r="X28" s="6">
        <f t="shared" si="10"/>
        <v>-6945.1599999999962</v>
      </c>
      <c r="Y28" s="3"/>
      <c r="Z28" s="7">
        <f t="shared" si="11"/>
        <v>-0.1175795789715333</v>
      </c>
    </row>
    <row r="29" spans="1:26" s="69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42149.23</v>
      </c>
      <c r="E29" s="3"/>
      <c r="F29" s="7">
        <f t="shared" si="4"/>
        <v>0.26330993569935118</v>
      </c>
      <c r="G29" s="3"/>
      <c r="H29" s="6">
        <v>44827.15</v>
      </c>
      <c r="I29" s="3"/>
      <c r="J29" s="7">
        <f t="shared" si="5"/>
        <v>1.4887102559163639</v>
      </c>
      <c r="K29" s="3"/>
      <c r="L29" s="6">
        <f t="shared" si="6"/>
        <v>-2677.9199999999983</v>
      </c>
      <c r="M29" s="3"/>
      <c r="N29" s="7">
        <f t="shared" si="7"/>
        <v>-5.9738796689060049E-2</v>
      </c>
      <c r="O29" s="9"/>
      <c r="P29" s="6">
        <v>510825.68</v>
      </c>
      <c r="Q29" s="3"/>
      <c r="R29" s="7">
        <f t="shared" si="8"/>
        <v>4.3379948845297868E-2</v>
      </c>
      <c r="S29" s="3"/>
      <c r="T29" s="6">
        <v>538344.89</v>
      </c>
      <c r="U29" s="3"/>
      <c r="V29" s="7">
        <f t="shared" si="9"/>
        <v>0.52675831412256013</v>
      </c>
      <c r="W29" s="3"/>
      <c r="X29" s="6">
        <f t="shared" si="10"/>
        <v>-27519.210000000021</v>
      </c>
      <c r="Y29" s="3"/>
      <c r="Z29" s="7">
        <f t="shared" si="11"/>
        <v>-5.1118178162701644E-2</v>
      </c>
    </row>
    <row r="30" spans="1:26" s="69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4"/>
        <v>0</v>
      </c>
      <c r="G30" s="3"/>
      <c r="H30" s="6">
        <v>227.86</v>
      </c>
      <c r="I30" s="3"/>
      <c r="J30" s="7">
        <f t="shared" si="5"/>
        <v>7.5672336722968714E-3</v>
      </c>
      <c r="K30" s="3"/>
      <c r="L30" s="6">
        <f t="shared" si="6"/>
        <v>-227.86</v>
      </c>
      <c r="M30" s="3"/>
      <c r="N30" s="7">
        <f t="shared" si="7"/>
        <v>-1</v>
      </c>
      <c r="O30" s="9"/>
      <c r="P30" s="6">
        <v>6449.37</v>
      </c>
      <c r="Q30" s="3"/>
      <c r="R30" s="7">
        <f t="shared" si="8"/>
        <v>5.4768848090095768E-4</v>
      </c>
      <c r="S30" s="3"/>
      <c r="T30" s="6">
        <v>3668.27</v>
      </c>
      <c r="U30" s="3"/>
      <c r="V30" s="7">
        <f t="shared" si="9"/>
        <v>3.589319331973902E-3</v>
      </c>
      <c r="W30" s="3"/>
      <c r="X30" s="6">
        <f t="shared" si="10"/>
        <v>2781.1</v>
      </c>
      <c r="Y30" s="3"/>
      <c r="Z30" s="7">
        <f t="shared" si="11"/>
        <v>0.75815029973257142</v>
      </c>
    </row>
    <row r="31" spans="1:26" s="69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3591.51</v>
      </c>
      <c r="E31" s="3"/>
      <c r="F31" s="7">
        <f t="shared" si="4"/>
        <v>2.2436477894461578E-2</v>
      </c>
      <c r="G31" s="3"/>
      <c r="H31" s="6">
        <v>5391.44</v>
      </c>
      <c r="I31" s="3"/>
      <c r="J31" s="7">
        <f t="shared" si="5"/>
        <v>0.17904979509421678</v>
      </c>
      <c r="K31" s="3"/>
      <c r="L31" s="6">
        <f t="shared" si="6"/>
        <v>-1799.9299999999994</v>
      </c>
      <c r="M31" s="3"/>
      <c r="N31" s="7">
        <f t="shared" si="7"/>
        <v>-0.33384958378466595</v>
      </c>
      <c r="O31" s="9"/>
      <c r="P31" s="6">
        <v>50364.89</v>
      </c>
      <c r="Q31" s="3"/>
      <c r="R31" s="7">
        <f t="shared" si="8"/>
        <v>4.277048780709408E-3</v>
      </c>
      <c r="S31" s="3"/>
      <c r="T31" s="6">
        <v>48724.45</v>
      </c>
      <c r="U31" s="3"/>
      <c r="V31" s="7">
        <f t="shared" si="9"/>
        <v>4.7675773682088772E-2</v>
      </c>
      <c r="W31" s="3"/>
      <c r="X31" s="6">
        <f t="shared" si="10"/>
        <v>1640.4400000000023</v>
      </c>
      <c r="Y31" s="3"/>
      <c r="Z31" s="7">
        <f t="shared" si="11"/>
        <v>3.3667696608171101E-2</v>
      </c>
    </row>
    <row r="32" spans="1:26" s="69" customFormat="1" ht="15" hidden="1" customHeight="1" outlineLevel="2" x14ac:dyDescent="0.3">
      <c r="A32" s="21"/>
      <c r="B32" s="9" t="str">
        <f>CONCATENATE("          ","6117"," - ","RETIREMENT STAFF HOURLY")</f>
        <v xml:space="preserve">          6117 - RETIREMENT STAFF HOURLY</v>
      </c>
      <c r="C32" s="9"/>
      <c r="D32" s="6">
        <v>1426.27</v>
      </c>
      <c r="E32" s="3"/>
      <c r="F32" s="7">
        <f t="shared" si="4"/>
        <v>8.910033753639475E-3</v>
      </c>
      <c r="G32" s="3"/>
      <c r="H32" s="6">
        <v>1294.78</v>
      </c>
      <c r="I32" s="3"/>
      <c r="J32" s="7">
        <f t="shared" si="5"/>
        <v>4.2999661257862469E-2</v>
      </c>
      <c r="K32" s="3"/>
      <c r="L32" s="6">
        <f t="shared" si="6"/>
        <v>131.49</v>
      </c>
      <c r="M32" s="3"/>
      <c r="N32" s="7">
        <f t="shared" si="7"/>
        <v>0.101553931942106</v>
      </c>
      <c r="O32" s="9"/>
      <c r="P32" s="6">
        <v>19824.41</v>
      </c>
      <c r="Q32" s="3"/>
      <c r="R32" s="7">
        <f t="shared" si="8"/>
        <v>1.6835134280802238E-3</v>
      </c>
      <c r="S32" s="3"/>
      <c r="T32" s="6">
        <v>18126.740000000002</v>
      </c>
      <c r="U32" s="3"/>
      <c r="V32" s="7">
        <f t="shared" si="9"/>
        <v>1.7736605622722595E-2</v>
      </c>
      <c r="W32" s="3"/>
      <c r="X32" s="6">
        <f t="shared" si="10"/>
        <v>1697.6699999999983</v>
      </c>
      <c r="Y32" s="3"/>
      <c r="Z32" s="7">
        <f t="shared" si="11"/>
        <v>9.3655560790301962E-2</v>
      </c>
    </row>
    <row r="33" spans="1:26" s="69" customFormat="1" ht="15" hidden="1" customHeight="1" outlineLevel="2" x14ac:dyDescent="0.3">
      <c r="A33" s="21"/>
      <c r="B33" s="9" t="str">
        <f>CONCATENATE("          ","6118"," - ","VACATION")</f>
        <v xml:space="preserve">          6118 - VACATION</v>
      </c>
      <c r="C33" s="9"/>
      <c r="D33" s="6">
        <v>7517.87</v>
      </c>
      <c r="E33" s="3"/>
      <c r="F33" s="7">
        <f t="shared" si="4"/>
        <v>4.6964793100516454E-2</v>
      </c>
      <c r="G33" s="3"/>
      <c r="H33" s="6">
        <v>5963.56</v>
      </c>
      <c r="I33" s="3"/>
      <c r="J33" s="7">
        <f t="shared" si="5"/>
        <v>0.19804990800826267</v>
      </c>
      <c r="K33" s="3"/>
      <c r="L33" s="6">
        <f t="shared" si="6"/>
        <v>1554.3099999999995</v>
      </c>
      <c r="M33" s="3"/>
      <c r="N33" s="7">
        <f t="shared" si="7"/>
        <v>0.26063458739410678</v>
      </c>
      <c r="O33" s="9"/>
      <c r="P33" s="6">
        <v>95958.32</v>
      </c>
      <c r="Q33" s="3"/>
      <c r="R33" s="7">
        <f t="shared" si="8"/>
        <v>8.1488992739768354E-3</v>
      </c>
      <c r="S33" s="3"/>
      <c r="T33" s="6">
        <v>78998.289999999994</v>
      </c>
      <c r="U33" s="3"/>
      <c r="V33" s="7">
        <f t="shared" si="9"/>
        <v>7.7298042262396324E-2</v>
      </c>
      <c r="W33" s="3"/>
      <c r="X33" s="6">
        <f t="shared" si="10"/>
        <v>16960.030000000013</v>
      </c>
      <c r="Y33" s="3"/>
      <c r="Z33" s="7">
        <f t="shared" si="11"/>
        <v>0.21468857110704567</v>
      </c>
    </row>
    <row r="34" spans="1:26" s="69" customFormat="1" ht="15" hidden="1" customHeight="1" outlineLevel="2" x14ac:dyDescent="0.3">
      <c r="A34" s="21"/>
      <c r="B34" s="9" t="str">
        <f>CONCATENATE("          ","6119"," - ","SICK LEAVE")</f>
        <v xml:space="preserve">          6119 - SICK LEAVE</v>
      </c>
      <c r="C34" s="9"/>
      <c r="D34" s="6">
        <v>5570.7</v>
      </c>
      <c r="E34" s="3"/>
      <c r="F34" s="7">
        <f t="shared" si="4"/>
        <v>3.4800651371338823E-2</v>
      </c>
      <c r="G34" s="3"/>
      <c r="H34" s="6">
        <v>3877.69</v>
      </c>
      <c r="I34" s="3"/>
      <c r="J34" s="7">
        <f t="shared" si="5"/>
        <v>0.1287781371839237</v>
      </c>
      <c r="K34" s="3"/>
      <c r="L34" s="6">
        <f t="shared" si="6"/>
        <v>1693.0099999999998</v>
      </c>
      <c r="M34" s="3"/>
      <c r="N34" s="7">
        <f t="shared" si="7"/>
        <v>0.43660271966041631</v>
      </c>
      <c r="O34" s="9"/>
      <c r="P34" s="6">
        <v>74300.179999999993</v>
      </c>
      <c r="Q34" s="3"/>
      <c r="R34" s="7">
        <f t="shared" si="8"/>
        <v>6.3096632252247443E-3</v>
      </c>
      <c r="S34" s="3"/>
      <c r="T34" s="6">
        <v>53169.45</v>
      </c>
      <c r="U34" s="3"/>
      <c r="V34" s="7">
        <f t="shared" si="9"/>
        <v>5.202510577340811E-2</v>
      </c>
      <c r="W34" s="3"/>
      <c r="X34" s="6">
        <f t="shared" si="10"/>
        <v>21130.729999999996</v>
      </c>
      <c r="Y34" s="3"/>
      <c r="Z34" s="7">
        <f t="shared" si="11"/>
        <v>0.39742239199389867</v>
      </c>
    </row>
    <row r="35" spans="1:26" s="69" customFormat="1" ht="15" hidden="1" customHeight="1" outlineLevel="2" x14ac:dyDescent="0.3">
      <c r="A35" s="21"/>
      <c r="B35" s="9" t="str">
        <f>CONCATENATE("          ","6156"," - ","EMPLOYEE MEALS")</f>
        <v xml:space="preserve">          6156 - EMPLOYEE MEALS</v>
      </c>
      <c r="C35" s="9"/>
      <c r="D35" s="6">
        <v>3289.31</v>
      </c>
      <c r="E35" s="3"/>
      <c r="F35" s="7">
        <f t="shared" si="4"/>
        <v>2.0548607995809952E-2</v>
      </c>
      <c r="G35" s="3"/>
      <c r="H35" s="6">
        <v>2578.86</v>
      </c>
      <c r="I35" s="3"/>
      <c r="J35" s="7">
        <f t="shared" si="5"/>
        <v>8.5643975371454004E-2</v>
      </c>
      <c r="K35" s="3"/>
      <c r="L35" s="6">
        <f t="shared" si="6"/>
        <v>710.44999999999982</v>
      </c>
      <c r="M35" s="3"/>
      <c r="N35" s="7">
        <f t="shared" si="7"/>
        <v>0.27548994516957098</v>
      </c>
      <c r="O35" s="9"/>
      <c r="P35" s="6">
        <v>41018.21</v>
      </c>
      <c r="Q35" s="3"/>
      <c r="R35" s="7">
        <f t="shared" si="8"/>
        <v>3.4833171494543604E-3</v>
      </c>
      <c r="S35" s="3"/>
      <c r="T35" s="6">
        <v>27416.67</v>
      </c>
      <c r="U35" s="3"/>
      <c r="V35" s="7">
        <f t="shared" si="9"/>
        <v>2.6826592276290709E-2</v>
      </c>
      <c r="W35" s="3"/>
      <c r="X35" s="6">
        <f t="shared" si="10"/>
        <v>13601.54</v>
      </c>
      <c r="Y35" s="3"/>
      <c r="Z35" s="7">
        <f t="shared" si="11"/>
        <v>0.49610474211492506</v>
      </c>
    </row>
    <row r="36" spans="1:26" s="68" customFormat="1" ht="15" customHeight="1" outlineLevel="1" collapsed="1" x14ac:dyDescent="0.3">
      <c r="A36" s="20"/>
      <c r="B36" s="11" t="str">
        <f>CONCATENATE("     ","*Payroll                                          ")</f>
        <v xml:space="preserve">     *Payroll                                          </v>
      </c>
      <c r="C36" s="11"/>
      <c r="D36" s="2">
        <f>SUM(OSRRefD22_1x_0)</f>
        <v>108223.4</v>
      </c>
      <c r="E36" s="2"/>
      <c r="F36" s="5">
        <f t="shared" si="4"/>
        <v>0.67608106945643276</v>
      </c>
      <c r="G36" s="2"/>
      <c r="H36" s="2">
        <f>SUM(OSRRefH22_1x_0)</f>
        <v>74887.960000000006</v>
      </c>
      <c r="I36" s="2"/>
      <c r="J36" s="5">
        <f t="shared" si="5"/>
        <v>2.4870301613342458</v>
      </c>
      <c r="K36" s="2"/>
      <c r="L36" s="2">
        <f t="shared" si="6"/>
        <v>33335.439999999988</v>
      </c>
      <c r="M36" s="2"/>
      <c r="N36" s="5">
        <f t="shared" si="7"/>
        <v>0.44513750942073982</v>
      </c>
      <c r="O36" s="11"/>
      <c r="P36" s="2">
        <f>SUM(OSRRefP22_1x_0)</f>
        <v>2664761.58</v>
      </c>
      <c r="Q36" s="2"/>
      <c r="R36" s="5">
        <f t="shared" si="8"/>
        <v>0.22629485077045289</v>
      </c>
      <c r="S36" s="2"/>
      <c r="T36" s="2">
        <f>SUM(OSRRefT22_1x_0)</f>
        <v>1232994.53</v>
      </c>
      <c r="U36" s="2"/>
      <c r="V36" s="5">
        <f t="shared" si="9"/>
        <v>1.20645729533188</v>
      </c>
      <c r="W36" s="2"/>
      <c r="X36" s="2">
        <f t="shared" si="10"/>
        <v>1431767.05</v>
      </c>
      <c r="Y36" s="2"/>
      <c r="Z36" s="5">
        <f t="shared" si="11"/>
        <v>1.1612111936944278</v>
      </c>
    </row>
    <row r="37" spans="1:26" s="69" customFormat="1" ht="15" hidden="1" customHeight="1" outlineLevel="2" x14ac:dyDescent="0.3">
      <c r="A37" s="21"/>
      <c r="B37" s="9" t="str">
        <f>CONCATENATE("          ","6001"," - ","ADMINISTRATIVE SALARIES")</f>
        <v xml:space="preserve">          6001 - ADMINISTRATIVE SALARIES</v>
      </c>
      <c r="C37" s="9"/>
      <c r="D37" s="6">
        <v>9317.92</v>
      </c>
      <c r="E37" s="3"/>
      <c r="F37" s="7">
        <f t="shared" si="4"/>
        <v>5.8209863289357795E-2</v>
      </c>
      <c r="G37" s="3"/>
      <c r="H37" s="6">
        <v>6271.67</v>
      </c>
      <c r="I37" s="3"/>
      <c r="J37" s="7">
        <f t="shared" si="5"/>
        <v>0.20828224526259156</v>
      </c>
      <c r="K37" s="3"/>
      <c r="L37" s="6">
        <f t="shared" si="6"/>
        <v>3046.25</v>
      </c>
      <c r="M37" s="3"/>
      <c r="N37" s="7">
        <f t="shared" si="7"/>
        <v>0.48571592574226641</v>
      </c>
      <c r="O37" s="9"/>
      <c r="P37" s="6">
        <v>113051.4</v>
      </c>
      <c r="Q37" s="3"/>
      <c r="R37" s="7">
        <f t="shared" si="8"/>
        <v>9.600464778687921E-3</v>
      </c>
      <c r="S37" s="3"/>
      <c r="T37" s="6">
        <v>106395.53</v>
      </c>
      <c r="U37" s="3"/>
      <c r="V37" s="7">
        <f t="shared" si="9"/>
        <v>0.10410562272259383</v>
      </c>
      <c r="W37" s="3"/>
      <c r="X37" s="6">
        <f t="shared" si="10"/>
        <v>6655.8699999999953</v>
      </c>
      <c r="Y37" s="3"/>
      <c r="Z37" s="7">
        <f t="shared" si="11"/>
        <v>6.2557797305958202E-2</v>
      </c>
    </row>
    <row r="38" spans="1:26" s="69" customFormat="1" ht="15" hidden="1" customHeight="1" outlineLevel="2" x14ac:dyDescent="0.3">
      <c r="A38" s="21"/>
      <c r="B38" s="9" t="str">
        <f>CONCATENATE("          ","6002"," - ","STAFF SALARIES")</f>
        <v xml:space="preserve">          6002 - STAFF SALARIES</v>
      </c>
      <c r="C38" s="9"/>
      <c r="D38" s="6">
        <v>25577.84</v>
      </c>
      <c r="E38" s="3"/>
      <c r="F38" s="7">
        <f t="shared" si="4"/>
        <v>0.15978700929360495</v>
      </c>
      <c r="G38" s="3"/>
      <c r="H38" s="6">
        <v>25713.03</v>
      </c>
      <c r="I38" s="3"/>
      <c r="J38" s="7">
        <f t="shared" si="5"/>
        <v>0.85393007299560952</v>
      </c>
      <c r="K38" s="3"/>
      <c r="L38" s="6">
        <f t="shared" si="6"/>
        <v>-135.18999999999869</v>
      </c>
      <c r="M38" s="3"/>
      <c r="N38" s="7">
        <f t="shared" si="7"/>
        <v>-5.2576456372507904E-3</v>
      </c>
      <c r="O38" s="9"/>
      <c r="P38" s="6">
        <v>436929.85</v>
      </c>
      <c r="Q38" s="3"/>
      <c r="R38" s="7">
        <f t="shared" si="8"/>
        <v>3.7104623522418979E-2</v>
      </c>
      <c r="S38" s="3"/>
      <c r="T38" s="6">
        <v>342842.12</v>
      </c>
      <c r="U38" s="3"/>
      <c r="V38" s="7">
        <f t="shared" si="9"/>
        <v>0.33546326991495073</v>
      </c>
      <c r="W38" s="3"/>
      <c r="X38" s="6">
        <f t="shared" si="10"/>
        <v>94087.729999999981</v>
      </c>
      <c r="Y38" s="3"/>
      <c r="Z38" s="7">
        <f t="shared" si="11"/>
        <v>0.27443457064143689</v>
      </c>
    </row>
    <row r="39" spans="1:26" s="69" customFormat="1" ht="15" hidden="1" customHeight="1" outlineLevel="2" x14ac:dyDescent="0.3">
      <c r="A39" s="21"/>
      <c r="B39" s="9" t="str">
        <f>CONCATENATE("          ","6004"," - ","STAFF HOURLY")</f>
        <v xml:space="preserve">          6004 - STAFF HOURLY</v>
      </c>
      <c r="C39" s="9"/>
      <c r="D39" s="6">
        <v>58849.919999999998</v>
      </c>
      <c r="E39" s="3"/>
      <c r="F39" s="7">
        <f t="shared" si="4"/>
        <v>0.36764061054287256</v>
      </c>
      <c r="G39" s="3"/>
      <c r="H39" s="6">
        <v>38569.269999999997</v>
      </c>
      <c r="I39" s="3"/>
      <c r="J39" s="7">
        <f t="shared" si="5"/>
        <v>1.2808859767397063</v>
      </c>
      <c r="K39" s="3"/>
      <c r="L39" s="6">
        <f t="shared" si="6"/>
        <v>20280.650000000001</v>
      </c>
      <c r="M39" s="3"/>
      <c r="N39" s="7">
        <f t="shared" si="7"/>
        <v>0.52582405630181761</v>
      </c>
      <c r="O39" s="9"/>
      <c r="P39" s="6">
        <v>912140.52</v>
      </c>
      <c r="Q39" s="3"/>
      <c r="R39" s="7">
        <f t="shared" si="8"/>
        <v>7.7460101648224491E-2</v>
      </c>
      <c r="S39" s="3"/>
      <c r="T39" s="6">
        <v>543261.93999999994</v>
      </c>
      <c r="U39" s="3"/>
      <c r="V39" s="7">
        <f t="shared" si="9"/>
        <v>0.53156953647568084</v>
      </c>
      <c r="W39" s="3"/>
      <c r="X39" s="6">
        <f t="shared" si="10"/>
        <v>368878.58000000007</v>
      </c>
      <c r="Y39" s="3"/>
      <c r="Z39" s="7">
        <f t="shared" si="11"/>
        <v>0.67900685256913107</v>
      </c>
    </row>
    <row r="40" spans="1:26" s="69" customFormat="1" ht="15" hidden="1" customHeight="1" outlineLevel="2" x14ac:dyDescent="0.3">
      <c r="A40" s="21"/>
      <c r="B40" s="9" t="str">
        <f>CONCATENATE("          ","6005"," - ","TEMPORARY WAGES-HOURLY")</f>
        <v xml:space="preserve">          6005 - TEMPORARY WAGES-HOURLY</v>
      </c>
      <c r="C40" s="9"/>
      <c r="D40" s="6">
        <v>10082.799999999999</v>
      </c>
      <c r="E40" s="3"/>
      <c r="F40" s="7">
        <f t="shared" si="4"/>
        <v>6.2988135718479735E-2</v>
      </c>
      <c r="G40" s="3"/>
      <c r="H40" s="6">
        <v>4305.99</v>
      </c>
      <c r="I40" s="3"/>
      <c r="J40" s="7">
        <f t="shared" si="5"/>
        <v>0.14300198595880628</v>
      </c>
      <c r="K40" s="3"/>
      <c r="L40" s="6">
        <f t="shared" si="6"/>
        <v>5776.8099999999995</v>
      </c>
      <c r="M40" s="3"/>
      <c r="N40" s="7">
        <f t="shared" si="7"/>
        <v>1.3415753403979107</v>
      </c>
      <c r="O40" s="9"/>
      <c r="P40" s="6">
        <v>393423.89</v>
      </c>
      <c r="Q40" s="3"/>
      <c r="R40" s="7">
        <f t="shared" si="8"/>
        <v>3.3410043564603281E-2</v>
      </c>
      <c r="S40" s="3"/>
      <c r="T40" s="6">
        <v>110372.98</v>
      </c>
      <c r="U40" s="3"/>
      <c r="V40" s="7">
        <f t="shared" si="9"/>
        <v>0.10799746770046066</v>
      </c>
      <c r="W40" s="3"/>
      <c r="X40" s="6">
        <f t="shared" si="10"/>
        <v>283050.91000000003</v>
      </c>
      <c r="Y40" s="3"/>
      <c r="Z40" s="7">
        <f t="shared" si="11"/>
        <v>2.5644945891648487</v>
      </c>
    </row>
    <row r="41" spans="1:26" s="69" customFormat="1" ht="15" hidden="1" customHeight="1" outlineLevel="2" x14ac:dyDescent="0.3">
      <c r="A41" s="21"/>
      <c r="B41" s="9" t="str">
        <f>CONCATENATE("          ","6006"," - ","TEMPORARY PART TIME")</f>
        <v xml:space="preserve">          6006 - TEMPORARY PART TIME</v>
      </c>
      <c r="C41" s="9"/>
      <c r="D41" s="6">
        <v>463.45</v>
      </c>
      <c r="E41" s="3"/>
      <c r="F41" s="7">
        <f t="shared" si="4"/>
        <v>2.8952127879883997E-3</v>
      </c>
      <c r="G41" s="3"/>
      <c r="H41" s="6"/>
      <c r="I41" s="3"/>
      <c r="J41" s="7">
        <f t="shared" si="5"/>
        <v>0</v>
      </c>
      <c r="K41" s="3"/>
      <c r="L41" s="6">
        <f t="shared" si="6"/>
        <v>463.45</v>
      </c>
      <c r="M41" s="3"/>
      <c r="N41" s="7">
        <f t="shared" si="7"/>
        <v>0</v>
      </c>
      <c r="O41" s="9"/>
      <c r="P41" s="6">
        <v>9661.67</v>
      </c>
      <c r="Q41" s="3"/>
      <c r="R41" s="7">
        <f t="shared" si="8"/>
        <v>8.2048097182614045E-4</v>
      </c>
      <c r="S41" s="3"/>
      <c r="T41" s="6">
        <v>2427.2199999999998</v>
      </c>
      <c r="U41" s="3"/>
      <c r="V41" s="7">
        <f t="shared" si="9"/>
        <v>2.3749799412130768E-3</v>
      </c>
      <c r="W41" s="3"/>
      <c r="X41" s="6">
        <f t="shared" si="10"/>
        <v>7234.4500000000007</v>
      </c>
      <c r="Y41" s="3"/>
      <c r="Z41" s="7">
        <f t="shared" si="11"/>
        <v>2.9805497647514447</v>
      </c>
    </row>
    <row r="42" spans="1:26" s="69" customFormat="1" ht="15" hidden="1" customHeight="1" outlineLevel="2" x14ac:dyDescent="0.3">
      <c r="A42" s="21"/>
      <c r="B42" s="9" t="str">
        <f>CONCATENATE("          ","6007"," - ","STUDENT HOURLY")</f>
        <v xml:space="preserve">          6007 - STUDENT HOURLY</v>
      </c>
      <c r="C42" s="9"/>
      <c r="D42" s="6">
        <v>2175.87</v>
      </c>
      <c r="E42" s="3"/>
      <c r="F42" s="7">
        <f t="shared" si="4"/>
        <v>1.3592850682922255E-2</v>
      </c>
      <c r="G42" s="3"/>
      <c r="H42" s="6">
        <v>28</v>
      </c>
      <c r="I42" s="3"/>
      <c r="J42" s="7">
        <f t="shared" si="5"/>
        <v>9.2988037753143321E-4</v>
      </c>
      <c r="K42" s="3"/>
      <c r="L42" s="6">
        <f t="shared" si="6"/>
        <v>2147.87</v>
      </c>
      <c r="M42" s="3"/>
      <c r="N42" s="7">
        <f t="shared" si="7"/>
        <v>76.709642857142853</v>
      </c>
      <c r="O42" s="9"/>
      <c r="P42" s="6">
        <v>557063.43999999994</v>
      </c>
      <c r="Q42" s="3"/>
      <c r="R42" s="7">
        <f t="shared" si="8"/>
        <v>4.730651663946428E-2</v>
      </c>
      <c r="S42" s="3"/>
      <c r="T42" s="6">
        <v>117063.86</v>
      </c>
      <c r="U42" s="3"/>
      <c r="V42" s="7">
        <f t="shared" si="9"/>
        <v>0.11454434263930582</v>
      </c>
      <c r="W42" s="3"/>
      <c r="X42" s="6">
        <f t="shared" si="10"/>
        <v>439999.57999999996</v>
      </c>
      <c r="Y42" s="3"/>
      <c r="Z42" s="7">
        <f t="shared" si="11"/>
        <v>3.7586286664389843</v>
      </c>
    </row>
    <row r="43" spans="1:26" s="69" customFormat="1" ht="15" hidden="1" customHeight="1" outlineLevel="2" x14ac:dyDescent="0.3">
      <c r="A43" s="21"/>
      <c r="B43" s="9" t="str">
        <f>CONCATENATE("          ","6008"," - ","STUDENT HOURLY-FICA EXEMPT")</f>
        <v xml:space="preserve">          6008 - STUDENT HOURLY-FICA EXEMPT</v>
      </c>
      <c r="C43" s="9"/>
      <c r="D43" s="6">
        <v>1755.6</v>
      </c>
      <c r="E43" s="3"/>
      <c r="F43" s="7">
        <f t="shared" si="4"/>
        <v>1.0967387141207109E-2</v>
      </c>
      <c r="G43" s="3"/>
      <c r="H43" s="6"/>
      <c r="I43" s="3"/>
      <c r="J43" s="7">
        <f t="shared" si="5"/>
        <v>0</v>
      </c>
      <c r="K43" s="3"/>
      <c r="L43" s="6">
        <f t="shared" si="6"/>
        <v>1755.6</v>
      </c>
      <c r="M43" s="3"/>
      <c r="N43" s="7">
        <f t="shared" si="7"/>
        <v>0</v>
      </c>
      <c r="O43" s="9"/>
      <c r="P43" s="6">
        <v>242490.81</v>
      </c>
      <c r="Q43" s="3"/>
      <c r="R43" s="7">
        <f t="shared" si="8"/>
        <v>2.0592619645227791E-2</v>
      </c>
      <c r="S43" s="3"/>
      <c r="T43" s="6">
        <v>10630.88</v>
      </c>
      <c r="U43" s="3"/>
      <c r="V43" s="7">
        <f t="shared" si="9"/>
        <v>1.0402075937674901E-2</v>
      </c>
      <c r="W43" s="3"/>
      <c r="X43" s="6">
        <f t="shared" si="10"/>
        <v>231859.93</v>
      </c>
      <c r="Y43" s="3"/>
      <c r="Z43" s="7">
        <f t="shared" si="11"/>
        <v>21.810041125475973</v>
      </c>
    </row>
    <row r="44" spans="1:26" s="68" customFormat="1" ht="15" customHeight="1" outlineLevel="1" collapsed="1" x14ac:dyDescent="0.3">
      <c r="A44" s="20"/>
      <c r="B44" s="11" t="str">
        <f>CONCATENATE("     ","Advertising/Promo                                 ")</f>
        <v xml:space="preserve">     Advertising/Promo                                 </v>
      </c>
      <c r="C44" s="11"/>
      <c r="D44" s="2">
        <f>SUM(OSRRefD22_2x_0)</f>
        <v>388.12</v>
      </c>
      <c r="E44" s="2"/>
      <c r="F44" s="5">
        <f t="shared" si="4"/>
        <v>2.4246196726163721E-3</v>
      </c>
      <c r="G44" s="2"/>
      <c r="H44" s="2">
        <f>SUM(OSRRefH22_2x_0)</f>
        <v>36.89</v>
      </c>
      <c r="I44" s="2"/>
      <c r="J44" s="5">
        <f t="shared" si="5"/>
        <v>1.2251173973976633E-3</v>
      </c>
      <c r="K44" s="2"/>
      <c r="L44" s="2">
        <f t="shared" si="6"/>
        <v>351.23</v>
      </c>
      <c r="M44" s="2"/>
      <c r="N44" s="5">
        <f t="shared" si="7"/>
        <v>9.5210084033613445</v>
      </c>
      <c r="O44" s="11"/>
      <c r="P44" s="2">
        <f>SUM(OSRRefP22_2x_0)</f>
        <v>5579.53</v>
      </c>
      <c r="Q44" s="2"/>
      <c r="R44" s="5">
        <f t="shared" si="8"/>
        <v>4.7382059175412792E-4</v>
      </c>
      <c r="S44" s="2"/>
      <c r="T44" s="2">
        <f>SUM(OSRRefT22_2x_0)</f>
        <v>1604.82</v>
      </c>
      <c r="U44" s="2"/>
      <c r="V44" s="5">
        <f t="shared" si="9"/>
        <v>1.5702801185131839E-3</v>
      </c>
      <c r="W44" s="2"/>
      <c r="X44" s="2">
        <f t="shared" si="10"/>
        <v>3974.71</v>
      </c>
      <c r="Y44" s="2"/>
      <c r="Z44" s="5">
        <f t="shared" si="11"/>
        <v>2.4767325930633968</v>
      </c>
    </row>
    <row r="45" spans="1:26" s="69" customFormat="1" ht="15" hidden="1" customHeight="1" outlineLevel="2" x14ac:dyDescent="0.3">
      <c r="A45" s="21"/>
      <c r="B45" s="9" t="str">
        <f>CONCATENATE("          ","6362"," - ","ADVERTISING EXPENSE")</f>
        <v xml:space="preserve">          6362 - ADVERTISING EXPENSE</v>
      </c>
      <c r="C45" s="9"/>
      <c r="D45" s="6">
        <v>388.12</v>
      </c>
      <c r="E45" s="3"/>
      <c r="F45" s="7">
        <f t="shared" si="4"/>
        <v>2.4246196726163721E-3</v>
      </c>
      <c r="G45" s="3"/>
      <c r="H45" s="6">
        <v>36.89</v>
      </c>
      <c r="I45" s="3"/>
      <c r="J45" s="7">
        <f t="shared" si="5"/>
        <v>1.2251173973976633E-3</v>
      </c>
      <c r="K45" s="3"/>
      <c r="L45" s="6">
        <f t="shared" si="6"/>
        <v>351.23</v>
      </c>
      <c r="M45" s="3"/>
      <c r="N45" s="7">
        <f t="shared" si="7"/>
        <v>9.5210084033613445</v>
      </c>
      <c r="O45" s="9"/>
      <c r="P45" s="6">
        <v>5579.53</v>
      </c>
      <c r="Q45" s="3"/>
      <c r="R45" s="7">
        <f t="shared" si="8"/>
        <v>4.7382059175412792E-4</v>
      </c>
      <c r="S45" s="3"/>
      <c r="T45" s="6">
        <v>1604.82</v>
      </c>
      <c r="U45" s="3"/>
      <c r="V45" s="7">
        <f t="shared" si="9"/>
        <v>1.5702801185131839E-3</v>
      </c>
      <c r="W45" s="3"/>
      <c r="X45" s="6">
        <f t="shared" si="10"/>
        <v>3974.71</v>
      </c>
      <c r="Y45" s="3"/>
      <c r="Z45" s="7">
        <f t="shared" si="11"/>
        <v>2.4767325930633968</v>
      </c>
    </row>
    <row r="46" spans="1:26" s="68" customFormat="1" ht="15" customHeight="1" outlineLevel="1" collapsed="1" x14ac:dyDescent="0.3">
      <c r="A46" s="20"/>
      <c r="B46" s="11" t="str">
        <f>CONCATENATE("     ","Bad Debts/Over/Short                              ")</f>
        <v xml:space="preserve">     Bad Debts/Over/Short                              </v>
      </c>
      <c r="C46" s="11"/>
      <c r="D46" s="2">
        <f>SUM(OSRRefD22_3x_0)</f>
        <v>4.24</v>
      </c>
      <c r="E46" s="2"/>
      <c r="F46" s="5">
        <f t="shared" si="4"/>
        <v>2.6487651787832161E-5</v>
      </c>
      <c r="G46" s="2"/>
      <c r="H46" s="2">
        <f>SUM(OSRRefH22_3x_0)</f>
        <v>-0.02</v>
      </c>
      <c r="I46" s="2"/>
      <c r="J46" s="5">
        <f t="shared" si="5"/>
        <v>-6.6420026966530949E-7</v>
      </c>
      <c r="K46" s="2"/>
      <c r="L46" s="2">
        <f t="shared" si="6"/>
        <v>4.26</v>
      </c>
      <c r="M46" s="2"/>
      <c r="N46" s="5">
        <f t="shared" si="7"/>
        <v>-212.99999999999997</v>
      </c>
      <c r="O46" s="11"/>
      <c r="P46" s="2">
        <f>SUM(OSRRefP22_3x_0)</f>
        <v>-3.76</v>
      </c>
      <c r="Q46" s="2"/>
      <c r="R46" s="5">
        <f t="shared" si="8"/>
        <v>-3.1930385265345305E-7</v>
      </c>
      <c r="S46" s="2"/>
      <c r="T46" s="2">
        <f>SUM(OSRRefT22_3x_0)</f>
        <v>53.52</v>
      </c>
      <c r="U46" s="2"/>
      <c r="V46" s="5">
        <f t="shared" si="9"/>
        <v>5.2368111029788767E-5</v>
      </c>
      <c r="W46" s="2"/>
      <c r="X46" s="2">
        <f t="shared" si="10"/>
        <v>-57.28</v>
      </c>
      <c r="Y46" s="2"/>
      <c r="Z46" s="5">
        <f t="shared" si="11"/>
        <v>-1.0702541106128549</v>
      </c>
    </row>
    <row r="47" spans="1:26" s="69" customFormat="1" ht="15" hidden="1" customHeight="1" outlineLevel="2" x14ac:dyDescent="0.3">
      <c r="A47" s="21"/>
      <c r="B47" s="9" t="str">
        <f>CONCATENATE("          ","6272"," - ","CASH (OVER/SHORT)")</f>
        <v xml:space="preserve">          6272 - CASH (OVER/SHORT)</v>
      </c>
      <c r="C47" s="9"/>
      <c r="D47" s="6">
        <v>4.24</v>
      </c>
      <c r="E47" s="3"/>
      <c r="F47" s="7">
        <f t="shared" si="4"/>
        <v>2.6487651787832161E-5</v>
      </c>
      <c r="G47" s="3"/>
      <c r="H47" s="6">
        <v>-0.02</v>
      </c>
      <c r="I47" s="3"/>
      <c r="J47" s="7">
        <f t="shared" si="5"/>
        <v>-6.6420026966530949E-7</v>
      </c>
      <c r="K47" s="3"/>
      <c r="L47" s="6">
        <f t="shared" si="6"/>
        <v>4.26</v>
      </c>
      <c r="M47" s="3"/>
      <c r="N47" s="7">
        <f t="shared" si="7"/>
        <v>-212.99999999999997</v>
      </c>
      <c r="O47" s="9"/>
      <c r="P47" s="6">
        <v>-3.76</v>
      </c>
      <c r="Q47" s="3"/>
      <c r="R47" s="7">
        <f t="shared" si="8"/>
        <v>-3.1930385265345305E-7</v>
      </c>
      <c r="S47" s="3"/>
      <c r="T47" s="6">
        <v>53.52</v>
      </c>
      <c r="U47" s="3"/>
      <c r="V47" s="7">
        <f t="shared" si="9"/>
        <v>5.2368111029788767E-5</v>
      </c>
      <c r="W47" s="3"/>
      <c r="X47" s="6">
        <f t="shared" si="10"/>
        <v>-57.28</v>
      </c>
      <c r="Y47" s="3"/>
      <c r="Z47" s="7">
        <f t="shared" si="11"/>
        <v>-1.0702541106128549</v>
      </c>
    </row>
    <row r="48" spans="1:26" s="68" customFormat="1" ht="15" customHeight="1" outlineLevel="1" collapsed="1" x14ac:dyDescent="0.3">
      <c r="A48" s="20"/>
      <c r="B48" s="11" t="str">
        <f>CONCATENATE("     ","Bank/card Fees                                    ")</f>
        <v xml:space="preserve">     Bank/card Fees                                    </v>
      </c>
      <c r="C48" s="11"/>
      <c r="D48" s="2">
        <f>SUM(OSRRefD22_4x_0)</f>
        <v>162.91</v>
      </c>
      <c r="E48" s="2"/>
      <c r="F48" s="5">
        <f t="shared" si="4"/>
        <v>1.0177130548952211E-3</v>
      </c>
      <c r="G48" s="2"/>
      <c r="H48" s="2">
        <f>SUM(OSRRefH22_4x_0)</f>
        <v>0</v>
      </c>
      <c r="I48" s="2"/>
      <c r="J48" s="5">
        <f t="shared" si="5"/>
        <v>0</v>
      </c>
      <c r="K48" s="2"/>
      <c r="L48" s="2">
        <f t="shared" si="6"/>
        <v>162.91</v>
      </c>
      <c r="M48" s="2"/>
      <c r="N48" s="5">
        <f t="shared" si="7"/>
        <v>0</v>
      </c>
      <c r="O48" s="11"/>
      <c r="P48" s="2">
        <f>SUM(OSRRefP22_4x_0)</f>
        <v>1977.06</v>
      </c>
      <c r="Q48" s="2"/>
      <c r="R48" s="5">
        <f t="shared" si="8"/>
        <v>1.6789438162953085E-4</v>
      </c>
      <c r="S48" s="2"/>
      <c r="T48" s="2">
        <f>SUM(OSRRefT22_4x_0)</f>
        <v>423.53</v>
      </c>
      <c r="U48" s="2"/>
      <c r="V48" s="5">
        <f t="shared" si="9"/>
        <v>4.1441453782597971E-4</v>
      </c>
      <c r="W48" s="2"/>
      <c r="X48" s="2">
        <f t="shared" si="10"/>
        <v>1553.53</v>
      </c>
      <c r="Y48" s="2"/>
      <c r="Z48" s="5">
        <f t="shared" si="11"/>
        <v>3.6680518499279864</v>
      </c>
    </row>
    <row r="49" spans="1:26" s="69" customFormat="1" ht="15" hidden="1" customHeight="1" outlineLevel="2" x14ac:dyDescent="0.3">
      <c r="A49" s="21"/>
      <c r="B49" s="9" t="str">
        <f>CONCATENATE("          ","6381"," - ","BANK/CREDIT CARD FEES")</f>
        <v xml:space="preserve">          6381 - BANK/CREDIT CARD FEES</v>
      </c>
      <c r="C49" s="9"/>
      <c r="D49" s="6">
        <v>162.91</v>
      </c>
      <c r="E49" s="3"/>
      <c r="F49" s="7">
        <f t="shared" si="4"/>
        <v>1.0177130548952211E-3</v>
      </c>
      <c r="G49" s="3"/>
      <c r="H49" s="6"/>
      <c r="I49" s="3"/>
      <c r="J49" s="7">
        <f t="shared" si="5"/>
        <v>0</v>
      </c>
      <c r="K49" s="3"/>
      <c r="L49" s="6">
        <f t="shared" si="6"/>
        <v>162.91</v>
      </c>
      <c r="M49" s="3"/>
      <c r="N49" s="7">
        <f t="shared" si="7"/>
        <v>0</v>
      </c>
      <c r="O49" s="9"/>
      <c r="P49" s="6">
        <v>1977.06</v>
      </c>
      <c r="Q49" s="3"/>
      <c r="R49" s="7">
        <f t="shared" si="8"/>
        <v>1.6789438162953085E-4</v>
      </c>
      <c r="S49" s="3"/>
      <c r="T49" s="6">
        <v>423.53</v>
      </c>
      <c r="U49" s="3"/>
      <c r="V49" s="7">
        <f t="shared" si="9"/>
        <v>4.1441453782597971E-4</v>
      </c>
      <c r="W49" s="3"/>
      <c r="X49" s="6">
        <f t="shared" si="10"/>
        <v>1553.53</v>
      </c>
      <c r="Y49" s="3"/>
      <c r="Z49" s="7">
        <f t="shared" si="11"/>
        <v>3.6680518499279864</v>
      </c>
    </row>
    <row r="50" spans="1:26" s="68" customFormat="1" ht="15" customHeight="1" outlineLevel="1" collapsed="1" x14ac:dyDescent="0.3">
      <c r="A50" s="20"/>
      <c r="B50" s="11" t="str">
        <f>CONCATENATE("     ","Depreciation                                      ")</f>
        <v xml:space="preserve">     Depreciation                                      </v>
      </c>
      <c r="C50" s="11"/>
      <c r="D50" s="2">
        <f>SUM(OSRRefD22_5x_0)</f>
        <v>760.05</v>
      </c>
      <c r="E50" s="2"/>
      <c r="F50" s="5">
        <f t="shared" si="4"/>
        <v>4.7480989955994892E-3</v>
      </c>
      <c r="G50" s="2"/>
      <c r="H50" s="2">
        <f>SUM(OSRRefH22_5x_0)</f>
        <v>758.41</v>
      </c>
      <c r="I50" s="2"/>
      <c r="J50" s="5">
        <f t="shared" si="5"/>
        <v>2.5186806325843365E-2</v>
      </c>
      <c r="K50" s="2"/>
      <c r="L50" s="2">
        <f t="shared" si="6"/>
        <v>1.6399999999999864</v>
      </c>
      <c r="M50" s="2"/>
      <c r="N50" s="5">
        <f t="shared" si="7"/>
        <v>2.1624187444785623E-3</v>
      </c>
      <c r="O50" s="11"/>
      <c r="P50" s="2">
        <f>SUM(OSRRefP22_5x_0)</f>
        <v>9120.49</v>
      </c>
      <c r="Q50" s="2"/>
      <c r="R50" s="5">
        <f t="shared" si="8"/>
        <v>7.7452329656576917E-4</v>
      </c>
      <c r="S50" s="2"/>
      <c r="T50" s="2">
        <f>SUM(OSRRefT22_5x_0)</f>
        <v>8573.4699999999993</v>
      </c>
      <c r="U50" s="2"/>
      <c r="V50" s="5">
        <f t="shared" si="9"/>
        <v>8.3889467277758426E-3</v>
      </c>
      <c r="W50" s="2"/>
      <c r="X50" s="2">
        <f t="shared" si="10"/>
        <v>547.02000000000044</v>
      </c>
      <c r="Y50" s="2"/>
      <c r="Z50" s="5">
        <f t="shared" si="11"/>
        <v>6.3803804060666269E-2</v>
      </c>
    </row>
    <row r="51" spans="1:26" s="69" customFormat="1" ht="15" hidden="1" customHeight="1" outlineLevel="2" x14ac:dyDescent="0.3">
      <c r="A51" s="21"/>
      <c r="B51" s="9" t="str">
        <f>CONCATENATE("          ","6322"," - ","EQUIPMENT DEPRECIATION EXPENSE")</f>
        <v xml:space="preserve">          6322 - EQUIPMENT DEPRECIATION EXPENSE</v>
      </c>
      <c r="C51" s="9"/>
      <c r="D51" s="6">
        <v>760.05</v>
      </c>
      <c r="E51" s="3"/>
      <c r="F51" s="7">
        <f t="shared" si="4"/>
        <v>4.7480989955994892E-3</v>
      </c>
      <c r="G51" s="3"/>
      <c r="H51" s="6">
        <v>758.41</v>
      </c>
      <c r="I51" s="3"/>
      <c r="J51" s="7">
        <f t="shared" si="5"/>
        <v>2.5186806325843365E-2</v>
      </c>
      <c r="K51" s="3"/>
      <c r="L51" s="6">
        <f t="shared" si="6"/>
        <v>1.6399999999999864</v>
      </c>
      <c r="M51" s="3"/>
      <c r="N51" s="7">
        <f t="shared" si="7"/>
        <v>2.1624187444785623E-3</v>
      </c>
      <c r="O51" s="9"/>
      <c r="P51" s="6">
        <v>9120.49</v>
      </c>
      <c r="Q51" s="3"/>
      <c r="R51" s="7">
        <f t="shared" si="8"/>
        <v>7.7452329656576917E-4</v>
      </c>
      <c r="S51" s="3"/>
      <c r="T51" s="6">
        <v>8573.4699999999993</v>
      </c>
      <c r="U51" s="3"/>
      <c r="V51" s="7">
        <f t="shared" si="9"/>
        <v>8.3889467277758426E-3</v>
      </c>
      <c r="W51" s="3"/>
      <c r="X51" s="6">
        <f t="shared" si="10"/>
        <v>547.02000000000044</v>
      </c>
      <c r="Y51" s="3"/>
      <c r="Z51" s="7">
        <f t="shared" si="11"/>
        <v>6.3803804060666269E-2</v>
      </c>
    </row>
    <row r="52" spans="1:26" s="68" customFormat="1" ht="15" customHeight="1" outlineLevel="1" collapsed="1" x14ac:dyDescent="0.3">
      <c r="A52" s="20"/>
      <c r="B52" s="11" t="str">
        <f>CONCATENATE("     ","Donations                                         ")</f>
        <v xml:space="preserve">     Donations                                         </v>
      </c>
      <c r="C52" s="11"/>
      <c r="D52" s="2">
        <f>SUM(OSRRefD22_6x_0)</f>
        <v>337.65</v>
      </c>
      <c r="E52" s="2"/>
      <c r="F52" s="5">
        <f t="shared" si="4"/>
        <v>2.1093291571135679E-3</v>
      </c>
      <c r="G52" s="2"/>
      <c r="H52" s="2">
        <f>SUM(OSRRefH22_6x_0)</f>
        <v>0</v>
      </c>
      <c r="I52" s="2"/>
      <c r="J52" s="5">
        <f t="shared" si="5"/>
        <v>0</v>
      </c>
      <c r="K52" s="2"/>
      <c r="L52" s="2">
        <f t="shared" si="6"/>
        <v>337.65</v>
      </c>
      <c r="M52" s="2"/>
      <c r="N52" s="5">
        <f t="shared" si="7"/>
        <v>0</v>
      </c>
      <c r="O52" s="11"/>
      <c r="P52" s="2">
        <f>SUM(OSRRefP22_6x_0)</f>
        <v>70891.38</v>
      </c>
      <c r="Q52" s="2"/>
      <c r="R52" s="5">
        <f t="shared" si="8"/>
        <v>6.0201837111489237E-3</v>
      </c>
      <c r="S52" s="2"/>
      <c r="T52" s="2">
        <f>SUM(OSRRefT22_6x_0)</f>
        <v>61909.05</v>
      </c>
      <c r="U52" s="2"/>
      <c r="V52" s="5">
        <f t="shared" si="9"/>
        <v>6.0576606953451878E-2</v>
      </c>
      <c r="W52" s="2"/>
      <c r="X52" s="2">
        <f t="shared" si="10"/>
        <v>8982.3300000000017</v>
      </c>
      <c r="Y52" s="2"/>
      <c r="Z52" s="5">
        <f t="shared" si="11"/>
        <v>0.1450891267108767</v>
      </c>
    </row>
    <row r="53" spans="1:26" s="69" customFormat="1" ht="15" hidden="1" customHeight="1" outlineLevel="2" x14ac:dyDescent="0.3">
      <c r="A53" s="21"/>
      <c r="B53" s="9" t="str">
        <f>CONCATENATE("          ","6399"," - ","DONATION-ON CAMPUS")</f>
        <v xml:space="preserve">          6399 - DONATION-ON CAMPUS</v>
      </c>
      <c r="C53" s="9"/>
      <c r="D53" s="6">
        <v>337.65</v>
      </c>
      <c r="E53" s="3"/>
      <c r="F53" s="7">
        <f t="shared" si="4"/>
        <v>2.1093291571135679E-3</v>
      </c>
      <c r="G53" s="3"/>
      <c r="H53" s="6"/>
      <c r="I53" s="3"/>
      <c r="J53" s="7">
        <f t="shared" si="5"/>
        <v>0</v>
      </c>
      <c r="K53" s="3"/>
      <c r="L53" s="6">
        <f t="shared" si="6"/>
        <v>337.65</v>
      </c>
      <c r="M53" s="3"/>
      <c r="N53" s="7">
        <f t="shared" si="7"/>
        <v>0</v>
      </c>
      <c r="O53" s="9"/>
      <c r="P53" s="6">
        <v>70891.38</v>
      </c>
      <c r="Q53" s="3"/>
      <c r="R53" s="7">
        <f t="shared" si="8"/>
        <v>6.0201837111489237E-3</v>
      </c>
      <c r="S53" s="3"/>
      <c r="T53" s="6">
        <v>61909.05</v>
      </c>
      <c r="U53" s="3"/>
      <c r="V53" s="7">
        <f t="shared" si="9"/>
        <v>6.0576606953451878E-2</v>
      </c>
      <c r="W53" s="3"/>
      <c r="X53" s="6">
        <f t="shared" si="10"/>
        <v>8982.3300000000017</v>
      </c>
      <c r="Y53" s="3"/>
      <c r="Z53" s="7">
        <f t="shared" si="11"/>
        <v>0.1450891267108767</v>
      </c>
    </row>
    <row r="54" spans="1:26" s="68" customFormat="1" ht="15" customHeight="1" outlineLevel="1" collapsed="1" x14ac:dyDescent="0.3">
      <c r="A54" s="20"/>
      <c r="B54" s="11" t="str">
        <f>CONCATENATE("     ","Employees' Appreciation                           ")</f>
        <v xml:space="preserve">     Employees' Appreciation                           </v>
      </c>
      <c r="C54" s="11"/>
      <c r="D54" s="2">
        <f>SUM(OSRRefD22_7x_0)</f>
        <v>0</v>
      </c>
      <c r="E54" s="2"/>
      <c r="F54" s="5">
        <f t="shared" si="4"/>
        <v>0</v>
      </c>
      <c r="G54" s="2"/>
      <c r="H54" s="2">
        <f>SUM(OSRRefH22_7x_0)</f>
        <v>25</v>
      </c>
      <c r="I54" s="2"/>
      <c r="J54" s="5">
        <f t="shared" si="5"/>
        <v>8.3025033708163684E-4</v>
      </c>
      <c r="K54" s="2"/>
      <c r="L54" s="2">
        <f t="shared" si="6"/>
        <v>-25</v>
      </c>
      <c r="M54" s="2"/>
      <c r="N54" s="5">
        <f t="shared" si="7"/>
        <v>-1</v>
      </c>
      <c r="O54" s="11"/>
      <c r="P54" s="2">
        <f>SUM(OSRRefP22_7x_0)</f>
        <v>325.70999999999998</v>
      </c>
      <c r="Q54" s="2"/>
      <c r="R54" s="5">
        <f t="shared" si="8"/>
        <v>2.7659696236105373E-5</v>
      </c>
      <c r="S54" s="2"/>
      <c r="T54" s="2">
        <f>SUM(OSRRefT22_7x_0)</f>
        <v>25</v>
      </c>
      <c r="U54" s="2"/>
      <c r="V54" s="5">
        <f t="shared" si="9"/>
        <v>2.4461935271762315E-5</v>
      </c>
      <c r="W54" s="2"/>
      <c r="X54" s="2">
        <f t="shared" si="10"/>
        <v>300.70999999999998</v>
      </c>
      <c r="Y54" s="2"/>
      <c r="Z54" s="5">
        <f t="shared" si="11"/>
        <v>12.0284</v>
      </c>
    </row>
    <row r="55" spans="1:26" s="69" customFormat="1" ht="15" hidden="1" customHeight="1" outlineLevel="2" x14ac:dyDescent="0.3">
      <c r="A55" s="21"/>
      <c r="B55" s="9" t="str">
        <f>CONCATENATE("          ","6277"," - ","EMPLOYEE APPRECIATION")</f>
        <v xml:space="preserve">          6277 - EMPLOYEE APPRECIATION</v>
      </c>
      <c r="C55" s="9"/>
      <c r="D55" s="6"/>
      <c r="E55" s="3"/>
      <c r="F55" s="7">
        <f t="shared" si="4"/>
        <v>0</v>
      </c>
      <c r="G55" s="3"/>
      <c r="H55" s="6">
        <v>25</v>
      </c>
      <c r="I55" s="3"/>
      <c r="J55" s="7">
        <f t="shared" si="5"/>
        <v>8.3025033708163684E-4</v>
      </c>
      <c r="K55" s="3"/>
      <c r="L55" s="6">
        <f t="shared" si="6"/>
        <v>-25</v>
      </c>
      <c r="M55" s="3"/>
      <c r="N55" s="7">
        <f t="shared" si="7"/>
        <v>-1</v>
      </c>
      <c r="O55" s="9"/>
      <c r="P55" s="6">
        <v>325.70999999999998</v>
      </c>
      <c r="Q55" s="3"/>
      <c r="R55" s="7">
        <f t="shared" si="8"/>
        <v>2.7659696236105373E-5</v>
      </c>
      <c r="S55" s="3"/>
      <c r="T55" s="6">
        <v>25</v>
      </c>
      <c r="U55" s="3"/>
      <c r="V55" s="7">
        <f t="shared" si="9"/>
        <v>2.4461935271762315E-5</v>
      </c>
      <c r="W55" s="3"/>
      <c r="X55" s="6">
        <f t="shared" si="10"/>
        <v>300.70999999999998</v>
      </c>
      <c r="Y55" s="3"/>
      <c r="Z55" s="7">
        <f t="shared" si="11"/>
        <v>12.0284</v>
      </c>
    </row>
    <row r="56" spans="1:26" s="68" customFormat="1" ht="15" customHeight="1" outlineLevel="1" collapsed="1" x14ac:dyDescent="0.3">
      <c r="A56" s="20"/>
      <c r="B56" s="11" t="str">
        <f>CONCATENATE("     ","Equipment Rental                                  ")</f>
        <v xml:space="preserve">     Equipment Rental                                  </v>
      </c>
      <c r="C56" s="11"/>
      <c r="D56" s="2">
        <f>SUM(OSRRefD22_8x_0)</f>
        <v>234.52</v>
      </c>
      <c r="E56" s="2"/>
      <c r="F56" s="5">
        <f t="shared" si="4"/>
        <v>1.4650670040760375E-3</v>
      </c>
      <c r="G56" s="2"/>
      <c r="H56" s="2">
        <f>SUM(OSRRefH22_8x_0)</f>
        <v>805.87</v>
      </c>
      <c r="I56" s="2"/>
      <c r="J56" s="5">
        <f t="shared" si="5"/>
        <v>2.6762953565759147E-2</v>
      </c>
      <c r="K56" s="2"/>
      <c r="L56" s="2">
        <f t="shared" si="6"/>
        <v>-571.35</v>
      </c>
      <c r="M56" s="2"/>
      <c r="N56" s="5">
        <f t="shared" si="7"/>
        <v>-0.70898532021293759</v>
      </c>
      <c r="O56" s="11"/>
      <c r="P56" s="2">
        <f>SUM(OSRRefP22_8x_0)</f>
        <v>11479.53</v>
      </c>
      <c r="Q56" s="2"/>
      <c r="R56" s="5">
        <f t="shared" si="8"/>
        <v>9.7485589246034429E-4</v>
      </c>
      <c r="S56" s="2"/>
      <c r="T56" s="2">
        <f>SUM(OSRRefT22_8x_0)</f>
        <v>7091.37</v>
      </c>
      <c r="U56" s="2"/>
      <c r="V56" s="5">
        <f t="shared" si="9"/>
        <v>6.9387453571246854E-3</v>
      </c>
      <c r="W56" s="2"/>
      <c r="X56" s="2">
        <f t="shared" si="10"/>
        <v>4388.1600000000008</v>
      </c>
      <c r="Y56" s="2"/>
      <c r="Z56" s="5">
        <f t="shared" si="11"/>
        <v>0.61880285473751906</v>
      </c>
    </row>
    <row r="57" spans="1:26" s="69" customFormat="1" ht="15" hidden="1" customHeight="1" outlineLevel="2" x14ac:dyDescent="0.3">
      <c r="A57" s="21"/>
      <c r="B57" s="9" t="str">
        <f>CONCATENATE("          ","6351"," - ","EQUIPMENT RENTAL")</f>
        <v xml:space="preserve">          6351 - EQUIPMENT RENTAL</v>
      </c>
      <c r="C57" s="9"/>
      <c r="D57" s="6">
        <v>234.52</v>
      </c>
      <c r="E57" s="3"/>
      <c r="F57" s="7">
        <f t="shared" ref="F57:F91" si="12">IF(D$12=0,0,D57/D$12)</f>
        <v>1.4650670040760375E-3</v>
      </c>
      <c r="G57" s="3"/>
      <c r="H57" s="6">
        <v>805.87</v>
      </c>
      <c r="I57" s="3"/>
      <c r="J57" s="7">
        <f t="shared" ref="J57:J91" si="13">IF(H$12=0,0,H57/H$12)</f>
        <v>2.6762953565759147E-2</v>
      </c>
      <c r="K57" s="3"/>
      <c r="L57" s="6">
        <f t="shared" ref="L57:L91" si="14">+D57-H57</f>
        <v>-571.35</v>
      </c>
      <c r="M57" s="3"/>
      <c r="N57" s="7">
        <f t="shared" ref="N57:N91" si="15">IF(H57=0,0,L57/H57)</f>
        <v>-0.70898532021293759</v>
      </c>
      <c r="O57" s="9"/>
      <c r="P57" s="6">
        <v>11479.53</v>
      </c>
      <c r="Q57" s="3"/>
      <c r="R57" s="7">
        <f t="shared" ref="R57:R91" si="16">IF(P$12=0,0,P57/P$12)</f>
        <v>9.7485589246034429E-4</v>
      </c>
      <c r="S57" s="3"/>
      <c r="T57" s="6">
        <v>7091.37</v>
      </c>
      <c r="U57" s="3"/>
      <c r="V57" s="7">
        <f t="shared" ref="V57:V91" si="17">IF(T$12=0,0,T57/T$12)</f>
        <v>6.9387453571246854E-3</v>
      </c>
      <c r="W57" s="3"/>
      <c r="X57" s="6">
        <f t="shared" ref="X57:X91" si="18">+P57-T57</f>
        <v>4388.1600000000008</v>
      </c>
      <c r="Y57" s="3"/>
      <c r="Z57" s="7">
        <f t="shared" ref="Z57:Z91" si="19">IF(T57=0,0,X57/T57)</f>
        <v>0.61880285473751906</v>
      </c>
    </row>
    <row r="58" spans="1:26" s="68" customFormat="1" ht="15" customHeight="1" outlineLevel="1" collapsed="1" x14ac:dyDescent="0.3">
      <c r="A58" s="20"/>
      <c r="B58" s="11" t="str">
        <f>CONCATENATE("     ","General                                           ")</f>
        <v xml:space="preserve">     General                                           </v>
      </c>
      <c r="C58" s="11"/>
      <c r="D58" s="2">
        <f>SUM(OSRRefD22_9x_0)</f>
        <v>141.56</v>
      </c>
      <c r="E58" s="2"/>
      <c r="F58" s="5">
        <f t="shared" si="12"/>
        <v>8.843377328031888E-4</v>
      </c>
      <c r="G58" s="2"/>
      <c r="H58" s="2">
        <f>SUM(OSRRefH22_9x_0)</f>
        <v>2520</v>
      </c>
      <c r="I58" s="2"/>
      <c r="J58" s="5">
        <f t="shared" si="13"/>
        <v>8.3689233977828986E-2</v>
      </c>
      <c r="K58" s="2"/>
      <c r="L58" s="2">
        <f t="shared" si="14"/>
        <v>-2378.44</v>
      </c>
      <c r="M58" s="2"/>
      <c r="N58" s="5">
        <f t="shared" si="15"/>
        <v>-0.9438253968253969</v>
      </c>
      <c r="O58" s="11"/>
      <c r="P58" s="2">
        <f>SUM(OSRRefP22_9x_0)</f>
        <v>19688.47</v>
      </c>
      <c r="Q58" s="2"/>
      <c r="R58" s="5">
        <f t="shared" si="16"/>
        <v>1.6719692350670031E-3</v>
      </c>
      <c r="S58" s="2"/>
      <c r="T58" s="2">
        <f>SUM(OSRRefT22_9x_0)</f>
        <v>10436.93</v>
      </c>
      <c r="U58" s="2"/>
      <c r="V58" s="5">
        <f t="shared" si="17"/>
        <v>1.0212300243836571E-2</v>
      </c>
      <c r="W58" s="2"/>
      <c r="X58" s="2">
        <f t="shared" si="18"/>
        <v>9251.5400000000009</v>
      </c>
      <c r="Y58" s="2"/>
      <c r="Z58" s="5">
        <f t="shared" si="19"/>
        <v>0.88642349809762067</v>
      </c>
    </row>
    <row r="59" spans="1:26" s="69" customFormat="1" ht="15" hidden="1" customHeight="1" outlineLevel="2" x14ac:dyDescent="0.3">
      <c r="A59" s="21"/>
      <c r="B59" s="9" t="str">
        <f>CONCATENATE("          ","6279"," - ","GENERAL EXPENSE")</f>
        <v xml:space="preserve">          6279 - GENERAL EXPENSE</v>
      </c>
      <c r="C59" s="9"/>
      <c r="D59" s="6">
        <v>141.56</v>
      </c>
      <c r="E59" s="3"/>
      <c r="F59" s="7">
        <f t="shared" si="12"/>
        <v>8.843377328031888E-4</v>
      </c>
      <c r="G59" s="3"/>
      <c r="H59" s="6">
        <v>2520</v>
      </c>
      <c r="I59" s="3"/>
      <c r="J59" s="7">
        <f t="shared" si="13"/>
        <v>8.3689233977828986E-2</v>
      </c>
      <c r="K59" s="3"/>
      <c r="L59" s="6">
        <f t="shared" si="14"/>
        <v>-2378.44</v>
      </c>
      <c r="M59" s="3"/>
      <c r="N59" s="7">
        <f t="shared" si="15"/>
        <v>-0.9438253968253969</v>
      </c>
      <c r="O59" s="9"/>
      <c r="P59" s="6">
        <v>19688.47</v>
      </c>
      <c r="Q59" s="3"/>
      <c r="R59" s="7">
        <f t="shared" si="16"/>
        <v>1.6719692350670031E-3</v>
      </c>
      <c r="S59" s="3"/>
      <c r="T59" s="6">
        <v>10436.93</v>
      </c>
      <c r="U59" s="3"/>
      <c r="V59" s="7">
        <f t="shared" si="17"/>
        <v>1.0212300243836571E-2</v>
      </c>
      <c r="W59" s="3"/>
      <c r="X59" s="6">
        <f t="shared" si="18"/>
        <v>9251.5400000000009</v>
      </c>
      <c r="Y59" s="3"/>
      <c r="Z59" s="7">
        <f t="shared" si="19"/>
        <v>0.88642349809762067</v>
      </c>
    </row>
    <row r="60" spans="1:26" s="68" customFormat="1" ht="15" customHeight="1" outlineLevel="1" collapsed="1" x14ac:dyDescent="0.3">
      <c r="A60" s="20"/>
      <c r="B60" s="11" t="str">
        <f>CONCATENATE("     ","Insurance                                         ")</f>
        <v xml:space="preserve">     Insurance                                         </v>
      </c>
      <c r="C60" s="11"/>
      <c r="D60" s="2">
        <f>SUM(OSRRefD22_10x_0)</f>
        <v>5.32</v>
      </c>
      <c r="E60" s="2"/>
      <c r="F60" s="5">
        <f t="shared" si="12"/>
        <v>3.3234506488506389E-5</v>
      </c>
      <c r="G60" s="2"/>
      <c r="H60" s="2">
        <f>SUM(OSRRefH22_10x_0)</f>
        <v>-7.01</v>
      </c>
      <c r="I60" s="2"/>
      <c r="J60" s="5">
        <f t="shared" si="13"/>
        <v>-2.3280219451769096E-4</v>
      </c>
      <c r="K60" s="2"/>
      <c r="L60" s="2">
        <f t="shared" si="14"/>
        <v>12.33</v>
      </c>
      <c r="M60" s="2"/>
      <c r="N60" s="5">
        <f t="shared" si="15"/>
        <v>-1.7589158345221114</v>
      </c>
      <c r="O60" s="11"/>
      <c r="P60" s="2">
        <f>SUM(OSRRefP22_10x_0)</f>
        <v>62.64</v>
      </c>
      <c r="Q60" s="2"/>
      <c r="R60" s="5">
        <f t="shared" si="16"/>
        <v>5.3194663112266761E-6</v>
      </c>
      <c r="S60" s="2"/>
      <c r="T60" s="2">
        <f>SUM(OSRRefT22_10x_0)</f>
        <v>57.89</v>
      </c>
      <c r="U60" s="2"/>
      <c r="V60" s="5">
        <f t="shared" si="17"/>
        <v>5.664405731529282E-5</v>
      </c>
      <c r="W60" s="2"/>
      <c r="X60" s="2">
        <f t="shared" si="18"/>
        <v>4.75</v>
      </c>
      <c r="Y60" s="2"/>
      <c r="Z60" s="5">
        <f t="shared" si="19"/>
        <v>8.2052167904646742E-2</v>
      </c>
    </row>
    <row r="61" spans="1:26" s="69" customFormat="1" ht="15" hidden="1" customHeight="1" outlineLevel="2" x14ac:dyDescent="0.3">
      <c r="A61" s="21"/>
      <c r="B61" s="9" t="str">
        <f>CONCATENATE("          ","6314"," - ","LIABILITY INSURANCE")</f>
        <v xml:space="preserve">          6314 - LIABILITY INSURANCE</v>
      </c>
      <c r="C61" s="9"/>
      <c r="D61" s="6">
        <v>5.32</v>
      </c>
      <c r="E61" s="3"/>
      <c r="F61" s="7">
        <f t="shared" si="12"/>
        <v>3.3234506488506389E-5</v>
      </c>
      <c r="G61" s="3"/>
      <c r="H61" s="6">
        <v>-7.01</v>
      </c>
      <c r="I61" s="3"/>
      <c r="J61" s="7">
        <f t="shared" si="13"/>
        <v>-2.3280219451769096E-4</v>
      </c>
      <c r="K61" s="3"/>
      <c r="L61" s="6">
        <f t="shared" si="14"/>
        <v>12.33</v>
      </c>
      <c r="M61" s="3"/>
      <c r="N61" s="7">
        <f t="shared" si="15"/>
        <v>-1.7589158345221114</v>
      </c>
      <c r="O61" s="9"/>
      <c r="P61" s="6">
        <v>62.64</v>
      </c>
      <c r="Q61" s="3"/>
      <c r="R61" s="7">
        <f t="shared" si="16"/>
        <v>5.3194663112266761E-6</v>
      </c>
      <c r="S61" s="3"/>
      <c r="T61" s="6">
        <v>57.89</v>
      </c>
      <c r="U61" s="3"/>
      <c r="V61" s="7">
        <f t="shared" si="17"/>
        <v>5.664405731529282E-5</v>
      </c>
      <c r="W61" s="3"/>
      <c r="X61" s="6">
        <f t="shared" si="18"/>
        <v>4.75</v>
      </c>
      <c r="Y61" s="3"/>
      <c r="Z61" s="7">
        <f t="shared" si="19"/>
        <v>8.2052167904646742E-2</v>
      </c>
    </row>
    <row r="62" spans="1:26" s="68" customFormat="1" ht="15" customHeight="1" outlineLevel="1" collapsed="1" x14ac:dyDescent="0.3">
      <c r="A62" s="20"/>
      <c r="B62" s="11" t="str">
        <f>CONCATENATE("     ","R/H Commissions                                   ")</f>
        <v xml:space="preserve">     R/H Commissions                                   </v>
      </c>
      <c r="C62" s="11"/>
      <c r="D62" s="2">
        <f>SUM(OSRRefD22_11x_0)</f>
        <v>12924.29</v>
      </c>
      <c r="E62" s="2"/>
      <c r="F62" s="5">
        <f t="shared" si="12"/>
        <v>8.0739172906830498E-2</v>
      </c>
      <c r="G62" s="2"/>
      <c r="H62" s="2">
        <f>SUM(OSRRefH22_11x_0)</f>
        <v>2207.92</v>
      </c>
      <c r="I62" s="2"/>
      <c r="J62" s="5">
        <f t="shared" si="13"/>
        <v>7.3325052969971508E-2</v>
      </c>
      <c r="K62" s="2"/>
      <c r="L62" s="2">
        <f t="shared" si="14"/>
        <v>10716.37</v>
      </c>
      <c r="M62" s="2"/>
      <c r="N62" s="5">
        <f t="shared" si="15"/>
        <v>4.8536042972571476</v>
      </c>
      <c r="O62" s="11"/>
      <c r="P62" s="2">
        <f>SUM(OSRRefP22_11x_0)</f>
        <v>925163.37</v>
      </c>
      <c r="Q62" s="2"/>
      <c r="R62" s="5">
        <f t="shared" si="16"/>
        <v>7.8566018184801092E-2</v>
      </c>
      <c r="S62" s="2"/>
      <c r="T62" s="2">
        <f>SUM(OSRRefT22_11x_0)</f>
        <v>71608.39</v>
      </c>
      <c r="U62" s="2"/>
      <c r="V62" s="5">
        <f t="shared" si="17"/>
        <v>7.0067192043804474E-2</v>
      </c>
      <c r="W62" s="2"/>
      <c r="X62" s="2">
        <f t="shared" si="18"/>
        <v>853554.98</v>
      </c>
      <c r="Y62" s="2"/>
      <c r="Z62" s="5">
        <f t="shared" si="19"/>
        <v>11.919762195463408</v>
      </c>
    </row>
    <row r="63" spans="1:26" s="69" customFormat="1" ht="15" hidden="1" customHeight="1" outlineLevel="2" x14ac:dyDescent="0.3">
      <c r="A63" s="21"/>
      <c r="B63" s="9" t="str">
        <f>CONCATENATE("          ","6387"," - ","COMMISSION DUE HOUSING")</f>
        <v xml:space="preserve">          6387 - COMMISSION DUE HOUSING</v>
      </c>
      <c r="C63" s="9"/>
      <c r="D63" s="6">
        <v>12924.29</v>
      </c>
      <c r="E63" s="3"/>
      <c r="F63" s="7">
        <f t="shared" si="12"/>
        <v>8.0739172906830498E-2</v>
      </c>
      <c r="G63" s="3"/>
      <c r="H63" s="6">
        <v>2207.92</v>
      </c>
      <c r="I63" s="3"/>
      <c r="J63" s="7">
        <f t="shared" si="13"/>
        <v>7.3325052969971508E-2</v>
      </c>
      <c r="K63" s="3"/>
      <c r="L63" s="6">
        <f t="shared" si="14"/>
        <v>10716.37</v>
      </c>
      <c r="M63" s="3"/>
      <c r="N63" s="7">
        <f t="shared" si="15"/>
        <v>4.8536042972571476</v>
      </c>
      <c r="O63" s="9"/>
      <c r="P63" s="6">
        <v>925163.37</v>
      </c>
      <c r="Q63" s="3"/>
      <c r="R63" s="7">
        <f t="shared" si="16"/>
        <v>7.8566018184801092E-2</v>
      </c>
      <c r="S63" s="3"/>
      <c r="T63" s="6">
        <v>71608.39</v>
      </c>
      <c r="U63" s="3"/>
      <c r="V63" s="7">
        <f t="shared" si="17"/>
        <v>7.0067192043804474E-2</v>
      </c>
      <c r="W63" s="3"/>
      <c r="X63" s="6">
        <f t="shared" si="18"/>
        <v>853554.98</v>
      </c>
      <c r="Y63" s="3"/>
      <c r="Z63" s="7">
        <f t="shared" si="19"/>
        <v>11.919762195463408</v>
      </c>
    </row>
    <row r="64" spans="1:26" s="68" customFormat="1" ht="15" customHeight="1" outlineLevel="1" collapsed="1" x14ac:dyDescent="0.3">
      <c r="A64" s="20"/>
      <c r="B64" s="11" t="str">
        <f>CONCATENATE("     ","Repair and Maintenance                            ")</f>
        <v xml:space="preserve">     Repair and Maintenance                            </v>
      </c>
      <c r="C64" s="11"/>
      <c r="D64" s="2">
        <f>SUM(OSRRefD22_12x_0)</f>
        <v>5706.2699999999995</v>
      </c>
      <c r="E64" s="2"/>
      <c r="F64" s="5">
        <f t="shared" si="12"/>
        <v>3.564756904890401E-2</v>
      </c>
      <c r="G64" s="2"/>
      <c r="H64" s="2">
        <f>SUM(OSRRefH22_12x_0)</f>
        <v>3923.75</v>
      </c>
      <c r="I64" s="2"/>
      <c r="J64" s="5">
        <f t="shared" si="13"/>
        <v>0.1303077904049629</v>
      </c>
      <c r="K64" s="2"/>
      <c r="L64" s="2">
        <f t="shared" si="14"/>
        <v>1782.5199999999995</v>
      </c>
      <c r="M64" s="2"/>
      <c r="N64" s="5">
        <f t="shared" si="15"/>
        <v>0.45428990124243379</v>
      </c>
      <c r="O64" s="11"/>
      <c r="P64" s="2">
        <f>SUM(OSRRefP22_12x_0)</f>
        <v>56355.560000000005</v>
      </c>
      <c r="Q64" s="2"/>
      <c r="R64" s="5">
        <f t="shared" si="16"/>
        <v>4.7857838900113928E-3</v>
      </c>
      <c r="S64" s="2"/>
      <c r="T64" s="2">
        <f>SUM(OSRRefT22_12x_0)</f>
        <v>30001.02</v>
      </c>
      <c r="U64" s="2"/>
      <c r="V64" s="5">
        <f t="shared" si="17"/>
        <v>2.9355320373073868E-2</v>
      </c>
      <c r="W64" s="2"/>
      <c r="X64" s="2">
        <f t="shared" si="18"/>
        <v>26354.540000000005</v>
      </c>
      <c r="Y64" s="2"/>
      <c r="Z64" s="5">
        <f t="shared" si="19"/>
        <v>0.8784547992034939</v>
      </c>
    </row>
    <row r="65" spans="1:26" s="69" customFormat="1" ht="15" hidden="1" customHeight="1" outlineLevel="2" x14ac:dyDescent="0.3">
      <c r="A65" s="21"/>
      <c r="B65" s="9" t="str">
        <f>CONCATENATE("          ","6371"," - ","COMPUTER SOFTWARE MAINTENANCE")</f>
        <v xml:space="preserve">          6371 - COMPUTER SOFTWARE MAINTENANCE</v>
      </c>
      <c r="C65" s="9"/>
      <c r="D65" s="6">
        <v>3500</v>
      </c>
      <c r="E65" s="3"/>
      <c r="F65" s="7">
        <f t="shared" si="12"/>
        <v>2.1864806900333152E-2</v>
      </c>
      <c r="G65" s="3"/>
      <c r="H65" s="6">
        <v>3500</v>
      </c>
      <c r="I65" s="3"/>
      <c r="J65" s="7">
        <f t="shared" si="13"/>
        <v>0.11623504719142916</v>
      </c>
      <c r="K65" s="3"/>
      <c r="L65" s="6">
        <f t="shared" si="14"/>
        <v>0</v>
      </c>
      <c r="M65" s="3"/>
      <c r="N65" s="7">
        <f t="shared" si="15"/>
        <v>0</v>
      </c>
      <c r="O65" s="9"/>
      <c r="P65" s="6">
        <v>42000</v>
      </c>
      <c r="Q65" s="3"/>
      <c r="R65" s="7">
        <f t="shared" si="16"/>
        <v>3.5666919711289974E-3</v>
      </c>
      <c r="S65" s="3"/>
      <c r="T65" s="6">
        <v>24500</v>
      </c>
      <c r="U65" s="3"/>
      <c r="V65" s="7">
        <f t="shared" si="17"/>
        <v>2.397269656632707E-2</v>
      </c>
      <c r="W65" s="3"/>
      <c r="X65" s="6">
        <f t="shared" si="18"/>
        <v>17500</v>
      </c>
      <c r="Y65" s="3"/>
      <c r="Z65" s="7">
        <f t="shared" si="19"/>
        <v>0.7142857142857143</v>
      </c>
    </row>
    <row r="66" spans="1:26" s="69" customFormat="1" ht="15" hidden="1" customHeight="1" outlineLevel="2" x14ac:dyDescent="0.3">
      <c r="A66" s="21"/>
      <c r="B66" s="9" t="str">
        <f>CONCATENATE("          ","6373"," - ","MAINTENANCE CONTRACTS")</f>
        <v xml:space="preserve">          6373 - MAINTENANCE CONTRACTS</v>
      </c>
      <c r="C66" s="9"/>
      <c r="D66" s="6">
        <v>2076.12</v>
      </c>
      <c r="E66" s="3"/>
      <c r="F66" s="7">
        <f t="shared" si="12"/>
        <v>1.2969703686262759E-2</v>
      </c>
      <c r="G66" s="3"/>
      <c r="H66" s="6">
        <v>253.75</v>
      </c>
      <c r="I66" s="3"/>
      <c r="J66" s="7">
        <f t="shared" si="13"/>
        <v>8.4270409213786143E-3</v>
      </c>
      <c r="K66" s="3"/>
      <c r="L66" s="6">
        <f t="shared" si="14"/>
        <v>1822.37</v>
      </c>
      <c r="M66" s="3"/>
      <c r="N66" s="7">
        <f t="shared" si="15"/>
        <v>7.1817536945812801</v>
      </c>
      <c r="O66" s="9"/>
      <c r="P66" s="6">
        <v>6567.76</v>
      </c>
      <c r="Q66" s="3"/>
      <c r="R66" s="7">
        <f t="shared" si="16"/>
        <v>5.5774230619767102E-4</v>
      </c>
      <c r="S66" s="3"/>
      <c r="T66" s="6">
        <v>3504.05</v>
      </c>
      <c r="U66" s="3"/>
      <c r="V66" s="7">
        <f t="shared" si="17"/>
        <v>3.4286337715607501E-3</v>
      </c>
      <c r="W66" s="3"/>
      <c r="X66" s="6">
        <f t="shared" si="18"/>
        <v>3063.71</v>
      </c>
      <c r="Y66" s="3"/>
      <c r="Z66" s="7">
        <f t="shared" si="19"/>
        <v>0.87433398496026027</v>
      </c>
    </row>
    <row r="67" spans="1:26" s="69" customFormat="1" ht="15" hidden="1" customHeight="1" outlineLevel="2" x14ac:dyDescent="0.3">
      <c r="A67" s="21"/>
      <c r="B67" s="9" t="str">
        <f>CONCATENATE("          ","6375"," - ","OUTSIDE REPAIRS &amp; MAINTENANCE")</f>
        <v xml:space="preserve">          6375 - OUTSIDE REPAIRS &amp; MAINTENANCE</v>
      </c>
      <c r="C67" s="9"/>
      <c r="D67" s="6">
        <v>130.15</v>
      </c>
      <c r="E67" s="3"/>
      <c r="F67" s="7">
        <f t="shared" si="12"/>
        <v>8.1305846230810279E-4</v>
      </c>
      <c r="G67" s="3"/>
      <c r="H67" s="6">
        <v>170</v>
      </c>
      <c r="I67" s="3"/>
      <c r="J67" s="7">
        <f t="shared" si="13"/>
        <v>5.6457022921551307E-3</v>
      </c>
      <c r="K67" s="3"/>
      <c r="L67" s="6">
        <f t="shared" si="14"/>
        <v>-39.849999999999994</v>
      </c>
      <c r="M67" s="3"/>
      <c r="N67" s="7">
        <f t="shared" si="15"/>
        <v>-0.23441176470588232</v>
      </c>
      <c r="O67" s="9"/>
      <c r="P67" s="6">
        <v>7787.8</v>
      </c>
      <c r="Q67" s="3"/>
      <c r="R67" s="7">
        <f t="shared" si="16"/>
        <v>6.6134961268472391E-4</v>
      </c>
      <c r="S67" s="3"/>
      <c r="T67" s="6">
        <v>1996.97</v>
      </c>
      <c r="U67" s="3"/>
      <c r="V67" s="7">
        <f t="shared" si="17"/>
        <v>1.9539900351860477E-3</v>
      </c>
      <c r="W67" s="3"/>
      <c r="X67" s="6">
        <f t="shared" si="18"/>
        <v>5790.83</v>
      </c>
      <c r="Y67" s="3"/>
      <c r="Z67" s="7">
        <f t="shared" si="19"/>
        <v>2.8998082094372974</v>
      </c>
    </row>
    <row r="68" spans="1:26" s="68" customFormat="1" ht="15" customHeight="1" outlineLevel="1" collapsed="1" x14ac:dyDescent="0.3">
      <c r="A68" s="20"/>
      <c r="B68" s="11" t="str">
        <f>CONCATENATE("     ","Services                                          ")</f>
        <v xml:space="preserve">     Services                                          </v>
      </c>
      <c r="C68" s="11"/>
      <c r="D68" s="2">
        <f>SUM(OSRRefD22_13x_0)</f>
        <v>13523.02</v>
      </c>
      <c r="E68" s="2"/>
      <c r="F68" s="5">
        <f t="shared" si="12"/>
        <v>8.4479491716955207E-2</v>
      </c>
      <c r="G68" s="2"/>
      <c r="H68" s="2">
        <f>SUM(OSRRefH22_13x_0)</f>
        <v>11575.65</v>
      </c>
      <c r="I68" s="2"/>
      <c r="J68" s="5">
        <f t="shared" si="13"/>
        <v>0.38442749257756198</v>
      </c>
      <c r="K68" s="2"/>
      <c r="L68" s="2">
        <f t="shared" si="14"/>
        <v>1947.3700000000008</v>
      </c>
      <c r="M68" s="2"/>
      <c r="N68" s="5">
        <f t="shared" si="15"/>
        <v>0.16822986182201438</v>
      </c>
      <c r="O68" s="11"/>
      <c r="P68" s="2">
        <f>SUM(OSRRefP22_13x_0)</f>
        <v>204833.56</v>
      </c>
      <c r="Q68" s="2"/>
      <c r="R68" s="5">
        <f t="shared" si="16"/>
        <v>1.7394719377851659E-2</v>
      </c>
      <c r="S68" s="2"/>
      <c r="T68" s="2">
        <f>SUM(OSRRefT22_13x_0)</f>
        <v>140581.45000000001</v>
      </c>
      <c r="U68" s="2"/>
      <c r="V68" s="5">
        <f t="shared" si="17"/>
        <v>0.13755577321241963</v>
      </c>
      <c r="W68" s="2"/>
      <c r="X68" s="2">
        <f t="shared" si="18"/>
        <v>64252.109999999986</v>
      </c>
      <c r="Y68" s="2"/>
      <c r="Z68" s="5">
        <f t="shared" si="19"/>
        <v>0.45704543522634017</v>
      </c>
    </row>
    <row r="69" spans="1:26" s="69" customFormat="1" ht="15" hidden="1" customHeight="1" outlineLevel="2" x14ac:dyDescent="0.3">
      <c r="A69" s="21"/>
      <c r="B69" s="9" t="str">
        <f>CONCATENATE("          ","6282"," - ","JANITORIAL/EXTERMINATOR EXPENS")</f>
        <v xml:space="preserve">          6282 - JANITORIAL/EXTERMINATOR EXPENS</v>
      </c>
      <c r="C69" s="9"/>
      <c r="D69" s="6">
        <v>2374.1</v>
      </c>
      <c r="E69" s="3"/>
      <c r="F69" s="7">
        <f t="shared" si="12"/>
        <v>1.4831210874880266E-2</v>
      </c>
      <c r="G69" s="3"/>
      <c r="H69" s="6">
        <v>1508.3</v>
      </c>
      <c r="I69" s="3"/>
      <c r="J69" s="7">
        <f t="shared" si="13"/>
        <v>5.009066333680931E-2</v>
      </c>
      <c r="K69" s="3"/>
      <c r="L69" s="6">
        <f t="shared" si="14"/>
        <v>865.8</v>
      </c>
      <c r="M69" s="3"/>
      <c r="N69" s="7">
        <f t="shared" si="15"/>
        <v>0.57402373533116757</v>
      </c>
      <c r="O69" s="9"/>
      <c r="P69" s="6">
        <v>20901.419999999998</v>
      </c>
      <c r="Q69" s="3"/>
      <c r="R69" s="7">
        <f t="shared" si="16"/>
        <v>1.7749744499808342E-3</v>
      </c>
      <c r="S69" s="3"/>
      <c r="T69" s="6">
        <v>17458.150000000001</v>
      </c>
      <c r="U69" s="3"/>
      <c r="V69" s="7">
        <f t="shared" si="17"/>
        <v>1.7082405410588693E-2</v>
      </c>
      <c r="W69" s="3"/>
      <c r="X69" s="6">
        <f t="shared" si="18"/>
        <v>3443.2699999999968</v>
      </c>
      <c r="Y69" s="3"/>
      <c r="Z69" s="7">
        <f t="shared" si="19"/>
        <v>0.19722994704478977</v>
      </c>
    </row>
    <row r="70" spans="1:26" s="69" customFormat="1" ht="15" hidden="1" customHeight="1" outlineLevel="2" x14ac:dyDescent="0.3">
      <c r="A70" s="21"/>
      <c r="B70" s="9" t="str">
        <f>CONCATENATE("          ","6284"," - ","TRASH REMOVAL EXPENSE")</f>
        <v xml:space="preserve">          6284 - TRASH REMOVAL EXPENSE</v>
      </c>
      <c r="C70" s="9"/>
      <c r="D70" s="6"/>
      <c r="E70" s="3"/>
      <c r="F70" s="7">
        <f t="shared" si="12"/>
        <v>0</v>
      </c>
      <c r="G70" s="3"/>
      <c r="H70" s="6"/>
      <c r="I70" s="3"/>
      <c r="J70" s="7">
        <f t="shared" si="13"/>
        <v>0</v>
      </c>
      <c r="K70" s="3"/>
      <c r="L70" s="6">
        <f t="shared" si="14"/>
        <v>0</v>
      </c>
      <c r="M70" s="3"/>
      <c r="N70" s="7">
        <f t="shared" si="15"/>
        <v>0</v>
      </c>
      <c r="O70" s="9"/>
      <c r="P70" s="6"/>
      <c r="Q70" s="3"/>
      <c r="R70" s="7">
        <f t="shared" si="16"/>
        <v>0</v>
      </c>
      <c r="S70" s="3"/>
      <c r="T70" s="6">
        <v>282.75</v>
      </c>
      <c r="U70" s="3"/>
      <c r="V70" s="7">
        <f t="shared" si="17"/>
        <v>2.7666448792363182E-4</v>
      </c>
      <c r="W70" s="3"/>
      <c r="X70" s="6">
        <f t="shared" si="18"/>
        <v>-282.75</v>
      </c>
      <c r="Y70" s="3"/>
      <c r="Z70" s="7">
        <f t="shared" si="19"/>
        <v>-1</v>
      </c>
    </row>
    <row r="71" spans="1:26" s="69" customFormat="1" ht="15" hidden="1" customHeight="1" outlineLevel="2" x14ac:dyDescent="0.3">
      <c r="A71" s="21"/>
      <c r="B71" s="9" t="str">
        <f>CONCATENATE("          ","6285"," - ","JANITORIAL SERVICES")</f>
        <v xml:space="preserve">          6285 - JANITORIAL SERVICES</v>
      </c>
      <c r="C71" s="9"/>
      <c r="D71" s="6">
        <v>8580.7199999999993</v>
      </c>
      <c r="E71" s="3"/>
      <c r="F71" s="7">
        <f t="shared" si="12"/>
        <v>5.3604510247379049E-2</v>
      </c>
      <c r="G71" s="3"/>
      <c r="H71" s="6">
        <v>8897.19</v>
      </c>
      <c r="I71" s="3"/>
      <c r="J71" s="7">
        <f t="shared" si="13"/>
        <v>0.29547579986317474</v>
      </c>
      <c r="K71" s="3"/>
      <c r="L71" s="6">
        <f t="shared" si="14"/>
        <v>-316.47000000000116</v>
      </c>
      <c r="M71" s="3"/>
      <c r="N71" s="7">
        <f t="shared" si="15"/>
        <v>-3.5569657386208584E-2</v>
      </c>
      <c r="O71" s="9"/>
      <c r="P71" s="6">
        <v>148798.57</v>
      </c>
      <c r="Q71" s="3"/>
      <c r="R71" s="7">
        <f t="shared" si="16"/>
        <v>1.2636158688916098E-2</v>
      </c>
      <c r="S71" s="3"/>
      <c r="T71" s="6">
        <v>105867.73</v>
      </c>
      <c r="U71" s="3"/>
      <c r="V71" s="7">
        <f t="shared" si="17"/>
        <v>0.10358918234513638</v>
      </c>
      <c r="W71" s="3"/>
      <c r="X71" s="6">
        <f t="shared" si="18"/>
        <v>42930.840000000011</v>
      </c>
      <c r="Y71" s="3"/>
      <c r="Z71" s="7">
        <f t="shared" si="19"/>
        <v>0.40551393706089678</v>
      </c>
    </row>
    <row r="72" spans="1:26" s="69" customFormat="1" ht="15" hidden="1" customHeight="1" outlineLevel="2" x14ac:dyDescent="0.3">
      <c r="A72" s="21"/>
      <c r="B72" s="9" t="str">
        <f>CONCATENATE("          ","6286"," - ","LAUNDRY EXPENSE")</f>
        <v xml:space="preserve">          6286 - LAUNDRY EXPENSE</v>
      </c>
      <c r="C72" s="9"/>
      <c r="D72" s="6">
        <v>2568.1999999999998</v>
      </c>
      <c r="E72" s="3"/>
      <c r="F72" s="7">
        <f t="shared" si="12"/>
        <v>1.6043770594695885E-2</v>
      </c>
      <c r="G72" s="3"/>
      <c r="H72" s="6">
        <v>1170.1600000000001</v>
      </c>
      <c r="I72" s="3"/>
      <c r="J72" s="7">
        <f t="shared" si="13"/>
        <v>3.8861029377577926E-2</v>
      </c>
      <c r="K72" s="3"/>
      <c r="L72" s="6">
        <f t="shared" si="14"/>
        <v>1398.0399999999997</v>
      </c>
      <c r="M72" s="3"/>
      <c r="N72" s="7">
        <f t="shared" si="15"/>
        <v>1.1947425993026592</v>
      </c>
      <c r="O72" s="9"/>
      <c r="P72" s="6">
        <v>35133.57</v>
      </c>
      <c r="Q72" s="3"/>
      <c r="R72" s="7">
        <f t="shared" si="16"/>
        <v>2.9835862389547287E-3</v>
      </c>
      <c r="S72" s="3"/>
      <c r="T72" s="6">
        <v>16972.82</v>
      </c>
      <c r="U72" s="3"/>
      <c r="V72" s="7">
        <f t="shared" si="17"/>
        <v>1.6607520968770915E-2</v>
      </c>
      <c r="W72" s="3"/>
      <c r="X72" s="6">
        <f t="shared" si="18"/>
        <v>18160.75</v>
      </c>
      <c r="Y72" s="3"/>
      <c r="Z72" s="7">
        <f t="shared" si="19"/>
        <v>1.0699901371722553</v>
      </c>
    </row>
    <row r="73" spans="1:26" s="68" customFormat="1" ht="15" customHeight="1" outlineLevel="1" collapsed="1" x14ac:dyDescent="0.3">
      <c r="A73" s="20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2">
        <f>SUM(OSRRefD22_14x_0)</f>
        <v>0</v>
      </c>
      <c r="E73" s="2"/>
      <c r="F73" s="5">
        <f t="shared" si="12"/>
        <v>0</v>
      </c>
      <c r="G73" s="2"/>
      <c r="H73" s="2">
        <f>SUM(OSRRefH22_14x_0)</f>
        <v>0</v>
      </c>
      <c r="I73" s="2"/>
      <c r="J73" s="5">
        <f t="shared" si="13"/>
        <v>0</v>
      </c>
      <c r="K73" s="2"/>
      <c r="L73" s="2">
        <f t="shared" si="14"/>
        <v>0</v>
      </c>
      <c r="M73" s="2"/>
      <c r="N73" s="5">
        <f t="shared" si="15"/>
        <v>0</v>
      </c>
      <c r="O73" s="11"/>
      <c r="P73" s="2">
        <f>SUM(OSRRefP22_14x_0)</f>
        <v>0</v>
      </c>
      <c r="Q73" s="2"/>
      <c r="R73" s="5">
        <f t="shared" si="16"/>
        <v>0</v>
      </c>
      <c r="S73" s="2"/>
      <c r="T73" s="2">
        <f>SUM(OSRRefT22_14x_0)</f>
        <v>795</v>
      </c>
      <c r="U73" s="2"/>
      <c r="V73" s="5">
        <f t="shared" si="17"/>
        <v>7.7788954164204169E-4</v>
      </c>
      <c r="W73" s="2"/>
      <c r="X73" s="2">
        <f t="shared" si="18"/>
        <v>-795</v>
      </c>
      <c r="Y73" s="2"/>
      <c r="Z73" s="5">
        <f t="shared" si="19"/>
        <v>-1</v>
      </c>
    </row>
    <row r="74" spans="1:26" s="69" customFormat="1" ht="15" hidden="1" customHeight="1" outlineLevel="2" x14ac:dyDescent="0.3">
      <c r="A74" s="21"/>
      <c r="B74" s="9" t="str">
        <f>CONCATENATE("          ","6258"," - ","MEMBERSHIP DUES")</f>
        <v xml:space="preserve">          6258 - MEMBERSHIP DUES</v>
      </c>
      <c r="C74" s="9"/>
      <c r="D74" s="6"/>
      <c r="E74" s="3"/>
      <c r="F74" s="7">
        <f t="shared" si="12"/>
        <v>0</v>
      </c>
      <c r="G74" s="3"/>
      <c r="H74" s="6"/>
      <c r="I74" s="3"/>
      <c r="J74" s="7">
        <f t="shared" si="13"/>
        <v>0</v>
      </c>
      <c r="K74" s="3"/>
      <c r="L74" s="6">
        <f t="shared" si="14"/>
        <v>0</v>
      </c>
      <c r="M74" s="3"/>
      <c r="N74" s="7">
        <f t="shared" si="15"/>
        <v>0</v>
      </c>
      <c r="O74" s="9"/>
      <c r="P74" s="6"/>
      <c r="Q74" s="3"/>
      <c r="R74" s="7">
        <f t="shared" si="16"/>
        <v>0</v>
      </c>
      <c r="S74" s="3"/>
      <c r="T74" s="6">
        <v>795</v>
      </c>
      <c r="U74" s="3"/>
      <c r="V74" s="7">
        <f t="shared" si="17"/>
        <v>7.7788954164204169E-4</v>
      </c>
      <c r="W74" s="3"/>
      <c r="X74" s="6">
        <f t="shared" si="18"/>
        <v>-795</v>
      </c>
      <c r="Y74" s="3"/>
      <c r="Z74" s="7">
        <f t="shared" si="19"/>
        <v>-1</v>
      </c>
    </row>
    <row r="75" spans="1:26" s="68" customFormat="1" ht="15" customHeight="1" outlineLevel="1" collapsed="1" x14ac:dyDescent="0.3">
      <c r="A75" s="20"/>
      <c r="B75" s="11" t="str">
        <f>CONCATENATE("     ","Supplies                                          ")</f>
        <v xml:space="preserve">     Supplies                                          </v>
      </c>
      <c r="C75" s="11"/>
      <c r="D75" s="2">
        <f>SUM(OSRRefD22_15x_0)</f>
        <v>5939.6299999999992</v>
      </c>
      <c r="E75" s="2"/>
      <c r="F75" s="5">
        <f t="shared" si="12"/>
        <v>3.7105389431264506E-2</v>
      </c>
      <c r="G75" s="2"/>
      <c r="H75" s="2">
        <f>SUM(OSRRefH22_15x_0)</f>
        <v>13576.91</v>
      </c>
      <c r="I75" s="2"/>
      <c r="J75" s="5">
        <f t="shared" si="13"/>
        <v>0.45088936416108183</v>
      </c>
      <c r="K75" s="2"/>
      <c r="L75" s="2">
        <f t="shared" si="14"/>
        <v>-7637.2800000000007</v>
      </c>
      <c r="M75" s="2"/>
      <c r="N75" s="5">
        <f t="shared" si="15"/>
        <v>-0.5625197486025908</v>
      </c>
      <c r="O75" s="11"/>
      <c r="P75" s="2">
        <f>SUM(OSRRefP22_15x_0)</f>
        <v>331039.84000000003</v>
      </c>
      <c r="Q75" s="2"/>
      <c r="R75" s="5">
        <f t="shared" si="16"/>
        <v>2.8112312844091141E-2</v>
      </c>
      <c r="S75" s="2"/>
      <c r="T75" s="2">
        <f>SUM(OSRRefT22_15x_0)</f>
        <v>156726.41999999998</v>
      </c>
      <c r="U75" s="2"/>
      <c r="V75" s="5">
        <f t="shared" si="17"/>
        <v>0.15335326165660138</v>
      </c>
      <c r="W75" s="2"/>
      <c r="X75" s="2">
        <f t="shared" si="18"/>
        <v>174313.42000000004</v>
      </c>
      <c r="Y75" s="2"/>
      <c r="Z75" s="5">
        <f t="shared" si="19"/>
        <v>1.1122146476643826</v>
      </c>
    </row>
    <row r="76" spans="1:26" s="69" customFormat="1" ht="15" hidden="1" customHeight="1" outlineLevel="2" x14ac:dyDescent="0.3">
      <c r="A76" s="21"/>
      <c r="B76" s="9" t="str">
        <f>CONCATENATE("          ","6234"," - ","EXPENDABLE SUPPLIES &amp; EQUIPMEN")</f>
        <v xml:space="preserve">          6234 - EXPENDABLE SUPPLIES &amp; EQUIPMEN</v>
      </c>
      <c r="C76" s="9"/>
      <c r="D76" s="6">
        <v>525.74</v>
      </c>
      <c r="E76" s="3"/>
      <c r="F76" s="7">
        <f t="shared" si="12"/>
        <v>3.2843438799374717E-3</v>
      </c>
      <c r="G76" s="3"/>
      <c r="H76" s="6"/>
      <c r="I76" s="3"/>
      <c r="J76" s="7">
        <f t="shared" si="13"/>
        <v>0</v>
      </c>
      <c r="K76" s="3"/>
      <c r="L76" s="6">
        <f t="shared" si="14"/>
        <v>525.74</v>
      </c>
      <c r="M76" s="3"/>
      <c r="N76" s="7">
        <f t="shared" si="15"/>
        <v>0</v>
      </c>
      <c r="O76" s="9"/>
      <c r="P76" s="6">
        <v>862.72</v>
      </c>
      <c r="Q76" s="3"/>
      <c r="R76" s="7">
        <f t="shared" si="16"/>
        <v>7.3263249936485916E-5</v>
      </c>
      <c r="S76" s="3"/>
      <c r="T76" s="6"/>
      <c r="U76" s="3"/>
      <c r="V76" s="7">
        <f t="shared" si="17"/>
        <v>0</v>
      </c>
      <c r="W76" s="3"/>
      <c r="X76" s="6">
        <f t="shared" si="18"/>
        <v>862.72</v>
      </c>
      <c r="Y76" s="3"/>
      <c r="Z76" s="7">
        <f t="shared" si="19"/>
        <v>0</v>
      </c>
    </row>
    <row r="77" spans="1:26" s="69" customFormat="1" ht="15" hidden="1" customHeight="1" outlineLevel="2" x14ac:dyDescent="0.3">
      <c r="A77" s="21"/>
      <c r="B77" s="9" t="str">
        <f>CONCATENATE("          ","6235"," - ","COVID-19 EXPENSES")</f>
        <v xml:space="preserve">          6235 - COVID-19 EXPENSES</v>
      </c>
      <c r="C77" s="9"/>
      <c r="D77" s="6"/>
      <c r="E77" s="3"/>
      <c r="F77" s="7">
        <f t="shared" si="12"/>
        <v>0</v>
      </c>
      <c r="G77" s="3"/>
      <c r="H77" s="6"/>
      <c r="I77" s="3"/>
      <c r="J77" s="7">
        <f t="shared" si="13"/>
        <v>0</v>
      </c>
      <c r="K77" s="3"/>
      <c r="L77" s="6">
        <f t="shared" si="14"/>
        <v>0</v>
      </c>
      <c r="M77" s="3"/>
      <c r="N77" s="7">
        <f t="shared" si="15"/>
        <v>0</v>
      </c>
      <c r="O77" s="9"/>
      <c r="P77" s="6">
        <v>158.76</v>
      </c>
      <c r="Q77" s="3"/>
      <c r="R77" s="7">
        <f t="shared" si="16"/>
        <v>1.3482095650867608E-5</v>
      </c>
      <c r="S77" s="3"/>
      <c r="T77" s="6">
        <v>59411.95</v>
      </c>
      <c r="U77" s="3"/>
      <c r="V77" s="7">
        <f t="shared" si="17"/>
        <v>5.8133251010767162E-2</v>
      </c>
      <c r="W77" s="3"/>
      <c r="X77" s="6">
        <f t="shared" si="18"/>
        <v>-59253.189999999995</v>
      </c>
      <c r="Y77" s="3"/>
      <c r="Z77" s="7">
        <f t="shared" si="19"/>
        <v>-0.99732781031425488</v>
      </c>
    </row>
    <row r="78" spans="1:26" s="69" customFormat="1" ht="15" hidden="1" customHeight="1" outlineLevel="2" x14ac:dyDescent="0.3">
      <c r="A78" s="21"/>
      <c r="B78" s="9" t="str">
        <f>CONCATENATE("          ","6237"," - ","JANITORIAL SUPPLIES")</f>
        <v xml:space="preserve">          6237 - JANITORIAL SUPPLIES</v>
      </c>
      <c r="C78" s="9"/>
      <c r="D78" s="6">
        <v>2837.83</v>
      </c>
      <c r="E78" s="3"/>
      <c r="F78" s="7">
        <f t="shared" si="12"/>
        <v>1.7728172847420693E-2</v>
      </c>
      <c r="G78" s="3"/>
      <c r="H78" s="6">
        <v>1905.31</v>
      </c>
      <c r="I78" s="3"/>
      <c r="J78" s="7">
        <f t="shared" si="13"/>
        <v>6.3275370789800542E-2</v>
      </c>
      <c r="K78" s="3"/>
      <c r="L78" s="6">
        <f t="shared" si="14"/>
        <v>932.52</v>
      </c>
      <c r="M78" s="3"/>
      <c r="N78" s="7">
        <f t="shared" si="15"/>
        <v>0.48943216589426392</v>
      </c>
      <c r="O78" s="9"/>
      <c r="P78" s="6">
        <v>82723.539999999994</v>
      </c>
      <c r="Q78" s="3"/>
      <c r="R78" s="7">
        <f t="shared" si="16"/>
        <v>7.0249853795563907E-3</v>
      </c>
      <c r="S78" s="3"/>
      <c r="T78" s="6">
        <v>25072.04</v>
      </c>
      <c r="U78" s="3"/>
      <c r="V78" s="7">
        <f t="shared" si="17"/>
        <v>2.4532424784441426E-2</v>
      </c>
      <c r="W78" s="3"/>
      <c r="X78" s="6">
        <f t="shared" si="18"/>
        <v>57651.499999999993</v>
      </c>
      <c r="Y78" s="3"/>
      <c r="Z78" s="7">
        <f t="shared" si="19"/>
        <v>2.2994339511264337</v>
      </c>
    </row>
    <row r="79" spans="1:26" s="69" customFormat="1" ht="15" hidden="1" customHeight="1" outlineLevel="2" x14ac:dyDescent="0.3">
      <c r="A79" s="21"/>
      <c r="B79" s="9" t="str">
        <f>CONCATENATE("          ","6239"," - ","KITCHEN SUPPLIES")</f>
        <v xml:space="preserve">          6239 - KITCHEN SUPPLIES</v>
      </c>
      <c r="C79" s="9"/>
      <c r="D79" s="6">
        <v>246.88</v>
      </c>
      <c r="E79" s="3"/>
      <c r="F79" s="7">
        <f t="shared" si="12"/>
        <v>1.5422810078726424E-3</v>
      </c>
      <c r="G79" s="3"/>
      <c r="H79" s="6">
        <v>5953.86</v>
      </c>
      <c r="I79" s="3"/>
      <c r="J79" s="7">
        <f t="shared" si="13"/>
        <v>0.19772777087747495</v>
      </c>
      <c r="K79" s="3"/>
      <c r="L79" s="6">
        <f t="shared" si="14"/>
        <v>-5706.98</v>
      </c>
      <c r="M79" s="3"/>
      <c r="N79" s="7">
        <f t="shared" si="15"/>
        <v>-0.95853446335654513</v>
      </c>
      <c r="O79" s="9"/>
      <c r="P79" s="6">
        <v>36647.040000000001</v>
      </c>
      <c r="Q79" s="3"/>
      <c r="R79" s="7">
        <f t="shared" si="16"/>
        <v>3.112111984134362E-3</v>
      </c>
      <c r="S79" s="3"/>
      <c r="T79" s="6">
        <v>13820.13</v>
      </c>
      <c r="U79" s="3"/>
      <c r="V79" s="7">
        <f t="shared" si="17"/>
        <v>1.3522685020293621E-2</v>
      </c>
      <c r="W79" s="3"/>
      <c r="X79" s="6">
        <f t="shared" si="18"/>
        <v>22826.910000000003</v>
      </c>
      <c r="Y79" s="3"/>
      <c r="Z79" s="7">
        <f t="shared" si="19"/>
        <v>1.6517145641900621</v>
      </c>
    </row>
    <row r="80" spans="1:26" s="69" customFormat="1" ht="15" hidden="1" customHeight="1" outlineLevel="2" x14ac:dyDescent="0.3">
      <c r="A80" s="21"/>
      <c r="B80" s="9" t="str">
        <f>CONCATENATE("          ","6241"," - ","OFFICE EXPENSE")</f>
        <v xml:space="preserve">          6241 - OFFICE EXPENSE</v>
      </c>
      <c r="C80" s="9"/>
      <c r="D80" s="6">
        <v>56.45</v>
      </c>
      <c r="E80" s="3"/>
      <c r="F80" s="7">
        <f t="shared" si="12"/>
        <v>3.526480998639447E-4</v>
      </c>
      <c r="G80" s="3"/>
      <c r="H80" s="6">
        <v>1232.0899999999999</v>
      </c>
      <c r="I80" s="3"/>
      <c r="J80" s="7">
        <f t="shared" si="13"/>
        <v>4.0917725512596551E-2</v>
      </c>
      <c r="K80" s="3"/>
      <c r="L80" s="6">
        <f t="shared" si="14"/>
        <v>-1175.6399999999999</v>
      </c>
      <c r="M80" s="3"/>
      <c r="N80" s="7">
        <f t="shared" si="15"/>
        <v>-0.95418354178672005</v>
      </c>
      <c r="O80" s="9"/>
      <c r="P80" s="6">
        <v>19084.009999999998</v>
      </c>
      <c r="Q80" s="3"/>
      <c r="R80" s="7">
        <f t="shared" si="16"/>
        <v>1.6206377439034641E-3</v>
      </c>
      <c r="S80" s="3"/>
      <c r="T80" s="6">
        <v>10717.19</v>
      </c>
      <c r="U80" s="3"/>
      <c r="V80" s="7">
        <f t="shared" si="17"/>
        <v>1.0486528323007135E-2</v>
      </c>
      <c r="W80" s="3"/>
      <c r="X80" s="6">
        <f t="shared" si="18"/>
        <v>8366.8199999999979</v>
      </c>
      <c r="Y80" s="3"/>
      <c r="Z80" s="7">
        <f t="shared" si="19"/>
        <v>0.78069158053556931</v>
      </c>
    </row>
    <row r="81" spans="1:26" s="69" customFormat="1" ht="15" hidden="1" customHeight="1" outlineLevel="2" x14ac:dyDescent="0.3">
      <c r="A81" s="21"/>
      <c r="B81" s="9" t="str">
        <f>CONCATENATE("          ","6243"," - ","PAPER SUPPLIES")</f>
        <v xml:space="preserve">          6243 - PAPER SUPPLIES</v>
      </c>
      <c r="C81" s="9"/>
      <c r="D81" s="6">
        <v>2272.73</v>
      </c>
      <c r="E81" s="3"/>
      <c r="F81" s="7">
        <f t="shared" si="12"/>
        <v>1.419794359616976E-2</v>
      </c>
      <c r="G81" s="3"/>
      <c r="H81" s="6">
        <v>4485.6499999999996</v>
      </c>
      <c r="I81" s="3"/>
      <c r="J81" s="7">
        <f t="shared" si="13"/>
        <v>0.14896849698120976</v>
      </c>
      <c r="K81" s="3"/>
      <c r="L81" s="6">
        <f t="shared" si="14"/>
        <v>-2212.9199999999996</v>
      </c>
      <c r="M81" s="3"/>
      <c r="N81" s="7">
        <f t="shared" si="15"/>
        <v>-0.49333318471124582</v>
      </c>
      <c r="O81" s="9"/>
      <c r="P81" s="6">
        <v>183326.83</v>
      </c>
      <c r="Q81" s="3"/>
      <c r="R81" s="7">
        <f t="shared" si="16"/>
        <v>1.5568341253655488E-2</v>
      </c>
      <c r="S81" s="3"/>
      <c r="T81" s="6">
        <v>43204.52</v>
      </c>
      <c r="U81" s="3"/>
      <c r="V81" s="7">
        <f t="shared" si="17"/>
        <v>4.2274646867502416E-2</v>
      </c>
      <c r="W81" s="3"/>
      <c r="X81" s="6">
        <f t="shared" si="18"/>
        <v>140122.31</v>
      </c>
      <c r="Y81" s="3"/>
      <c r="Z81" s="7">
        <f t="shared" si="19"/>
        <v>3.2432326525095063</v>
      </c>
    </row>
    <row r="82" spans="1:26" s="69" customFormat="1" ht="15" hidden="1" customHeight="1" outlineLevel="2" x14ac:dyDescent="0.3">
      <c r="A82" s="21"/>
      <c r="B82" s="9" t="str">
        <f>CONCATENATE("          ","6247"," - ","STORE SUPPLIES")</f>
        <v xml:space="preserve">          6247 - STORE SUPPLIES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>
        <v>1693.55</v>
      </c>
      <c r="Q82" s="3"/>
      <c r="R82" s="7">
        <f t="shared" si="16"/>
        <v>1.4381836161203603E-4</v>
      </c>
      <c r="S82" s="3"/>
      <c r="T82" s="6"/>
      <c r="U82" s="3"/>
      <c r="V82" s="7">
        <f t="shared" si="17"/>
        <v>0</v>
      </c>
      <c r="W82" s="3"/>
      <c r="X82" s="6">
        <f t="shared" si="18"/>
        <v>1693.55</v>
      </c>
      <c r="Y82" s="3"/>
      <c r="Z82" s="7">
        <f t="shared" si="19"/>
        <v>0</v>
      </c>
    </row>
    <row r="83" spans="1:26" s="69" customFormat="1" ht="15" hidden="1" customHeight="1" outlineLevel="2" x14ac:dyDescent="0.3">
      <c r="A83" s="21"/>
      <c r="B83" s="9" t="str">
        <f>CONCATENATE("          ","6248"," - ","UNIFORMS")</f>
        <v xml:space="preserve">          6248 - UNIFORMS</v>
      </c>
      <c r="C83" s="9"/>
      <c r="D83" s="6"/>
      <c r="E83" s="3"/>
      <c r="F83" s="7">
        <f t="shared" si="12"/>
        <v>0</v>
      </c>
      <c r="G83" s="3"/>
      <c r="H83" s="6"/>
      <c r="I83" s="3"/>
      <c r="J83" s="7">
        <f t="shared" si="13"/>
        <v>0</v>
      </c>
      <c r="K83" s="3"/>
      <c r="L83" s="6">
        <f t="shared" si="14"/>
        <v>0</v>
      </c>
      <c r="M83" s="3"/>
      <c r="N83" s="7">
        <f t="shared" si="15"/>
        <v>0</v>
      </c>
      <c r="O83" s="9"/>
      <c r="P83" s="6">
        <v>6543.39</v>
      </c>
      <c r="Q83" s="3"/>
      <c r="R83" s="7">
        <f t="shared" si="16"/>
        <v>5.5567277564204213E-4</v>
      </c>
      <c r="S83" s="3"/>
      <c r="T83" s="6">
        <v>4500.59</v>
      </c>
      <c r="U83" s="3"/>
      <c r="V83" s="7">
        <f t="shared" si="17"/>
        <v>4.4037256505896306E-3</v>
      </c>
      <c r="W83" s="3"/>
      <c r="X83" s="6">
        <f t="shared" si="18"/>
        <v>2042.8000000000002</v>
      </c>
      <c r="Y83" s="3"/>
      <c r="Z83" s="7">
        <f t="shared" si="19"/>
        <v>0.4538960447408007</v>
      </c>
    </row>
    <row r="84" spans="1:26" s="68" customFormat="1" ht="15" customHeight="1" outlineLevel="1" collapsed="1" x14ac:dyDescent="0.3">
      <c r="A84" s="20"/>
      <c r="B84" s="11" t="str">
        <f>CONCATENATE("     ","Telephone/Data Lines                              ")</f>
        <v xml:space="preserve">     Telephone/Data Lines                              </v>
      </c>
      <c r="C84" s="11"/>
      <c r="D84" s="2">
        <f>SUM(OSRRefD22_16x_0)</f>
        <v>288</v>
      </c>
      <c r="E84" s="2"/>
      <c r="F84" s="5">
        <f t="shared" si="12"/>
        <v>1.7991612535131279E-3</v>
      </c>
      <c r="G84" s="2"/>
      <c r="H84" s="2">
        <f>SUM(OSRRefH22_16x_0)</f>
        <v>998</v>
      </c>
      <c r="I84" s="2"/>
      <c r="J84" s="5">
        <f t="shared" si="13"/>
        <v>3.3143593456298942E-2</v>
      </c>
      <c r="K84" s="2"/>
      <c r="L84" s="2">
        <f t="shared" si="14"/>
        <v>-710</v>
      </c>
      <c r="M84" s="2"/>
      <c r="N84" s="5">
        <f t="shared" si="15"/>
        <v>-0.71142284569138281</v>
      </c>
      <c r="O84" s="11"/>
      <c r="P84" s="2">
        <f>SUM(OSRRefP22_16x_0)</f>
        <v>8693.85</v>
      </c>
      <c r="Q84" s="2"/>
      <c r="R84" s="5">
        <f t="shared" si="16"/>
        <v>7.3829249983809126E-4</v>
      </c>
      <c r="S84" s="2"/>
      <c r="T84" s="2">
        <f>SUM(OSRRefT22_16x_0)</f>
        <v>6396.32</v>
      </c>
      <c r="U84" s="2"/>
      <c r="V84" s="5">
        <f t="shared" si="17"/>
        <v>6.2586546326991489E-3</v>
      </c>
      <c r="W84" s="2"/>
      <c r="X84" s="2">
        <f t="shared" si="18"/>
        <v>2297.5300000000007</v>
      </c>
      <c r="Y84" s="2"/>
      <c r="Z84" s="5">
        <f t="shared" si="19"/>
        <v>0.35919559996998285</v>
      </c>
    </row>
    <row r="85" spans="1:26" s="69" customFormat="1" ht="15" hidden="1" customHeight="1" outlineLevel="2" x14ac:dyDescent="0.3">
      <c r="A85" s="21"/>
      <c r="B85" s="9" t="str">
        <f>CONCATENATE("          ","6309"," - ","TELEPHONE")</f>
        <v xml:space="preserve">          6309 - TELEPHONE</v>
      </c>
      <c r="C85" s="9"/>
      <c r="D85" s="6">
        <v>288</v>
      </c>
      <c r="E85" s="3"/>
      <c r="F85" s="7">
        <f t="shared" si="12"/>
        <v>1.7991612535131279E-3</v>
      </c>
      <c r="G85" s="3"/>
      <c r="H85" s="6">
        <v>998</v>
      </c>
      <c r="I85" s="3"/>
      <c r="J85" s="7">
        <f t="shared" si="13"/>
        <v>3.3143593456298942E-2</v>
      </c>
      <c r="K85" s="3"/>
      <c r="L85" s="6">
        <f t="shared" si="14"/>
        <v>-710</v>
      </c>
      <c r="M85" s="3"/>
      <c r="N85" s="7">
        <f t="shared" si="15"/>
        <v>-0.71142284569138281</v>
      </c>
      <c r="O85" s="9"/>
      <c r="P85" s="6">
        <v>8693.85</v>
      </c>
      <c r="Q85" s="3"/>
      <c r="R85" s="7">
        <f t="shared" si="16"/>
        <v>7.3829249983809126E-4</v>
      </c>
      <c r="S85" s="3"/>
      <c r="T85" s="6">
        <v>6396.32</v>
      </c>
      <c r="U85" s="3"/>
      <c r="V85" s="7">
        <f t="shared" si="17"/>
        <v>6.2586546326991489E-3</v>
      </c>
      <c r="W85" s="3"/>
      <c r="X85" s="6">
        <f t="shared" si="18"/>
        <v>2297.5300000000007</v>
      </c>
      <c r="Y85" s="3"/>
      <c r="Z85" s="7">
        <f t="shared" si="19"/>
        <v>0.35919559996998285</v>
      </c>
    </row>
    <row r="86" spans="1:26" s="68" customFormat="1" ht="15" customHeight="1" outlineLevel="1" collapsed="1" x14ac:dyDescent="0.3">
      <c r="A86" s="20"/>
      <c r="B86" s="11" t="str">
        <f>CONCATENATE("     ","Training                                          ")</f>
        <v xml:space="preserve">     Training                                          </v>
      </c>
      <c r="C86" s="11"/>
      <c r="D86" s="2">
        <f>SUM(OSRRefD22_17x_0)</f>
        <v>901.61</v>
      </c>
      <c r="E86" s="2"/>
      <c r="F86" s="5">
        <f t="shared" si="12"/>
        <v>5.6324367284026778E-3</v>
      </c>
      <c r="G86" s="2"/>
      <c r="H86" s="2">
        <f>SUM(OSRRefH22_17x_0)</f>
        <v>494</v>
      </c>
      <c r="I86" s="2"/>
      <c r="J86" s="5">
        <f t="shared" si="13"/>
        <v>1.6405746660733144E-2</v>
      </c>
      <c r="K86" s="2"/>
      <c r="L86" s="2">
        <f t="shared" si="14"/>
        <v>407.61</v>
      </c>
      <c r="M86" s="2"/>
      <c r="N86" s="5">
        <f t="shared" si="15"/>
        <v>0.82512145748987853</v>
      </c>
      <c r="O86" s="11"/>
      <c r="P86" s="2">
        <f>SUM(OSRRefP22_17x_0)</f>
        <v>17736.96</v>
      </c>
      <c r="Q86" s="2"/>
      <c r="R86" s="5">
        <f t="shared" si="16"/>
        <v>1.5062445910532423E-3</v>
      </c>
      <c r="S86" s="2"/>
      <c r="T86" s="2">
        <f>SUM(OSRRefT22_17x_0)</f>
        <v>1280.23</v>
      </c>
      <c r="U86" s="2"/>
      <c r="V86" s="5">
        <f t="shared" si="17"/>
        <v>1.2526761357187308E-3</v>
      </c>
      <c r="W86" s="2"/>
      <c r="X86" s="2">
        <f t="shared" si="18"/>
        <v>16456.73</v>
      </c>
      <c r="Y86" s="2"/>
      <c r="Z86" s="5">
        <f t="shared" si="19"/>
        <v>12.85451051764136</v>
      </c>
    </row>
    <row r="87" spans="1:26" s="69" customFormat="1" ht="15" hidden="1" customHeight="1" outlineLevel="2" x14ac:dyDescent="0.3">
      <c r="A87" s="21"/>
      <c r="B87" s="9" t="str">
        <f>CONCATENATE("          ","6376"," - ","TRAINING")</f>
        <v xml:space="preserve">          6376 - TRAINING</v>
      </c>
      <c r="C87" s="9"/>
      <c r="D87" s="6">
        <v>901.61</v>
      </c>
      <c r="E87" s="3"/>
      <c r="F87" s="7">
        <f t="shared" si="12"/>
        <v>5.6324367284026778E-3</v>
      </c>
      <c r="G87" s="3"/>
      <c r="H87" s="6">
        <v>494</v>
      </c>
      <c r="I87" s="3"/>
      <c r="J87" s="7">
        <f t="shared" si="13"/>
        <v>1.6405746660733144E-2</v>
      </c>
      <c r="K87" s="3"/>
      <c r="L87" s="6">
        <f t="shared" si="14"/>
        <v>407.61</v>
      </c>
      <c r="M87" s="3"/>
      <c r="N87" s="7">
        <f t="shared" si="15"/>
        <v>0.82512145748987853</v>
      </c>
      <c r="O87" s="9"/>
      <c r="P87" s="6">
        <v>17736.96</v>
      </c>
      <c r="Q87" s="3"/>
      <c r="R87" s="7">
        <f t="shared" si="16"/>
        <v>1.5062445910532423E-3</v>
      </c>
      <c r="S87" s="3"/>
      <c r="T87" s="6">
        <v>1280.23</v>
      </c>
      <c r="U87" s="3"/>
      <c r="V87" s="7">
        <f t="shared" si="17"/>
        <v>1.2526761357187308E-3</v>
      </c>
      <c r="W87" s="3"/>
      <c r="X87" s="6">
        <f t="shared" si="18"/>
        <v>16456.73</v>
      </c>
      <c r="Y87" s="3"/>
      <c r="Z87" s="7">
        <f t="shared" si="19"/>
        <v>12.85451051764136</v>
      </c>
    </row>
    <row r="88" spans="1:26" s="68" customFormat="1" ht="15" customHeight="1" outlineLevel="1" collapsed="1" x14ac:dyDescent="0.3">
      <c r="A88" s="20"/>
      <c r="B88" s="11" t="str">
        <f>CONCATENATE("     ","Travel                                            ")</f>
        <v xml:space="preserve">     Travel                                            </v>
      </c>
      <c r="C88" s="11"/>
      <c r="D88" s="2">
        <f>SUM(OSRRefD22_18x_0)</f>
        <v>0</v>
      </c>
      <c r="E88" s="2"/>
      <c r="F88" s="5">
        <f t="shared" si="12"/>
        <v>0</v>
      </c>
      <c r="G88" s="2"/>
      <c r="H88" s="2">
        <f>SUM(OSRRefH22_18x_0)</f>
        <v>0</v>
      </c>
      <c r="I88" s="2"/>
      <c r="J88" s="5">
        <f t="shared" si="13"/>
        <v>0</v>
      </c>
      <c r="K88" s="2"/>
      <c r="L88" s="2">
        <f t="shared" si="14"/>
        <v>0</v>
      </c>
      <c r="M88" s="2"/>
      <c r="N88" s="5">
        <f t="shared" si="15"/>
        <v>0</v>
      </c>
      <c r="O88" s="11"/>
      <c r="P88" s="2">
        <f>SUM(OSRRefP22_18x_0)</f>
        <v>970.41000000000008</v>
      </c>
      <c r="Q88" s="2"/>
      <c r="R88" s="5">
        <f t="shared" si="16"/>
        <v>8.2408417992935486E-5</v>
      </c>
      <c r="S88" s="2"/>
      <c r="T88" s="2">
        <f>SUM(OSRRefT22_18x_0)</f>
        <v>160.30000000000001</v>
      </c>
      <c r="U88" s="2"/>
      <c r="V88" s="5">
        <f t="shared" si="17"/>
        <v>1.5684992896253998E-4</v>
      </c>
      <c r="W88" s="2"/>
      <c r="X88" s="2">
        <f t="shared" si="18"/>
        <v>810.11000000000013</v>
      </c>
      <c r="Y88" s="2"/>
      <c r="Z88" s="5">
        <f t="shared" si="19"/>
        <v>5.0537117903930131</v>
      </c>
    </row>
    <row r="89" spans="1:26" s="69" customFormat="1" ht="15" hidden="1" customHeight="1" outlineLevel="2" x14ac:dyDescent="0.3">
      <c r="A89" s="21"/>
      <c r="B89" s="9" t="str">
        <f>CONCATENATE("          ","6292"," - ","TRAVEL/CONFERENCE")</f>
        <v xml:space="preserve">          6292 - TRAVEL/CONFERENCE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>
        <v>610</v>
      </c>
      <c r="Q89" s="3"/>
      <c r="R89" s="7">
        <f t="shared" si="16"/>
        <v>5.180195481877829E-5</v>
      </c>
      <c r="S89" s="3"/>
      <c r="T89" s="6"/>
      <c r="U89" s="3"/>
      <c r="V89" s="7">
        <f t="shared" si="17"/>
        <v>0</v>
      </c>
      <c r="W89" s="3"/>
      <c r="X89" s="6">
        <f t="shared" si="18"/>
        <v>610</v>
      </c>
      <c r="Y89" s="3"/>
      <c r="Z89" s="7">
        <f t="shared" si="19"/>
        <v>0</v>
      </c>
    </row>
    <row r="90" spans="1:26" s="69" customFormat="1" ht="15" hidden="1" customHeight="1" outlineLevel="2" x14ac:dyDescent="0.3">
      <c r="A90" s="21"/>
      <c r="B90" s="9" t="str">
        <f>CONCATENATE("          ","6294"," - ","TRAVEL OPERATIONAL")</f>
        <v xml:space="preserve">          6294 - TRAVEL OPERATIONAL</v>
      </c>
      <c r="C90" s="9"/>
      <c r="D90" s="6"/>
      <c r="E90" s="3"/>
      <c r="F90" s="7">
        <f t="shared" si="12"/>
        <v>0</v>
      </c>
      <c r="G90" s="3"/>
      <c r="H90" s="6"/>
      <c r="I90" s="3"/>
      <c r="J90" s="7">
        <f t="shared" si="13"/>
        <v>0</v>
      </c>
      <c r="K90" s="3"/>
      <c r="L90" s="6">
        <f t="shared" si="14"/>
        <v>0</v>
      </c>
      <c r="M90" s="3"/>
      <c r="N90" s="7">
        <f t="shared" si="15"/>
        <v>0</v>
      </c>
      <c r="O90" s="9"/>
      <c r="P90" s="6"/>
      <c r="Q90" s="3"/>
      <c r="R90" s="7">
        <f t="shared" si="16"/>
        <v>0</v>
      </c>
      <c r="S90" s="3"/>
      <c r="T90" s="6">
        <v>160.30000000000001</v>
      </c>
      <c r="U90" s="3"/>
      <c r="V90" s="7">
        <f t="shared" si="17"/>
        <v>1.5684992896253998E-4</v>
      </c>
      <c r="W90" s="3"/>
      <c r="X90" s="6">
        <f t="shared" si="18"/>
        <v>-160.30000000000001</v>
      </c>
      <c r="Y90" s="3"/>
      <c r="Z90" s="7">
        <f t="shared" si="19"/>
        <v>-1</v>
      </c>
    </row>
    <row r="91" spans="1:26" s="69" customFormat="1" ht="15" hidden="1" customHeight="1" outlineLevel="2" x14ac:dyDescent="0.3">
      <c r="A91" s="21"/>
      <c r="B91" s="9" t="str">
        <f>CONCATENATE("          ","6298"," - ","VEHICLE MILEAGE")</f>
        <v xml:space="preserve">          6298 - VEHICLE MILEAGE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360.41</v>
      </c>
      <c r="Q91" s="3"/>
      <c r="R91" s="7">
        <f t="shared" si="16"/>
        <v>3.0606463174157189E-5</v>
      </c>
      <c r="S91" s="3"/>
      <c r="T91" s="6"/>
      <c r="U91" s="3"/>
      <c r="V91" s="7">
        <f t="shared" si="17"/>
        <v>0</v>
      </c>
      <c r="W91" s="3"/>
      <c r="X91" s="6">
        <f t="shared" si="18"/>
        <v>360.41</v>
      </c>
      <c r="Y91" s="3"/>
      <c r="Z91" s="7">
        <f t="shared" si="19"/>
        <v>0</v>
      </c>
    </row>
    <row r="92" spans="1:26" s="64" customFormat="1" ht="15" customHeight="1" x14ac:dyDescent="0.3">
      <c r="A92" s="37"/>
      <c r="B92" s="37"/>
      <c r="C92" s="37"/>
      <c r="D92" s="2"/>
      <c r="E92" s="2"/>
      <c r="F92" s="5"/>
      <c r="G92" s="2"/>
      <c r="H92" s="2"/>
      <c r="I92" s="2"/>
      <c r="J92" s="5"/>
      <c r="K92" s="2"/>
      <c r="L92" s="2"/>
      <c r="M92" s="2"/>
      <c r="N92" s="5"/>
      <c r="O92" s="37"/>
      <c r="P92" s="2"/>
      <c r="Q92" s="2"/>
      <c r="R92" s="5"/>
      <c r="S92" s="2"/>
      <c r="T92" s="2"/>
      <c r="U92" s="2"/>
      <c r="V92" s="5"/>
      <c r="W92" s="2"/>
      <c r="X92" s="2"/>
      <c r="Y92" s="2"/>
      <c r="Z92" s="5"/>
    </row>
    <row r="93" spans="1:26" s="62" customFormat="1" ht="15" customHeight="1" x14ac:dyDescent="0.3">
      <c r="A93" s="13"/>
      <c r="B93" s="27" t="s">
        <v>290</v>
      </c>
      <c r="C93" s="13"/>
      <c r="D93" s="8">
        <f>SUM(0)</f>
        <v>0</v>
      </c>
      <c r="E93" s="8"/>
      <c r="F93" s="14">
        <f>IF(D$12=0,0,D93/D$12)</f>
        <v>0</v>
      </c>
      <c r="G93" s="8"/>
      <c r="H93" s="8">
        <f>SUM(0)</f>
        <v>0</v>
      </c>
      <c r="I93" s="8"/>
      <c r="J93" s="14">
        <f>IF(H$12=0,0,H93/H$12)</f>
        <v>0</v>
      </c>
      <c r="K93" s="8"/>
      <c r="L93" s="8">
        <f>+D93-H93</f>
        <v>0</v>
      </c>
      <c r="M93" s="8"/>
      <c r="N93" s="14">
        <f>IF(H93=0,0,L93/H93)</f>
        <v>0</v>
      </c>
      <c r="O93" s="13"/>
      <c r="P93" s="8">
        <f>SUM(0)</f>
        <v>0</v>
      </c>
      <c r="Q93" s="8"/>
      <c r="R93" s="14">
        <f>IF(P$12=0,0,P93/P$12)</f>
        <v>0</v>
      </c>
      <c r="S93" s="8"/>
      <c r="T93" s="8">
        <f>SUM(0)</f>
        <v>0</v>
      </c>
      <c r="U93" s="8"/>
      <c r="V93" s="14">
        <f>IF(T$12=0,0,T93/T$12)</f>
        <v>0</v>
      </c>
      <c r="W93" s="8"/>
      <c r="X93" s="8">
        <f>+P93-T93</f>
        <v>0</v>
      </c>
      <c r="Y93" s="8"/>
      <c r="Z93" s="14">
        <f>IF(T93=0,0,X93/T93)</f>
        <v>0</v>
      </c>
    </row>
    <row r="94" spans="1:26" ht="15" customHeight="1" x14ac:dyDescent="0.3">
      <c r="A94" s="12"/>
      <c r="B94" s="13"/>
      <c r="C94" s="13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O94" s="13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2" customFormat="1" ht="15" customHeight="1" x14ac:dyDescent="0.3">
      <c r="A95" s="13"/>
      <c r="B95" s="28" t="s">
        <v>291</v>
      </c>
      <c r="C95" s="28"/>
      <c r="D95" s="22">
        <f>+D23-D25+D93</f>
        <v>-78373.419999999984</v>
      </c>
      <c r="E95" s="15"/>
      <c r="F95" s="24">
        <f>IF(D$12=0,0,D95/D$12)</f>
        <v>-0.48960562697677368</v>
      </c>
      <c r="G95" s="15"/>
      <c r="H95" s="22">
        <f>+H23-H25+H93</f>
        <v>-176159.76</v>
      </c>
      <c r="I95" s="15"/>
      <c r="J95" s="24">
        <f>IF(H$12=0,0,H95/H$12)</f>
        <v>-5.85026800480881</v>
      </c>
      <c r="K95" s="17"/>
      <c r="L95" s="22">
        <f>+D95-H95</f>
        <v>97786.340000000026</v>
      </c>
      <c r="M95" s="17"/>
      <c r="N95" s="24">
        <f>IF(H95=0,0,L95/H95)</f>
        <v>-0.5551003248414963</v>
      </c>
      <c r="O95" s="27"/>
      <c r="P95" s="22">
        <f>+P23-P25+P93</f>
        <v>3637901.2900000019</v>
      </c>
      <c r="Q95" s="15"/>
      <c r="R95" s="24">
        <f>IF(P$12=0,0,P95/P$12)</f>
        <v>0.30893507911435308</v>
      </c>
      <c r="S95" s="15"/>
      <c r="T95" s="22">
        <f>+T23-T25+T93</f>
        <v>-2093146.8999999994</v>
      </c>
      <c r="U95" s="15"/>
      <c r="V95" s="24">
        <f>IF(T$12=0,0,T95/T$12)</f>
        <v>-2.0480969592835976</v>
      </c>
      <c r="W95" s="17"/>
      <c r="X95" s="22">
        <f>+P95-T95</f>
        <v>5731048.1900000013</v>
      </c>
      <c r="Y95" s="17"/>
      <c r="Z95" s="24">
        <f>IF(T95=0,0,X95/T95)</f>
        <v>-2.7380057223886212</v>
      </c>
    </row>
    <row r="96" spans="1:26" ht="15" customHeight="1" x14ac:dyDescent="0.3">
      <c r="A96" s="12"/>
      <c r="B96" s="13"/>
      <c r="C96" s="12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2" customFormat="1" ht="15" customHeight="1" x14ac:dyDescent="0.3">
      <c r="A97" s="48"/>
      <c r="B97" s="13" t="s">
        <v>292</v>
      </c>
      <c r="C97" s="13"/>
      <c r="D97" s="8">
        <v>-2663477.4500000002</v>
      </c>
      <c r="E97" s="8"/>
      <c r="F97" s="14">
        <f>IF(D$12=0,0,D97/D$12)</f>
        <v>-16.638977179326215</v>
      </c>
      <c r="G97" s="8"/>
      <c r="H97" s="8">
        <v>70926.69</v>
      </c>
      <c r="I97" s="8"/>
      <c r="J97" s="14">
        <f>IF(H$12=0,0,H97/H$12)</f>
        <v>2.3554763312233904</v>
      </c>
      <c r="K97" s="8"/>
      <c r="L97" s="8">
        <f>+D97-H97</f>
        <v>-2734404.14</v>
      </c>
      <c r="M97" s="8"/>
      <c r="N97" s="14">
        <f>IF(H97=0,0,L97/H97)</f>
        <v>-38.552541222493254</v>
      </c>
      <c r="O97" s="13"/>
      <c r="P97" s="8">
        <v>-1357595.93</v>
      </c>
      <c r="Q97" s="8"/>
      <c r="R97" s="14">
        <f>IF(P$12=0,0,P97/P$12)</f>
        <v>-0.11528872627543819</v>
      </c>
      <c r="S97" s="8"/>
      <c r="T97" s="8">
        <v>282883.03000000003</v>
      </c>
      <c r="U97" s="8"/>
      <c r="V97" s="14">
        <f>IF(T$12=0,0,T97/T$12)</f>
        <v>0.27679465477359994</v>
      </c>
      <c r="W97" s="8"/>
      <c r="X97" s="8">
        <f>+P97-T97</f>
        <v>-1640478.96</v>
      </c>
      <c r="Y97" s="8"/>
      <c r="Z97" s="14">
        <f>IF(T97=0,0,X97/T97)</f>
        <v>-5.7991423522294703</v>
      </c>
    </row>
    <row r="98" spans="1:26" ht="15" customHeight="1" x14ac:dyDescent="0.3">
      <c r="A98" s="12"/>
      <c r="B98" s="13"/>
      <c r="C98" s="13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O98" s="13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2" customFormat="1" ht="15" customHeight="1" x14ac:dyDescent="0.3">
      <c r="A99" s="13"/>
      <c r="B99" s="28" t="s">
        <v>293</v>
      </c>
      <c r="C99" s="28"/>
      <c r="D99" s="29">
        <f>+D95-D97</f>
        <v>2585104.0300000003</v>
      </c>
      <c r="E99" s="15"/>
      <c r="F99" s="31">
        <f>IF(D$12=0,0,D99/D$12)</f>
        <v>16.149371552349439</v>
      </c>
      <c r="G99" s="15"/>
      <c r="H99" s="29">
        <f>+H95-H97</f>
        <v>-247086.45</v>
      </c>
      <c r="I99" s="15"/>
      <c r="J99" s="31">
        <f>IF(H$12=0,0,H99/H$12)</f>
        <v>-8.2057443360322004</v>
      </c>
      <c r="K99" s="17"/>
      <c r="L99" s="29">
        <f>D99-H99</f>
        <v>2832190.4800000004</v>
      </c>
      <c r="M99" s="17"/>
      <c r="N99" s="31">
        <f>IF(H99=0,0,L99/H99)</f>
        <v>-11.462346397384399</v>
      </c>
      <c r="O99" s="27"/>
      <c r="P99" s="29">
        <f>+P95-P97</f>
        <v>4995497.2200000016</v>
      </c>
      <c r="Q99" s="15"/>
      <c r="R99" s="31">
        <f>IF(P$12=0,0,P99/P$12)</f>
        <v>0.42422380538979121</v>
      </c>
      <c r="S99" s="15"/>
      <c r="T99" s="29">
        <f>+T95-T97</f>
        <v>-2376029.9299999997</v>
      </c>
      <c r="U99" s="15"/>
      <c r="V99" s="31">
        <f>IF(T$12=0,0,T99/T$12)</f>
        <v>-2.3248916140571976</v>
      </c>
      <c r="W99" s="17"/>
      <c r="X99" s="29">
        <f>P99-T99</f>
        <v>7371527.1500000013</v>
      </c>
      <c r="Y99" s="17"/>
      <c r="Z99" s="31">
        <f>IF(T99=0,0,X99/T99)</f>
        <v>-3.1024555107350866</v>
      </c>
    </row>
    <row r="100" spans="1:26" ht="15" customHeight="1" x14ac:dyDescent="0.3">
      <c r="A100" s="12"/>
      <c r="B100" s="12"/>
      <c r="C100" s="12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ht="15" customHeight="1" x14ac:dyDescent="0.3">
      <c r="A101" s="12"/>
      <c r="B101" s="12"/>
      <c r="C101" s="12"/>
      <c r="D101" s="4"/>
      <c r="E101" s="4"/>
      <c r="F101" s="10"/>
      <c r="G101" s="4"/>
      <c r="H101" s="4"/>
      <c r="I101" s="4"/>
      <c r="J101" s="10"/>
      <c r="K101" s="4"/>
      <c r="L101" s="4"/>
      <c r="M101" s="4"/>
      <c r="N101" s="10"/>
      <c r="P101" s="4"/>
      <c r="Q101" s="4"/>
      <c r="R101" s="10"/>
      <c r="S101" s="4"/>
      <c r="T101" s="4"/>
      <c r="U101" s="4"/>
      <c r="V101" s="10"/>
      <c r="W101" s="4"/>
      <c r="X101" s="4"/>
      <c r="Y101" s="4"/>
      <c r="Z101" s="10"/>
    </row>
    <row r="102" spans="1:26" s="62" customFormat="1" ht="15" customHeight="1" x14ac:dyDescent="0.3">
      <c r="A102" s="13"/>
      <c r="B102" s="28" t="s">
        <v>296</v>
      </c>
      <c r="C102" s="28"/>
      <c r="D102" s="30">
        <f>SUM(D99:D101)</f>
        <v>2585104.0300000003</v>
      </c>
      <c r="E102" s="15"/>
      <c r="F102" s="35">
        <f>IF(D$12=0,0,D102/D$12)</f>
        <v>16.149371552349439</v>
      </c>
      <c r="G102" s="15"/>
      <c r="H102" s="30">
        <f>SUM(H99:H101)</f>
        <v>-247086.45</v>
      </c>
      <c r="I102" s="15"/>
      <c r="J102" s="35">
        <f>IF(H$12=0,0,H102/H$12)</f>
        <v>-8.2057443360322004</v>
      </c>
      <c r="K102" s="17"/>
      <c r="L102" s="30">
        <f>+D102-H102</f>
        <v>2832190.4800000004</v>
      </c>
      <c r="M102" s="17"/>
      <c r="N102" s="35">
        <f>IF(H102=0,0,L102/H102)</f>
        <v>-11.462346397384399</v>
      </c>
      <c r="O102" s="27"/>
      <c r="P102" s="30">
        <f>SUM(P99:P101)</f>
        <v>4995497.2200000016</v>
      </c>
      <c r="Q102" s="15"/>
      <c r="R102" s="35">
        <f>IF(P$12=0,0,P102/P$12)</f>
        <v>0.42422380538979121</v>
      </c>
      <c r="S102" s="15"/>
      <c r="T102" s="30">
        <f>SUM(T99:T101)</f>
        <v>-2376029.9299999997</v>
      </c>
      <c r="U102" s="15"/>
      <c r="V102" s="35">
        <f>IF(T$12=0,0,T102/T$12)</f>
        <v>-2.3248916140571976</v>
      </c>
      <c r="W102" s="17"/>
      <c r="X102" s="30">
        <f>+P102-T102</f>
        <v>7371527.1500000013</v>
      </c>
      <c r="Y102" s="17"/>
      <c r="Z102" s="35">
        <f>IF(T102=0,0,X102/T102)</f>
        <v>-3.1024555107350866</v>
      </c>
    </row>
    <row r="103" spans="1:26" ht="15" customHeight="1" x14ac:dyDescent="0.3">
      <c r="A103" s="12"/>
      <c r="C103" s="12"/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2"/>
      <c r="B104" s="54">
        <v>44767.815828125</v>
      </c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A105" s="12"/>
      <c r="B105" s="53" t="s">
        <v>297</v>
      </c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2"/>
      <c r="B106" s="51"/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47BE-A32D-6126-6EED-357C0D8C54EC}">
  <sheetPr>
    <tabColor rgb="FF92D050"/>
    <outlinePr summaryBelow="0" summaryRight="0"/>
  </sheetPr>
  <dimension ref="A2:Z6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","430"," - ","Res Hall Management")</f>
        <v>Department 430 - Res Hall Management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15087.93</v>
      </c>
      <c r="E18" s="23"/>
      <c r="F18" s="34">
        <f t="shared" ref="F18:F45" si="0">IF(D$12=0,0,D18/D$12)</f>
        <v>0</v>
      </c>
      <c r="G18" s="23"/>
      <c r="H18" s="23" cm="1">
        <f t="array" ref="H18">SUM(OSRRefH22x_0)</f>
        <v>15995.380000000001</v>
      </c>
      <c r="I18" s="23"/>
      <c r="J18" s="34">
        <f t="shared" ref="J18:J45" si="1">IF(H$12=0,0,H18/H$12)</f>
        <v>0</v>
      </c>
      <c r="K18" s="8"/>
      <c r="L18" s="23">
        <f t="shared" ref="L18:L45" si="2">+D18-H18</f>
        <v>-907.45000000000073</v>
      </c>
      <c r="M18" s="8"/>
      <c r="N18" s="34">
        <f t="shared" ref="N18:N45" si="3">IF(H18=0,0,L18/H18)</f>
        <v>-5.6732006366838464E-2</v>
      </c>
      <c r="O18" s="13"/>
      <c r="P18" s="23" cm="1">
        <f t="array" ref="P18">SUM(OSRRefP22x_0)</f>
        <v>245668.56000000003</v>
      </c>
      <c r="Q18" s="23"/>
      <c r="R18" s="34">
        <f t="shared" ref="R18:R45" si="4">IF(P$12=0,0,P18/P$12)</f>
        <v>0</v>
      </c>
      <c r="S18" s="23"/>
      <c r="T18" s="23" cm="1">
        <f t="array" ref="T18">SUM(OSRRefT22x_0)</f>
        <v>206483.78000000003</v>
      </c>
      <c r="U18" s="23"/>
      <c r="V18" s="34">
        <f t="shared" ref="V18:V45" si="5">IF(T$12=0,0,T18/T$12)</f>
        <v>0</v>
      </c>
      <c r="W18" s="8"/>
      <c r="X18" s="23">
        <f t="shared" ref="X18:X45" si="6">+P18-T18</f>
        <v>39184.78</v>
      </c>
      <c r="Y18" s="8"/>
      <c r="Z18" s="34">
        <f t="shared" ref="Z18:Z45" si="7">IF(T18=0,0,X18/T18)</f>
        <v>0.18977170991348566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2021.7800000000002</v>
      </c>
      <c r="E19" s="2"/>
      <c r="F19" s="5">
        <f t="shared" si="0"/>
        <v>0</v>
      </c>
      <c r="G19" s="2"/>
      <c r="H19" s="2">
        <f>SUM(OSRRefH22_0x_0)</f>
        <v>6073.71</v>
      </c>
      <c r="I19" s="2"/>
      <c r="J19" s="5">
        <f t="shared" si="1"/>
        <v>0</v>
      </c>
      <c r="K19" s="2"/>
      <c r="L19" s="2">
        <f t="shared" si="2"/>
        <v>-4051.93</v>
      </c>
      <c r="M19" s="2"/>
      <c r="N19" s="5">
        <f t="shared" si="3"/>
        <v>-0.66712602346835781</v>
      </c>
      <c r="O19" s="11"/>
      <c r="P19" s="2">
        <f>SUM(OSRRefP22_0x_0)</f>
        <v>68562.850000000006</v>
      </c>
      <c r="Q19" s="2"/>
      <c r="R19" s="5">
        <f t="shared" si="4"/>
        <v>0</v>
      </c>
      <c r="S19" s="2"/>
      <c r="T19" s="2">
        <f>SUM(OSRRefT22_0x_0)</f>
        <v>69971.17</v>
      </c>
      <c r="U19" s="2"/>
      <c r="V19" s="5">
        <f t="shared" si="5"/>
        <v>0</v>
      </c>
      <c r="W19" s="2"/>
      <c r="X19" s="2">
        <f t="shared" si="6"/>
        <v>-1408.3199999999924</v>
      </c>
      <c r="Y19" s="2"/>
      <c r="Z19" s="5">
        <f t="shared" si="7"/>
        <v>-2.0127146651970983E-2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712.82</v>
      </c>
      <c r="E20" s="3"/>
      <c r="F20" s="7">
        <f t="shared" si="0"/>
        <v>0</v>
      </c>
      <c r="G20" s="3"/>
      <c r="H20" s="6">
        <v>691.15</v>
      </c>
      <c r="I20" s="3"/>
      <c r="J20" s="7">
        <f t="shared" si="1"/>
        <v>0</v>
      </c>
      <c r="K20" s="3"/>
      <c r="L20" s="6">
        <f t="shared" si="2"/>
        <v>21.670000000000073</v>
      </c>
      <c r="M20" s="3"/>
      <c r="N20" s="7">
        <f t="shared" si="3"/>
        <v>3.1353541199450295E-2</v>
      </c>
      <c r="O20" s="9"/>
      <c r="P20" s="6">
        <v>9224.09</v>
      </c>
      <c r="Q20" s="3"/>
      <c r="R20" s="7">
        <f t="shared" si="4"/>
        <v>0</v>
      </c>
      <c r="S20" s="3"/>
      <c r="T20" s="6">
        <v>9167.84</v>
      </c>
      <c r="U20" s="3"/>
      <c r="V20" s="7">
        <f t="shared" si="5"/>
        <v>0</v>
      </c>
      <c r="W20" s="3"/>
      <c r="X20" s="6">
        <f t="shared" si="6"/>
        <v>56.25</v>
      </c>
      <c r="Y20" s="3"/>
      <c r="Z20" s="7">
        <f t="shared" si="7"/>
        <v>6.1355782823434967E-3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-3229.86</v>
      </c>
      <c r="E21" s="3"/>
      <c r="F21" s="7">
        <f t="shared" si="0"/>
        <v>0</v>
      </c>
      <c r="G21" s="3"/>
      <c r="H21" s="6">
        <v>387.58</v>
      </c>
      <c r="I21" s="3"/>
      <c r="J21" s="7">
        <f t="shared" si="1"/>
        <v>0</v>
      </c>
      <c r="K21" s="3"/>
      <c r="L21" s="6">
        <f t="shared" si="2"/>
        <v>-3617.44</v>
      </c>
      <c r="M21" s="3"/>
      <c r="N21" s="7">
        <f t="shared" si="3"/>
        <v>-9.3334021363331452</v>
      </c>
      <c r="O21" s="9"/>
      <c r="P21" s="6">
        <v>767.15</v>
      </c>
      <c r="Q21" s="3"/>
      <c r="R21" s="7">
        <f t="shared" si="4"/>
        <v>0</v>
      </c>
      <c r="S21" s="3"/>
      <c r="T21" s="6">
        <v>5131.6499999999996</v>
      </c>
      <c r="U21" s="3"/>
      <c r="V21" s="7">
        <f t="shared" si="5"/>
        <v>0</v>
      </c>
      <c r="W21" s="3"/>
      <c r="X21" s="6">
        <f t="shared" si="6"/>
        <v>-4364.5</v>
      </c>
      <c r="Y21" s="3"/>
      <c r="Z21" s="7">
        <f t="shared" si="7"/>
        <v>-0.85050617247863758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2467.5700000000002</v>
      </c>
      <c r="E22" s="3"/>
      <c r="F22" s="7">
        <f t="shared" si="0"/>
        <v>0</v>
      </c>
      <c r="G22" s="3"/>
      <c r="H22" s="6">
        <v>2691.73</v>
      </c>
      <c r="I22" s="3"/>
      <c r="J22" s="7">
        <f t="shared" si="1"/>
        <v>0</v>
      </c>
      <c r="K22" s="3"/>
      <c r="L22" s="6">
        <f t="shared" si="2"/>
        <v>-224.15999999999985</v>
      </c>
      <c r="M22" s="3"/>
      <c r="N22" s="7">
        <f t="shared" si="3"/>
        <v>-8.3277297500120681E-2</v>
      </c>
      <c r="O22" s="9"/>
      <c r="P22" s="6">
        <v>30944.55</v>
      </c>
      <c r="Q22" s="3"/>
      <c r="R22" s="7">
        <f t="shared" si="4"/>
        <v>0</v>
      </c>
      <c r="S22" s="3"/>
      <c r="T22" s="6">
        <v>32577.78</v>
      </c>
      <c r="U22" s="3"/>
      <c r="V22" s="7">
        <f t="shared" si="5"/>
        <v>0</v>
      </c>
      <c r="W22" s="3"/>
      <c r="X22" s="6">
        <f t="shared" si="6"/>
        <v>-1633.2299999999996</v>
      </c>
      <c r="Y22" s="3"/>
      <c r="Z22" s="7">
        <f t="shared" si="7"/>
        <v>-5.013325033197473E-2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23.49</v>
      </c>
      <c r="I23" s="3"/>
      <c r="J23" s="7">
        <f t="shared" si="1"/>
        <v>0</v>
      </c>
      <c r="K23" s="3"/>
      <c r="L23" s="6">
        <f t="shared" si="2"/>
        <v>-23.49</v>
      </c>
      <c r="M23" s="3"/>
      <c r="N23" s="7">
        <f t="shared" si="3"/>
        <v>-1</v>
      </c>
      <c r="O23" s="9"/>
      <c r="P23" s="6">
        <v>288.66000000000003</v>
      </c>
      <c r="Q23" s="3"/>
      <c r="R23" s="7">
        <f t="shared" si="4"/>
        <v>0</v>
      </c>
      <c r="S23" s="3"/>
      <c r="T23" s="6">
        <v>310.99</v>
      </c>
      <c r="U23" s="3"/>
      <c r="V23" s="7">
        <f t="shared" si="5"/>
        <v>0</v>
      </c>
      <c r="W23" s="3"/>
      <c r="X23" s="6">
        <f t="shared" si="6"/>
        <v>-22.329999999999984</v>
      </c>
      <c r="Y23" s="3"/>
      <c r="Z23" s="7">
        <f t="shared" si="7"/>
        <v>-7.1802951863403922E-2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636.5</v>
      </c>
      <c r="E24" s="3"/>
      <c r="F24" s="7">
        <f t="shared" si="0"/>
        <v>0</v>
      </c>
      <c r="G24" s="3"/>
      <c r="H24" s="6">
        <v>1038.8599999999999</v>
      </c>
      <c r="I24" s="3"/>
      <c r="J24" s="7">
        <f t="shared" si="1"/>
        <v>0</v>
      </c>
      <c r="K24" s="3"/>
      <c r="L24" s="6">
        <f t="shared" si="2"/>
        <v>-402.3599999999999</v>
      </c>
      <c r="M24" s="3"/>
      <c r="N24" s="7">
        <f t="shared" si="3"/>
        <v>-0.38730916581637559</v>
      </c>
      <c r="O24" s="9"/>
      <c r="P24" s="6">
        <v>8859.4</v>
      </c>
      <c r="Q24" s="3"/>
      <c r="R24" s="7">
        <f t="shared" si="4"/>
        <v>0</v>
      </c>
      <c r="S24" s="3"/>
      <c r="T24" s="6">
        <v>9349.7099999999991</v>
      </c>
      <c r="U24" s="3"/>
      <c r="V24" s="7">
        <f t="shared" si="5"/>
        <v>0</v>
      </c>
      <c r="W24" s="3"/>
      <c r="X24" s="6">
        <f t="shared" si="6"/>
        <v>-490.30999999999949</v>
      </c>
      <c r="Y24" s="3"/>
      <c r="Z24" s="7">
        <f t="shared" si="7"/>
        <v>-5.2441198710976016E-2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860.74</v>
      </c>
      <c r="E25" s="3"/>
      <c r="F25" s="7">
        <f t="shared" si="0"/>
        <v>0</v>
      </c>
      <c r="G25" s="3"/>
      <c r="H25" s="6">
        <v>827.64</v>
      </c>
      <c r="I25" s="3"/>
      <c r="J25" s="7">
        <f t="shared" si="1"/>
        <v>0</v>
      </c>
      <c r="K25" s="3"/>
      <c r="L25" s="6">
        <f t="shared" si="2"/>
        <v>33.100000000000023</v>
      </c>
      <c r="M25" s="3"/>
      <c r="N25" s="7">
        <f t="shared" si="3"/>
        <v>3.9993233773138105E-2</v>
      </c>
      <c r="O25" s="9"/>
      <c r="P25" s="6">
        <v>10958.27</v>
      </c>
      <c r="Q25" s="3"/>
      <c r="R25" s="7">
        <f t="shared" si="4"/>
        <v>0</v>
      </c>
      <c r="S25" s="3"/>
      <c r="T25" s="6">
        <v>7892.82</v>
      </c>
      <c r="U25" s="3"/>
      <c r="V25" s="7">
        <f t="shared" si="5"/>
        <v>0</v>
      </c>
      <c r="W25" s="3"/>
      <c r="X25" s="6">
        <f t="shared" si="6"/>
        <v>3065.4500000000007</v>
      </c>
      <c r="Y25" s="3"/>
      <c r="Z25" s="7">
        <f t="shared" si="7"/>
        <v>0.38838463312225552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429.78</v>
      </c>
      <c r="E26" s="3"/>
      <c r="F26" s="7">
        <f t="shared" si="0"/>
        <v>0</v>
      </c>
      <c r="G26" s="3"/>
      <c r="H26" s="6">
        <v>413.26</v>
      </c>
      <c r="I26" s="3"/>
      <c r="J26" s="7">
        <f t="shared" si="1"/>
        <v>0</v>
      </c>
      <c r="K26" s="3"/>
      <c r="L26" s="6">
        <f t="shared" si="2"/>
        <v>16.519999999999982</v>
      </c>
      <c r="M26" s="3"/>
      <c r="N26" s="7">
        <f t="shared" si="3"/>
        <v>3.9974834244785325E-2</v>
      </c>
      <c r="O26" s="9"/>
      <c r="P26" s="6">
        <v>6257.65</v>
      </c>
      <c r="Q26" s="3"/>
      <c r="R26" s="7">
        <f t="shared" si="4"/>
        <v>0</v>
      </c>
      <c r="S26" s="3"/>
      <c r="T26" s="6">
        <v>5372.38</v>
      </c>
      <c r="U26" s="3"/>
      <c r="V26" s="7">
        <f t="shared" si="5"/>
        <v>0</v>
      </c>
      <c r="W26" s="3"/>
      <c r="X26" s="6">
        <f t="shared" si="6"/>
        <v>885.26999999999953</v>
      </c>
      <c r="Y26" s="3"/>
      <c r="Z26" s="7">
        <f t="shared" si="7"/>
        <v>0.16478171685547177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144.22999999999999</v>
      </c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144.22999999999999</v>
      </c>
      <c r="M27" s="3"/>
      <c r="N27" s="7">
        <f t="shared" si="3"/>
        <v>0</v>
      </c>
      <c r="O27" s="9"/>
      <c r="P27" s="6">
        <v>1263.08</v>
      </c>
      <c r="Q27" s="3"/>
      <c r="R27" s="7">
        <f t="shared" si="4"/>
        <v>0</v>
      </c>
      <c r="S27" s="3"/>
      <c r="T27" s="6">
        <v>168</v>
      </c>
      <c r="U27" s="3"/>
      <c r="V27" s="7">
        <f t="shared" si="5"/>
        <v>0</v>
      </c>
      <c r="W27" s="3"/>
      <c r="X27" s="6">
        <f t="shared" si="6"/>
        <v>1095.08</v>
      </c>
      <c r="Y27" s="3"/>
      <c r="Z27" s="7">
        <f t="shared" si="7"/>
        <v>6.5183333333333326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9317.92</v>
      </c>
      <c r="E28" s="2"/>
      <c r="F28" s="5">
        <f t="shared" si="0"/>
        <v>0</v>
      </c>
      <c r="G28" s="2"/>
      <c r="H28" s="2">
        <f>SUM(OSRRefH22_1x_0)</f>
        <v>6271.67</v>
      </c>
      <c r="I28" s="2"/>
      <c r="J28" s="5">
        <f t="shared" si="1"/>
        <v>0</v>
      </c>
      <c r="K28" s="2"/>
      <c r="L28" s="2">
        <f t="shared" si="2"/>
        <v>3046.25</v>
      </c>
      <c r="M28" s="2"/>
      <c r="N28" s="5">
        <f t="shared" si="3"/>
        <v>0.48571592574226641</v>
      </c>
      <c r="O28" s="11"/>
      <c r="P28" s="2">
        <f>SUM(OSRRefP22_1x_0)</f>
        <v>113051.4</v>
      </c>
      <c r="Q28" s="2"/>
      <c r="R28" s="5">
        <f t="shared" si="4"/>
        <v>0</v>
      </c>
      <c r="S28" s="2"/>
      <c r="T28" s="2">
        <f>SUM(OSRRefT22_1x_0)</f>
        <v>106395.53</v>
      </c>
      <c r="U28" s="2"/>
      <c r="V28" s="5">
        <f t="shared" si="5"/>
        <v>0</v>
      </c>
      <c r="W28" s="2"/>
      <c r="X28" s="2">
        <f t="shared" si="6"/>
        <v>6655.8699999999953</v>
      </c>
      <c r="Y28" s="2"/>
      <c r="Z28" s="5">
        <f t="shared" si="7"/>
        <v>6.2557797305958202E-2</v>
      </c>
    </row>
    <row r="29" spans="1:26" s="69" customFormat="1" ht="15" hidden="1" customHeight="1" outlineLevel="2" x14ac:dyDescent="0.3">
      <c r="A29" s="21"/>
      <c r="B29" s="9" t="str">
        <f>CONCATENATE("          ","6001"," - ","ADMINISTRATIVE SALARIES")</f>
        <v xml:space="preserve">          6001 - ADMINISTRATIVE SALARIES</v>
      </c>
      <c r="C29" s="9"/>
      <c r="D29" s="6">
        <v>9317.92</v>
      </c>
      <c r="E29" s="3"/>
      <c r="F29" s="7">
        <f t="shared" si="0"/>
        <v>0</v>
      </c>
      <c r="G29" s="3"/>
      <c r="H29" s="6">
        <v>6271.67</v>
      </c>
      <c r="I29" s="3"/>
      <c r="J29" s="7">
        <f t="shared" si="1"/>
        <v>0</v>
      </c>
      <c r="K29" s="3"/>
      <c r="L29" s="6">
        <f t="shared" si="2"/>
        <v>3046.25</v>
      </c>
      <c r="M29" s="3"/>
      <c r="N29" s="7">
        <f t="shared" si="3"/>
        <v>0.48571592574226641</v>
      </c>
      <c r="O29" s="9"/>
      <c r="P29" s="6">
        <v>113051.4</v>
      </c>
      <c r="Q29" s="3"/>
      <c r="R29" s="7">
        <f t="shared" si="4"/>
        <v>0</v>
      </c>
      <c r="S29" s="3"/>
      <c r="T29" s="6">
        <v>106395.53</v>
      </c>
      <c r="U29" s="3"/>
      <c r="V29" s="7">
        <f t="shared" si="5"/>
        <v>0</v>
      </c>
      <c r="W29" s="3"/>
      <c r="X29" s="6">
        <f t="shared" si="6"/>
        <v>6655.8699999999953</v>
      </c>
      <c r="Y29" s="3"/>
      <c r="Z29" s="7">
        <f t="shared" si="7"/>
        <v>6.2557797305958202E-2</v>
      </c>
    </row>
    <row r="30" spans="1:26" s="68" customFormat="1" ht="15" customHeight="1" outlineLevel="1" collapsed="1" x14ac:dyDescent="0.3">
      <c r="A30" s="20"/>
      <c r="B30" s="11" t="str">
        <f>CONCATENATE("     ","Advertising/Promo                                 ")</f>
        <v xml:space="preserve">     Advertising/Promo                                 </v>
      </c>
      <c r="C30" s="11"/>
      <c r="D30" s="2">
        <f>SUM(OSRRefD22_2x_0)</f>
        <v>0</v>
      </c>
      <c r="E30" s="2"/>
      <c r="F30" s="5">
        <f t="shared" si="0"/>
        <v>0</v>
      </c>
      <c r="G30" s="2"/>
      <c r="H30" s="2">
        <f>SUM(OSRRefH22_2x_0)</f>
        <v>0</v>
      </c>
      <c r="I30" s="2"/>
      <c r="J30" s="5">
        <f t="shared" si="1"/>
        <v>0</v>
      </c>
      <c r="K30" s="2"/>
      <c r="L30" s="2">
        <f t="shared" si="2"/>
        <v>0</v>
      </c>
      <c r="M30" s="2"/>
      <c r="N30" s="5">
        <f t="shared" si="3"/>
        <v>0</v>
      </c>
      <c r="O30" s="11"/>
      <c r="P30" s="2">
        <f>SUM(OSRRefP22_2x_0)</f>
        <v>45</v>
      </c>
      <c r="Q30" s="2"/>
      <c r="R30" s="5">
        <f t="shared" si="4"/>
        <v>0</v>
      </c>
      <c r="S30" s="2"/>
      <c r="T30" s="2">
        <f>SUM(OSRRefT22_2x_0)</f>
        <v>0</v>
      </c>
      <c r="U30" s="2"/>
      <c r="V30" s="5">
        <f t="shared" si="5"/>
        <v>0</v>
      </c>
      <c r="W30" s="2"/>
      <c r="X30" s="2">
        <f t="shared" si="6"/>
        <v>45</v>
      </c>
      <c r="Y30" s="2"/>
      <c r="Z30" s="5">
        <f t="shared" si="7"/>
        <v>0</v>
      </c>
    </row>
    <row r="31" spans="1:26" s="69" customFormat="1" ht="15" hidden="1" customHeight="1" outlineLevel="2" x14ac:dyDescent="0.3">
      <c r="A31" s="21"/>
      <c r="B31" s="9" t="str">
        <f>CONCATENATE("          ","6362"," - ","ADVERTISING EXPENSE")</f>
        <v xml:space="preserve">          6362 - ADVERTISING EXPENSE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45</v>
      </c>
      <c r="Q31" s="3"/>
      <c r="R31" s="7">
        <f t="shared" si="4"/>
        <v>0</v>
      </c>
      <c r="S31" s="3"/>
      <c r="T31" s="6"/>
      <c r="U31" s="3"/>
      <c r="V31" s="7">
        <f t="shared" si="5"/>
        <v>0</v>
      </c>
      <c r="W31" s="3"/>
      <c r="X31" s="6">
        <f t="shared" si="6"/>
        <v>45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0"/>
      <c r="B32" s="11" t="str">
        <f>CONCATENATE("     ","General                                           ")</f>
        <v xml:space="preserve">     General                                           </v>
      </c>
      <c r="C32" s="11"/>
      <c r="D32" s="2">
        <f>SUM(OSRRefD22_3x_0)</f>
        <v>0</v>
      </c>
      <c r="E32" s="2"/>
      <c r="F32" s="5">
        <f t="shared" si="0"/>
        <v>0</v>
      </c>
      <c r="G32" s="2"/>
      <c r="H32" s="2">
        <f>SUM(OSRRefH22_3x_0)</f>
        <v>0</v>
      </c>
      <c r="I32" s="2"/>
      <c r="J32" s="5">
        <f t="shared" si="1"/>
        <v>0</v>
      </c>
      <c r="K32" s="2"/>
      <c r="L32" s="2">
        <f t="shared" si="2"/>
        <v>0</v>
      </c>
      <c r="M32" s="2"/>
      <c r="N32" s="5">
        <f t="shared" si="3"/>
        <v>0</v>
      </c>
      <c r="O32" s="11"/>
      <c r="P32" s="2">
        <f>SUM(OSRRefP22_3x_0)</f>
        <v>795.2</v>
      </c>
      <c r="Q32" s="2"/>
      <c r="R32" s="5">
        <f t="shared" si="4"/>
        <v>0</v>
      </c>
      <c r="S32" s="2"/>
      <c r="T32" s="2">
        <f>SUM(OSRRefT22_3x_0)</f>
        <v>1.65</v>
      </c>
      <c r="U32" s="2"/>
      <c r="V32" s="5">
        <f t="shared" si="5"/>
        <v>0</v>
      </c>
      <c r="W32" s="2"/>
      <c r="X32" s="2">
        <f t="shared" si="6"/>
        <v>793.55000000000007</v>
      </c>
      <c r="Y32" s="2"/>
      <c r="Z32" s="5">
        <f t="shared" si="7"/>
        <v>480.93939393939399</v>
      </c>
    </row>
    <row r="33" spans="1:26" s="69" customFormat="1" ht="15" hidden="1" customHeight="1" outlineLevel="2" x14ac:dyDescent="0.3">
      <c r="A33" s="21"/>
      <c r="B33" s="9" t="str">
        <f>CONCATENATE("          ","6279"," - ","GENERAL EXPENSE")</f>
        <v xml:space="preserve">          6279 - GENERAL EXPENSE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795.2</v>
      </c>
      <c r="Q33" s="3"/>
      <c r="R33" s="7">
        <f t="shared" si="4"/>
        <v>0</v>
      </c>
      <c r="S33" s="3"/>
      <c r="T33" s="6">
        <v>1.65</v>
      </c>
      <c r="U33" s="3"/>
      <c r="V33" s="7">
        <f t="shared" si="5"/>
        <v>0</v>
      </c>
      <c r="W33" s="3"/>
      <c r="X33" s="6">
        <f t="shared" si="6"/>
        <v>793.55000000000007</v>
      </c>
      <c r="Y33" s="3"/>
      <c r="Z33" s="7">
        <f t="shared" si="7"/>
        <v>480.93939393939399</v>
      </c>
    </row>
    <row r="34" spans="1:26" s="68" customFormat="1" ht="15" customHeight="1" outlineLevel="1" collapsed="1" x14ac:dyDescent="0.3">
      <c r="A34" s="20"/>
      <c r="B34" s="11" t="str">
        <f>CONCATENATE("     ","Repair and Maintenance                            ")</f>
        <v xml:space="preserve">     Repair and Maintenance                            </v>
      </c>
      <c r="C34" s="11"/>
      <c r="D34" s="2">
        <f>SUM(OSRRefD22_4x_0)</f>
        <v>3500</v>
      </c>
      <c r="E34" s="2"/>
      <c r="F34" s="5">
        <f t="shared" si="0"/>
        <v>0</v>
      </c>
      <c r="G34" s="2"/>
      <c r="H34" s="2">
        <f>SUM(OSRRefH22_4x_0)</f>
        <v>3500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SUM(OSRRefP22_4x_0)</f>
        <v>42000</v>
      </c>
      <c r="Q34" s="2"/>
      <c r="R34" s="5">
        <f t="shared" si="4"/>
        <v>0</v>
      </c>
      <c r="S34" s="2"/>
      <c r="T34" s="2">
        <f>SUM(OSRRefT22_4x_0)</f>
        <v>24500</v>
      </c>
      <c r="U34" s="2"/>
      <c r="V34" s="5">
        <f t="shared" si="5"/>
        <v>0</v>
      </c>
      <c r="W34" s="2"/>
      <c r="X34" s="2">
        <f t="shared" si="6"/>
        <v>17500</v>
      </c>
      <c r="Y34" s="2"/>
      <c r="Z34" s="5">
        <f t="shared" si="7"/>
        <v>0.7142857142857143</v>
      </c>
    </row>
    <row r="35" spans="1:26" s="69" customFormat="1" ht="15" hidden="1" customHeight="1" outlineLevel="2" x14ac:dyDescent="0.3">
      <c r="A35" s="21"/>
      <c r="B35" s="9" t="str">
        <f>CONCATENATE("          ","6371"," - ","COMPUTER SOFTWARE MAINTENANCE")</f>
        <v xml:space="preserve">          6371 - COMPUTER SOFTWARE MAINTENANCE</v>
      </c>
      <c r="C35" s="9"/>
      <c r="D35" s="6">
        <v>3500</v>
      </c>
      <c r="E35" s="3"/>
      <c r="F35" s="7">
        <f t="shared" si="0"/>
        <v>0</v>
      </c>
      <c r="G35" s="3"/>
      <c r="H35" s="6">
        <v>3500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42000</v>
      </c>
      <c r="Q35" s="3"/>
      <c r="R35" s="7">
        <f t="shared" si="4"/>
        <v>0</v>
      </c>
      <c r="S35" s="3"/>
      <c r="T35" s="6">
        <v>24500</v>
      </c>
      <c r="U35" s="3"/>
      <c r="V35" s="7">
        <f t="shared" si="5"/>
        <v>0</v>
      </c>
      <c r="W35" s="3"/>
      <c r="X35" s="6">
        <f t="shared" si="6"/>
        <v>17500</v>
      </c>
      <c r="Y35" s="3"/>
      <c r="Z35" s="7">
        <f t="shared" si="7"/>
        <v>0.7142857142857143</v>
      </c>
    </row>
    <row r="36" spans="1:26" s="68" customFormat="1" ht="15" customHeight="1" outlineLevel="1" collapsed="1" x14ac:dyDescent="0.3">
      <c r="A36" s="20"/>
      <c r="B36" s="11" t="str">
        <f>CONCATENATE("     ","Supplies                                          ")</f>
        <v xml:space="preserve">     Supplies                                          </v>
      </c>
      <c r="C36" s="11"/>
      <c r="D36" s="2">
        <f>SUM(OSRRefD22_5x_0)</f>
        <v>0</v>
      </c>
      <c r="E36" s="2"/>
      <c r="F36" s="5">
        <f t="shared" si="0"/>
        <v>0</v>
      </c>
      <c r="G36" s="2"/>
      <c r="H36" s="2">
        <f>SUM(OSRRefH22_5x_0)</f>
        <v>0</v>
      </c>
      <c r="I36" s="2"/>
      <c r="J36" s="5">
        <f t="shared" si="1"/>
        <v>0</v>
      </c>
      <c r="K36" s="2"/>
      <c r="L36" s="2">
        <f t="shared" si="2"/>
        <v>0</v>
      </c>
      <c r="M36" s="2"/>
      <c r="N36" s="5">
        <f t="shared" si="3"/>
        <v>0</v>
      </c>
      <c r="O36" s="11"/>
      <c r="P36" s="2">
        <f>SUM(OSRRefP22_5x_0)</f>
        <v>4431.32</v>
      </c>
      <c r="Q36" s="2"/>
      <c r="R36" s="5">
        <f t="shared" si="4"/>
        <v>0</v>
      </c>
      <c r="S36" s="2"/>
      <c r="T36" s="2">
        <f>SUM(OSRRefT22_5x_0)</f>
        <v>4939.2</v>
      </c>
      <c r="U36" s="2"/>
      <c r="V36" s="5">
        <f t="shared" si="5"/>
        <v>0</v>
      </c>
      <c r="W36" s="2"/>
      <c r="X36" s="2">
        <f t="shared" si="6"/>
        <v>-507.88000000000011</v>
      </c>
      <c r="Y36" s="2"/>
      <c r="Z36" s="5">
        <f t="shared" si="7"/>
        <v>-0.1028263686426952</v>
      </c>
    </row>
    <row r="37" spans="1:26" s="69" customFormat="1" ht="15" hidden="1" customHeight="1" outlineLevel="2" x14ac:dyDescent="0.3">
      <c r="A37" s="21"/>
      <c r="B37" s="9" t="str">
        <f>CONCATENATE("          ","6235"," - ","COVID-19 EXPENSES")</f>
        <v xml:space="preserve">          6235 - COVID-19 EXPENSES</v>
      </c>
      <c r="C37" s="9"/>
      <c r="D37" s="6"/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4939.2</v>
      </c>
      <c r="U37" s="3"/>
      <c r="V37" s="7">
        <f t="shared" si="5"/>
        <v>0</v>
      </c>
      <c r="W37" s="3"/>
      <c r="X37" s="6">
        <f t="shared" si="6"/>
        <v>-4939.2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1"/>
      <c r="B38" s="9" t="str">
        <f>CONCATENATE("          ","6239"," - ","KITCHEN SUPPLIES")</f>
        <v xml:space="preserve">          6239 - KITCHEN SUPPLIES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>
        <v>225.98</v>
      </c>
      <c r="Q38" s="3"/>
      <c r="R38" s="7">
        <f t="shared" si="4"/>
        <v>0</v>
      </c>
      <c r="S38" s="3"/>
      <c r="T38" s="6"/>
      <c r="U38" s="3"/>
      <c r="V38" s="7">
        <f t="shared" si="5"/>
        <v>0</v>
      </c>
      <c r="W38" s="3"/>
      <c r="X38" s="6">
        <f t="shared" si="6"/>
        <v>225.98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","6241"," - ","OFFICE EXPENSE")</f>
        <v xml:space="preserve">          6241 - OFFICE EXPENSE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4205.34</v>
      </c>
      <c r="Q39" s="3"/>
      <c r="R39" s="7">
        <f t="shared" si="4"/>
        <v>0</v>
      </c>
      <c r="S39" s="3"/>
      <c r="T39" s="6"/>
      <c r="U39" s="3"/>
      <c r="V39" s="7">
        <f t="shared" si="5"/>
        <v>0</v>
      </c>
      <c r="W39" s="3"/>
      <c r="X39" s="6">
        <f t="shared" si="6"/>
        <v>4205.34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0"/>
      <c r="B40" s="11" t="str">
        <f>CONCATENATE("     ","Telephone/Data Lines                              ")</f>
        <v xml:space="preserve">     Telephone/Data Lines                              </v>
      </c>
      <c r="C40" s="11"/>
      <c r="D40" s="2">
        <f>SUM(OSRRefD22_6x_0)</f>
        <v>4</v>
      </c>
      <c r="E40" s="2"/>
      <c r="F40" s="5">
        <f t="shared" si="0"/>
        <v>0</v>
      </c>
      <c r="G40" s="2"/>
      <c r="H40" s="2">
        <f>SUM(OSRRefH22_6x_0)</f>
        <v>150</v>
      </c>
      <c r="I40" s="2"/>
      <c r="J40" s="5">
        <f t="shared" si="1"/>
        <v>0</v>
      </c>
      <c r="K40" s="2"/>
      <c r="L40" s="2">
        <f t="shared" si="2"/>
        <v>-146</v>
      </c>
      <c r="M40" s="2"/>
      <c r="N40" s="5">
        <f t="shared" si="3"/>
        <v>-0.97333333333333338</v>
      </c>
      <c r="O40" s="11"/>
      <c r="P40" s="2">
        <f>SUM(OSRRefP22_6x_0)</f>
        <v>887</v>
      </c>
      <c r="Q40" s="2"/>
      <c r="R40" s="5">
        <f t="shared" si="4"/>
        <v>0</v>
      </c>
      <c r="S40" s="2"/>
      <c r="T40" s="2">
        <f>SUM(OSRRefT22_6x_0)</f>
        <v>625</v>
      </c>
      <c r="U40" s="2"/>
      <c r="V40" s="5">
        <f t="shared" si="5"/>
        <v>0</v>
      </c>
      <c r="W40" s="2"/>
      <c r="X40" s="2">
        <f t="shared" si="6"/>
        <v>262</v>
      </c>
      <c r="Y40" s="2"/>
      <c r="Z40" s="5">
        <f t="shared" si="7"/>
        <v>0.41920000000000002</v>
      </c>
    </row>
    <row r="41" spans="1:26" s="69" customFormat="1" ht="15" hidden="1" customHeight="1" outlineLevel="2" x14ac:dyDescent="0.3">
      <c r="A41" s="21"/>
      <c r="B41" s="9" t="str">
        <f>CONCATENATE("          ","6309"," - ","TELEPHONE")</f>
        <v xml:space="preserve">          6309 - TELEPHONE</v>
      </c>
      <c r="C41" s="9"/>
      <c r="D41" s="6">
        <v>4</v>
      </c>
      <c r="E41" s="3"/>
      <c r="F41" s="7">
        <f t="shared" si="0"/>
        <v>0</v>
      </c>
      <c r="G41" s="3"/>
      <c r="H41" s="6">
        <v>150</v>
      </c>
      <c r="I41" s="3"/>
      <c r="J41" s="7">
        <f t="shared" si="1"/>
        <v>0</v>
      </c>
      <c r="K41" s="3"/>
      <c r="L41" s="6">
        <f t="shared" si="2"/>
        <v>-146</v>
      </c>
      <c r="M41" s="3"/>
      <c r="N41" s="7">
        <f t="shared" si="3"/>
        <v>-0.97333333333333338</v>
      </c>
      <c r="O41" s="9"/>
      <c r="P41" s="6">
        <v>887</v>
      </c>
      <c r="Q41" s="3"/>
      <c r="R41" s="7">
        <f t="shared" si="4"/>
        <v>0</v>
      </c>
      <c r="S41" s="3"/>
      <c r="T41" s="6">
        <v>625</v>
      </c>
      <c r="U41" s="3"/>
      <c r="V41" s="7">
        <f t="shared" si="5"/>
        <v>0</v>
      </c>
      <c r="W41" s="3"/>
      <c r="X41" s="6">
        <f t="shared" si="6"/>
        <v>262</v>
      </c>
      <c r="Y41" s="3"/>
      <c r="Z41" s="7">
        <f t="shared" si="7"/>
        <v>0.41920000000000002</v>
      </c>
    </row>
    <row r="42" spans="1:26" s="68" customFormat="1" ht="15" customHeight="1" outlineLevel="1" collapsed="1" x14ac:dyDescent="0.3">
      <c r="A42" s="20"/>
      <c r="B42" s="11" t="str">
        <f>CONCATENATE("     ","Training                                          ")</f>
        <v xml:space="preserve">     Training                                          </v>
      </c>
      <c r="C42" s="11"/>
      <c r="D42" s="2">
        <f>SUM(OSRRefD22_7x_0)</f>
        <v>244.23</v>
      </c>
      <c r="E42" s="2"/>
      <c r="F42" s="5">
        <f t="shared" si="0"/>
        <v>0</v>
      </c>
      <c r="G42" s="2"/>
      <c r="H42" s="2">
        <f>SUM(OSRRefH22_7x_0)</f>
        <v>0</v>
      </c>
      <c r="I42" s="2"/>
      <c r="J42" s="5">
        <f t="shared" si="1"/>
        <v>0</v>
      </c>
      <c r="K42" s="2"/>
      <c r="L42" s="2">
        <f t="shared" si="2"/>
        <v>244.23</v>
      </c>
      <c r="M42" s="2"/>
      <c r="N42" s="5">
        <f t="shared" si="3"/>
        <v>0</v>
      </c>
      <c r="O42" s="11"/>
      <c r="P42" s="2">
        <f>SUM(OSRRefP22_7x_0)</f>
        <v>15285.79</v>
      </c>
      <c r="Q42" s="2"/>
      <c r="R42" s="5">
        <f t="shared" si="4"/>
        <v>0</v>
      </c>
      <c r="S42" s="2"/>
      <c r="T42" s="2">
        <f>SUM(OSRRefT22_7x_0)</f>
        <v>51.23</v>
      </c>
      <c r="U42" s="2"/>
      <c r="V42" s="5">
        <f t="shared" si="5"/>
        <v>0</v>
      </c>
      <c r="W42" s="2"/>
      <c r="X42" s="2">
        <f t="shared" si="6"/>
        <v>15234.560000000001</v>
      </c>
      <c r="Y42" s="2"/>
      <c r="Z42" s="5">
        <f t="shared" si="7"/>
        <v>297.37575639273865</v>
      </c>
    </row>
    <row r="43" spans="1:26" s="69" customFormat="1" ht="15" hidden="1" customHeight="1" outlineLevel="2" x14ac:dyDescent="0.3">
      <c r="A43" s="21"/>
      <c r="B43" s="9" t="str">
        <f>CONCATENATE("          ","6376"," - ","TRAINING")</f>
        <v xml:space="preserve">          6376 - TRAINING</v>
      </c>
      <c r="C43" s="9"/>
      <c r="D43" s="6">
        <v>244.23</v>
      </c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244.23</v>
      </c>
      <c r="M43" s="3"/>
      <c r="N43" s="7">
        <f t="shared" si="3"/>
        <v>0</v>
      </c>
      <c r="O43" s="9"/>
      <c r="P43" s="6">
        <v>15285.79</v>
      </c>
      <c r="Q43" s="3"/>
      <c r="R43" s="7">
        <f t="shared" si="4"/>
        <v>0</v>
      </c>
      <c r="S43" s="3"/>
      <c r="T43" s="6">
        <v>51.23</v>
      </c>
      <c r="U43" s="3"/>
      <c r="V43" s="7">
        <f t="shared" si="5"/>
        <v>0</v>
      </c>
      <c r="W43" s="3"/>
      <c r="X43" s="6">
        <f t="shared" si="6"/>
        <v>15234.560000000001</v>
      </c>
      <c r="Y43" s="3"/>
      <c r="Z43" s="7">
        <f t="shared" si="7"/>
        <v>297.37575639273865</v>
      </c>
    </row>
    <row r="44" spans="1:26" s="68" customFormat="1" ht="15" customHeight="1" outlineLevel="1" collapsed="1" x14ac:dyDescent="0.3">
      <c r="A44" s="20"/>
      <c r="B44" s="11" t="str">
        <f>CONCATENATE("     ","Travel                                            ")</f>
        <v xml:space="preserve">     Travel                                            </v>
      </c>
      <c r="C44" s="11"/>
      <c r="D44" s="2">
        <f>SUM(OSRRefD22_8x_0)</f>
        <v>0</v>
      </c>
      <c r="E44" s="2"/>
      <c r="F44" s="5">
        <f t="shared" si="0"/>
        <v>0</v>
      </c>
      <c r="G44" s="2"/>
      <c r="H44" s="2">
        <f>SUM(OSRRefH22_8x_0)</f>
        <v>0</v>
      </c>
      <c r="I44" s="2"/>
      <c r="J44" s="5">
        <f t="shared" si="1"/>
        <v>0</v>
      </c>
      <c r="K44" s="2"/>
      <c r="L44" s="2">
        <f t="shared" si="2"/>
        <v>0</v>
      </c>
      <c r="M44" s="2"/>
      <c r="N44" s="5">
        <f t="shared" si="3"/>
        <v>0</v>
      </c>
      <c r="O44" s="11"/>
      <c r="P44" s="2">
        <f>SUM(OSRRefP22_8x_0)</f>
        <v>610</v>
      </c>
      <c r="Q44" s="2"/>
      <c r="R44" s="5">
        <f t="shared" si="4"/>
        <v>0</v>
      </c>
      <c r="S44" s="2"/>
      <c r="T44" s="2">
        <f>SUM(OSRRefT22_8x_0)</f>
        <v>0</v>
      </c>
      <c r="U44" s="2"/>
      <c r="V44" s="5">
        <f t="shared" si="5"/>
        <v>0</v>
      </c>
      <c r="W44" s="2"/>
      <c r="X44" s="2">
        <f t="shared" si="6"/>
        <v>610</v>
      </c>
      <c r="Y44" s="2"/>
      <c r="Z44" s="5">
        <f t="shared" si="7"/>
        <v>0</v>
      </c>
    </row>
    <row r="45" spans="1:26" s="69" customFormat="1" ht="15" hidden="1" customHeight="1" outlineLevel="2" x14ac:dyDescent="0.3">
      <c r="A45" s="21"/>
      <c r="B45" s="9" t="str">
        <f>CONCATENATE("          ","6292"," - ","TRAVEL/CONFERENCE")</f>
        <v xml:space="preserve">          6292 - TRAVEL/CONFERENCE</v>
      </c>
      <c r="C45" s="9"/>
      <c r="D45" s="6"/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>
        <v>610</v>
      </c>
      <c r="Q45" s="3"/>
      <c r="R45" s="7">
        <f t="shared" si="4"/>
        <v>0</v>
      </c>
      <c r="S45" s="3"/>
      <c r="T45" s="6"/>
      <c r="U45" s="3"/>
      <c r="V45" s="7">
        <f t="shared" si="5"/>
        <v>0</v>
      </c>
      <c r="W45" s="3"/>
      <c r="X45" s="6">
        <f t="shared" si="6"/>
        <v>610</v>
      </c>
      <c r="Y45" s="3"/>
      <c r="Z45" s="7">
        <f t="shared" si="7"/>
        <v>0</v>
      </c>
    </row>
    <row r="46" spans="1:26" s="64" customFormat="1" ht="15" customHeight="1" x14ac:dyDescent="0.3">
      <c r="A46" s="37"/>
      <c r="B46" s="37"/>
      <c r="C46" s="37"/>
      <c r="D46" s="2"/>
      <c r="E46" s="2"/>
      <c r="F46" s="5"/>
      <c r="G46" s="2"/>
      <c r="H46" s="2"/>
      <c r="I46" s="2"/>
      <c r="J46" s="5"/>
      <c r="K46" s="2"/>
      <c r="L46" s="2"/>
      <c r="M46" s="2"/>
      <c r="N46" s="5"/>
      <c r="O46" s="37"/>
      <c r="P46" s="2"/>
      <c r="Q46" s="2"/>
      <c r="R46" s="5"/>
      <c r="S46" s="2"/>
      <c r="T46" s="2"/>
      <c r="U46" s="2"/>
      <c r="V46" s="5"/>
      <c r="W46" s="2"/>
      <c r="X46" s="2"/>
      <c r="Y46" s="2"/>
      <c r="Z46" s="5"/>
    </row>
    <row r="47" spans="1:26" s="62" customFormat="1" ht="15" customHeight="1" x14ac:dyDescent="0.3">
      <c r="A47" s="13"/>
      <c r="B47" s="27" t="s">
        <v>290</v>
      </c>
      <c r="C47" s="13"/>
      <c r="D47" s="8">
        <f>SUM(0)</f>
        <v>0</v>
      </c>
      <c r="E47" s="8"/>
      <c r="F47" s="14">
        <f>IF(D$12=0,0,D47/D$12)</f>
        <v>0</v>
      </c>
      <c r="G47" s="8"/>
      <c r="H47" s="8">
        <f>SUM(0)</f>
        <v>0</v>
      </c>
      <c r="I47" s="8"/>
      <c r="J47" s="14">
        <f>IF(H$12=0,0,H47/H$12)</f>
        <v>0</v>
      </c>
      <c r="K47" s="8"/>
      <c r="L47" s="8">
        <f>+D47-H47</f>
        <v>0</v>
      </c>
      <c r="M47" s="8"/>
      <c r="N47" s="14">
        <f>IF(H47=0,0,L47/H47)</f>
        <v>0</v>
      </c>
      <c r="O47" s="13"/>
      <c r="P47" s="8">
        <f>SUM(0)</f>
        <v>0</v>
      </c>
      <c r="Q47" s="8"/>
      <c r="R47" s="14">
        <f>IF(P$12=0,0,P47/P$12)</f>
        <v>0</v>
      </c>
      <c r="S47" s="8"/>
      <c r="T47" s="8">
        <f>SUM(0)</f>
        <v>0</v>
      </c>
      <c r="U47" s="8"/>
      <c r="V47" s="14">
        <f>IF(T$12=0,0,T47/T$12)</f>
        <v>0</v>
      </c>
      <c r="W47" s="8"/>
      <c r="X47" s="8">
        <f>+P47-T47</f>
        <v>0</v>
      </c>
      <c r="Y47" s="8"/>
      <c r="Z47" s="14">
        <f>IF(T47=0,0,X47/T47)</f>
        <v>0</v>
      </c>
    </row>
    <row r="48" spans="1:26" ht="15" customHeight="1" x14ac:dyDescent="0.3">
      <c r="A48" s="12"/>
      <c r="B48" s="13"/>
      <c r="C48" s="13"/>
      <c r="D48" s="4"/>
      <c r="E48" s="4"/>
      <c r="F48" s="10"/>
      <c r="G48" s="4"/>
      <c r="H48" s="4"/>
      <c r="I48" s="4"/>
      <c r="J48" s="10"/>
      <c r="K48" s="4"/>
      <c r="L48" s="4"/>
      <c r="M48" s="4"/>
      <c r="N48" s="10"/>
      <c r="O48" s="13"/>
      <c r="P48" s="4"/>
      <c r="Q48" s="4"/>
      <c r="R48" s="10"/>
      <c r="S48" s="4"/>
      <c r="T48" s="4"/>
      <c r="U48" s="4"/>
      <c r="V48" s="10"/>
      <c r="W48" s="4"/>
      <c r="X48" s="4"/>
      <c r="Y48" s="4"/>
      <c r="Z48" s="10"/>
    </row>
    <row r="49" spans="1:26" s="62" customFormat="1" ht="15" customHeight="1" x14ac:dyDescent="0.3">
      <c r="A49" s="13"/>
      <c r="B49" s="28" t="s">
        <v>291</v>
      </c>
      <c r="C49" s="28"/>
      <c r="D49" s="22">
        <f>+D16-D18+D47</f>
        <v>-15087.93</v>
      </c>
      <c r="E49" s="15"/>
      <c r="F49" s="24">
        <f>IF(D$12=0,0,D49/D$12)</f>
        <v>0</v>
      </c>
      <c r="G49" s="15"/>
      <c r="H49" s="22">
        <f>+H16-H18+H47</f>
        <v>-15995.380000000001</v>
      </c>
      <c r="I49" s="15"/>
      <c r="J49" s="24">
        <f>IF(H$12=0,0,H49/H$12)</f>
        <v>0</v>
      </c>
      <c r="K49" s="17"/>
      <c r="L49" s="22">
        <f>+D49-H49</f>
        <v>907.45000000000073</v>
      </c>
      <c r="M49" s="17"/>
      <c r="N49" s="24">
        <f>IF(H49=0,0,L49/H49)</f>
        <v>-5.6732006366838464E-2</v>
      </c>
      <c r="O49" s="27"/>
      <c r="P49" s="22">
        <f>+P16-P18+P47</f>
        <v>-245668.56000000003</v>
      </c>
      <c r="Q49" s="15"/>
      <c r="R49" s="24">
        <f>IF(P$12=0,0,P49/P$12)</f>
        <v>0</v>
      </c>
      <c r="S49" s="15"/>
      <c r="T49" s="22">
        <f>+T16-T18+T47</f>
        <v>-206483.78000000003</v>
      </c>
      <c r="U49" s="15"/>
      <c r="V49" s="24">
        <f>IF(T$12=0,0,T49/T$12)</f>
        <v>0</v>
      </c>
      <c r="W49" s="17"/>
      <c r="X49" s="22">
        <f>+P49-T49</f>
        <v>-39184.78</v>
      </c>
      <c r="Y49" s="17"/>
      <c r="Z49" s="24">
        <f>IF(T49=0,0,X49/T49)</f>
        <v>0.18977170991348566</v>
      </c>
    </row>
    <row r="50" spans="1:26" ht="15" customHeight="1" x14ac:dyDescent="0.3">
      <c r="A50" s="12"/>
      <c r="B50" s="13"/>
      <c r="C50" s="12"/>
      <c r="D50" s="4"/>
      <c r="E50" s="4"/>
      <c r="F50" s="10"/>
      <c r="G50" s="4"/>
      <c r="H50" s="4"/>
      <c r="I50" s="4"/>
      <c r="J50" s="10"/>
      <c r="K50" s="4"/>
      <c r="L50" s="4"/>
      <c r="M50" s="4"/>
      <c r="N50" s="10"/>
      <c r="P50" s="4"/>
      <c r="Q50" s="4"/>
      <c r="R50" s="10"/>
      <c r="S50" s="4"/>
      <c r="T50" s="4"/>
      <c r="U50" s="4"/>
      <c r="V50" s="10"/>
      <c r="W50" s="4"/>
      <c r="X50" s="4"/>
      <c r="Y50" s="4"/>
      <c r="Z50" s="10"/>
    </row>
    <row r="51" spans="1:26" s="62" customFormat="1" ht="15" customHeight="1" x14ac:dyDescent="0.3">
      <c r="A51" s="48"/>
      <c r="B51" s="13" t="s">
        <v>292</v>
      </c>
      <c r="C51" s="13"/>
      <c r="D51" s="8"/>
      <c r="E51" s="8"/>
      <c r="F51" s="14">
        <f>IF(D$12=0,0,D51/D$12)</f>
        <v>0</v>
      </c>
      <c r="G51" s="8"/>
      <c r="H51" s="8"/>
      <c r="I51" s="8"/>
      <c r="J51" s="14">
        <f>IF(H$12=0,0,H51/H$12)</f>
        <v>0</v>
      </c>
      <c r="K51" s="8"/>
      <c r="L51" s="8">
        <f>+D51-H51</f>
        <v>0</v>
      </c>
      <c r="M51" s="8"/>
      <c r="N51" s="14">
        <f>IF(H51=0,0,L51/H51)</f>
        <v>0</v>
      </c>
      <c r="O51" s="13"/>
      <c r="P51" s="8"/>
      <c r="Q51" s="8"/>
      <c r="R51" s="14">
        <f>IF(P$12=0,0,P51/P$12)</f>
        <v>0</v>
      </c>
      <c r="S51" s="8"/>
      <c r="T51" s="8"/>
      <c r="U51" s="8"/>
      <c r="V51" s="14">
        <f>IF(T$12=0,0,T51/T$12)</f>
        <v>0</v>
      </c>
      <c r="W51" s="8"/>
      <c r="X51" s="8">
        <f>+P51-T51</f>
        <v>0</v>
      </c>
      <c r="Y51" s="8"/>
      <c r="Z51" s="14">
        <f>IF(T51=0,0,X51/T51)</f>
        <v>0</v>
      </c>
    </row>
    <row r="52" spans="1:26" ht="15" customHeight="1" x14ac:dyDescent="0.3">
      <c r="A52" s="12"/>
      <c r="B52" s="13"/>
      <c r="C52" s="13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O52" s="13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2" customFormat="1" ht="15" customHeight="1" x14ac:dyDescent="0.3">
      <c r="A53" s="13"/>
      <c r="B53" s="28" t="s">
        <v>293</v>
      </c>
      <c r="C53" s="28"/>
      <c r="D53" s="29">
        <f>+D49-D51</f>
        <v>-15087.93</v>
      </c>
      <c r="E53" s="15"/>
      <c r="F53" s="31">
        <f>IF(D$12=0,0,D53/D$12)</f>
        <v>0</v>
      </c>
      <c r="G53" s="15"/>
      <c r="H53" s="29">
        <f>+H49-H51</f>
        <v>-15995.380000000001</v>
      </c>
      <c r="I53" s="15"/>
      <c r="J53" s="31">
        <f>IF(H$12=0,0,H53/H$12)</f>
        <v>0</v>
      </c>
      <c r="K53" s="17"/>
      <c r="L53" s="29">
        <f>D53-H53</f>
        <v>907.45000000000073</v>
      </c>
      <c r="M53" s="17"/>
      <c r="N53" s="31">
        <f>IF(H53=0,0,L53/H53)</f>
        <v>-5.6732006366838464E-2</v>
      </c>
      <c r="O53" s="27"/>
      <c r="P53" s="29">
        <f>+P49-P51</f>
        <v>-245668.56000000003</v>
      </c>
      <c r="Q53" s="15"/>
      <c r="R53" s="31">
        <f>IF(P$12=0,0,P53/P$12)</f>
        <v>0</v>
      </c>
      <c r="S53" s="15"/>
      <c r="T53" s="29">
        <f>+T49-T51</f>
        <v>-206483.78000000003</v>
      </c>
      <c r="U53" s="15"/>
      <c r="V53" s="31">
        <f>IF(T$12=0,0,T53/T$12)</f>
        <v>0</v>
      </c>
      <c r="W53" s="17"/>
      <c r="X53" s="29">
        <f>P53-T53</f>
        <v>-39184.78</v>
      </c>
      <c r="Y53" s="17"/>
      <c r="Z53" s="31">
        <f>IF(T53=0,0,X53/T53)</f>
        <v>0.18977170991348566</v>
      </c>
    </row>
    <row r="54" spans="1:26" ht="15" customHeight="1" x14ac:dyDescent="0.3">
      <c r="A54" s="12"/>
      <c r="B54" s="12"/>
      <c r="C54" s="12"/>
      <c r="D54" s="4"/>
      <c r="E54" s="4"/>
      <c r="F54" s="10"/>
      <c r="G54" s="4"/>
      <c r="H54" s="4"/>
      <c r="I54" s="4"/>
      <c r="J54" s="10"/>
      <c r="K54" s="4"/>
      <c r="L54" s="4"/>
      <c r="M54" s="4"/>
      <c r="N54" s="10"/>
      <c r="P54" s="4"/>
      <c r="Q54" s="4"/>
      <c r="R54" s="10"/>
      <c r="S54" s="4"/>
      <c r="T54" s="4"/>
      <c r="U54" s="4"/>
      <c r="V54" s="10"/>
      <c r="W54" s="4"/>
      <c r="X54" s="4"/>
      <c r="Y54" s="4"/>
      <c r="Z54" s="10"/>
    </row>
    <row r="55" spans="1:26" ht="15" customHeight="1" x14ac:dyDescent="0.3">
      <c r="A55" s="12"/>
      <c r="B55" s="12"/>
      <c r="C55" s="12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2" customFormat="1" ht="15" customHeight="1" x14ac:dyDescent="0.3">
      <c r="A56" s="13"/>
      <c r="B56" s="28" t="s">
        <v>296</v>
      </c>
      <c r="C56" s="28"/>
      <c r="D56" s="30">
        <f>SUM(D53:D55)</f>
        <v>-15087.93</v>
      </c>
      <c r="E56" s="15"/>
      <c r="F56" s="35">
        <f>IF(D$12=0,0,D56/D$12)</f>
        <v>0</v>
      </c>
      <c r="G56" s="15"/>
      <c r="H56" s="30">
        <f>SUM(H53:H55)</f>
        <v>-15995.380000000001</v>
      </c>
      <c r="I56" s="15"/>
      <c r="J56" s="35">
        <f>IF(H$12=0,0,H56/H$12)</f>
        <v>0</v>
      </c>
      <c r="K56" s="17"/>
      <c r="L56" s="30">
        <f>+D56-H56</f>
        <v>907.45000000000073</v>
      </c>
      <c r="M56" s="17"/>
      <c r="N56" s="35">
        <f>IF(H56=0,0,L56/H56)</f>
        <v>-5.6732006366838464E-2</v>
      </c>
      <c r="O56" s="27"/>
      <c r="P56" s="30">
        <f>SUM(P53:P55)</f>
        <v>-245668.56000000003</v>
      </c>
      <c r="Q56" s="15"/>
      <c r="R56" s="35">
        <f>IF(P$12=0,0,P56/P$12)</f>
        <v>0</v>
      </c>
      <c r="S56" s="15"/>
      <c r="T56" s="30">
        <f>SUM(T53:T55)</f>
        <v>-206483.78000000003</v>
      </c>
      <c r="U56" s="15"/>
      <c r="V56" s="35">
        <f>IF(T$12=0,0,T56/T$12)</f>
        <v>0</v>
      </c>
      <c r="W56" s="17"/>
      <c r="X56" s="30">
        <f>+P56-T56</f>
        <v>-39184.78</v>
      </c>
      <c r="Y56" s="17"/>
      <c r="Z56" s="35">
        <f>IF(T56=0,0,X56/T56)</f>
        <v>0.18977170991348566</v>
      </c>
    </row>
    <row r="57" spans="1:26" ht="15" customHeight="1" x14ac:dyDescent="0.3">
      <c r="A57" s="12"/>
      <c r="C57" s="12"/>
      <c r="D57" s="19"/>
      <c r="E57" s="19"/>
      <c r="G57" s="19"/>
      <c r="H57" s="19"/>
      <c r="I57" s="19"/>
      <c r="J57" s="41"/>
      <c r="K57" s="19"/>
      <c r="L57" s="19"/>
      <c r="M57" s="19"/>
      <c r="P57" s="19"/>
      <c r="Q57" s="19"/>
      <c r="R57" s="41"/>
      <c r="S57" s="19"/>
      <c r="T57" s="19"/>
      <c r="U57" s="19"/>
      <c r="V57" s="41"/>
      <c r="W57" s="19"/>
      <c r="X57" s="19"/>
    </row>
    <row r="58" spans="1:26" ht="15" customHeight="1" x14ac:dyDescent="0.3">
      <c r="A58" s="12"/>
      <c r="B58" s="54">
        <v>44767.815885219905</v>
      </c>
      <c r="D58" s="19"/>
      <c r="E58" s="19"/>
      <c r="G58" s="19"/>
      <c r="H58" s="19"/>
      <c r="I58" s="19"/>
      <c r="J58" s="41"/>
      <c r="K58" s="19"/>
      <c r="L58" s="19"/>
      <c r="M58" s="19"/>
      <c r="P58" s="19"/>
      <c r="Q58" s="19"/>
      <c r="R58" s="41"/>
      <c r="S58" s="19"/>
      <c r="T58" s="19"/>
      <c r="U58" s="19"/>
      <c r="V58" s="41"/>
      <c r="W58" s="19"/>
      <c r="X58" s="19"/>
    </row>
    <row r="59" spans="1:26" ht="15" customHeight="1" x14ac:dyDescent="0.3">
      <c r="A59" s="12"/>
      <c r="B59" s="53" t="s">
        <v>297</v>
      </c>
      <c r="D59" s="19"/>
      <c r="E59" s="19"/>
      <c r="G59" s="19"/>
      <c r="H59" s="19"/>
      <c r="I59" s="19"/>
      <c r="J59" s="41"/>
      <c r="K59" s="19"/>
      <c r="L59" s="19"/>
      <c r="M59" s="19"/>
      <c r="P59" s="19"/>
      <c r="Q59" s="19"/>
      <c r="R59" s="41"/>
      <c r="S59" s="19"/>
      <c r="T59" s="19"/>
      <c r="U59" s="19"/>
      <c r="V59" s="41"/>
      <c r="W59" s="19"/>
      <c r="X59" s="19"/>
    </row>
    <row r="60" spans="1:26" ht="15" customHeight="1" x14ac:dyDescent="0.3">
      <c r="A60" s="12"/>
      <c r="B60" s="51"/>
      <c r="D60" s="19"/>
      <c r="E60" s="19"/>
      <c r="G60" s="19"/>
      <c r="H60" s="19"/>
      <c r="I60" s="19"/>
      <c r="J60" s="41"/>
      <c r="K60" s="19"/>
      <c r="L60" s="19"/>
      <c r="M60" s="19"/>
      <c r="P60" s="19"/>
      <c r="Q60" s="19"/>
      <c r="R60" s="41"/>
      <c r="S60" s="19"/>
      <c r="T60" s="19"/>
      <c r="U60" s="19"/>
      <c r="V60" s="41"/>
      <c r="W60" s="19"/>
      <c r="X60" s="19"/>
    </row>
    <row r="61" spans="1:26" ht="15" customHeight="1" x14ac:dyDescent="0.3">
      <c r="D61" s="19"/>
      <c r="E61" s="19"/>
      <c r="G61" s="19"/>
      <c r="H61" s="19"/>
      <c r="I61" s="19"/>
      <c r="J61" s="41"/>
      <c r="K61" s="19"/>
      <c r="L61" s="19"/>
      <c r="M61" s="19"/>
      <c r="P61" s="19"/>
      <c r="Q61" s="19"/>
      <c r="R61" s="41"/>
      <c r="S61" s="19"/>
      <c r="T61" s="19"/>
      <c r="U61" s="19"/>
      <c r="V61" s="41"/>
      <c r="W61" s="19"/>
      <c r="X6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45973-655F-DE72-9A18-521153ECFE24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","433"," - ","Hillside Dining Hall")</f>
        <v>Department 433 - Hillside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165567.51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165567.51</v>
      </c>
      <c r="M12" s="8"/>
      <c r="N12" s="14">
        <f>IF(H12=0,0,L12/H12)</f>
        <v>0</v>
      </c>
      <c r="O12" s="13"/>
      <c r="P12" s="8">
        <f>SUM(OSRRefP13x_0)</f>
        <v>4090806.06</v>
      </c>
      <c r="Q12" s="8"/>
      <c r="R12" s="14"/>
      <c r="S12" s="8"/>
      <c r="T12" s="8">
        <f>SUM(OSRRefT13x_0)</f>
        <v>23558.720000000001</v>
      </c>
      <c r="U12" s="8"/>
      <c r="V12" s="14"/>
      <c r="W12" s="8"/>
      <c r="X12" s="8">
        <f>+P12-T12</f>
        <v>4067247.34</v>
      </c>
      <c r="Y12" s="8"/>
      <c r="Z12" s="14">
        <f>IF(T12=0,0,X12/T12)</f>
        <v>172.64296786922208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--1305.2</f>
        <v>1305.2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1305.2</v>
      </c>
      <c r="M13" s="3"/>
      <c r="N13" s="26">
        <f>IF(H13=0,0,L13/H13)</f>
        <v>0</v>
      </c>
      <c r="O13" s="9"/>
      <c r="P13" s="3">
        <f>--4282.95</f>
        <v>4282.95</v>
      </c>
      <c r="Q13" s="3"/>
      <c r="R13" s="26"/>
      <c r="S13" s="3"/>
      <c r="T13" s="3">
        <f>--217.65</f>
        <v>217.65</v>
      </c>
      <c r="U13" s="3"/>
      <c r="V13" s="26"/>
      <c r="W13" s="3"/>
      <c r="X13" s="3">
        <f>+P13-T13</f>
        <v>4065.2999999999997</v>
      </c>
      <c r="Y13" s="3"/>
      <c r="Z13" s="26">
        <f>IF(T13=0,0,X13/T13)</f>
        <v>18.678152997932457</v>
      </c>
    </row>
    <row r="14" spans="1:26" s="69" customFormat="1" ht="15" hidden="1" customHeight="1" outlineLevel="1" x14ac:dyDescent="0.3">
      <c r="A14" s="47"/>
      <c r="B14" s="9" t="str">
        <f>CONCATENATE("          ","4151"," - ","NON-TAXABLE SALES-FOOD")</f>
        <v xml:space="preserve">          4151 - NON-TAXABLE SALES-FOOD</v>
      </c>
      <c r="C14" s="9"/>
      <c r="D14" s="3">
        <f>--162227.45</f>
        <v>162227.45000000001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162227.45000000001</v>
      </c>
      <c r="M14" s="3"/>
      <c r="N14" s="26">
        <f>IF(H14=0,0,L14/H14)</f>
        <v>0</v>
      </c>
      <c r="O14" s="9"/>
      <c r="P14" s="3">
        <f>--4004330.46</f>
        <v>4004330.46</v>
      </c>
      <c r="Q14" s="3"/>
      <c r="R14" s="26"/>
      <c r="S14" s="3"/>
      <c r="T14" s="3">
        <f>--16096</f>
        <v>16096</v>
      </c>
      <c r="U14" s="3"/>
      <c r="V14" s="26"/>
      <c r="W14" s="3"/>
      <c r="X14" s="3">
        <f>+P14-T14</f>
        <v>3988234.46</v>
      </c>
      <c r="Y14" s="3"/>
      <c r="Z14" s="26">
        <f>IF(T14=0,0,X14/T14)</f>
        <v>247.77798583499006</v>
      </c>
    </row>
    <row r="15" spans="1:26" s="69" customFormat="1" ht="15" hidden="1" customHeight="1" outlineLevel="1" x14ac:dyDescent="0.3">
      <c r="A15" s="47"/>
      <c r="B15" s="9" t="str">
        <f>CONCATENATE("          ","4153"," - ","NON-TAXABLE SALES-FOOD")</f>
        <v xml:space="preserve">          4153 - NON-TAXABLE SALES-FOOD</v>
      </c>
      <c r="C15" s="9"/>
      <c r="D15" s="3">
        <f>--2034.86</f>
        <v>2034.86</v>
      </c>
      <c r="E15" s="3"/>
      <c r="F15" s="26"/>
      <c r="G15" s="3"/>
      <c r="H15" s="3">
        <f>0</f>
        <v>0</v>
      </c>
      <c r="I15" s="3"/>
      <c r="J15" s="26"/>
      <c r="K15" s="3"/>
      <c r="L15" s="3">
        <f>+D15-H15</f>
        <v>2034.86</v>
      </c>
      <c r="M15" s="3"/>
      <c r="N15" s="26">
        <f>IF(H15=0,0,L15/H15)</f>
        <v>0</v>
      </c>
      <c r="O15" s="9"/>
      <c r="P15" s="3">
        <f>--82192.65</f>
        <v>82192.649999999994</v>
      </c>
      <c r="Q15" s="3"/>
      <c r="R15" s="26"/>
      <c r="S15" s="3"/>
      <c r="T15" s="3">
        <f>--7245.07</f>
        <v>7245.07</v>
      </c>
      <c r="U15" s="3"/>
      <c r="V15" s="26"/>
      <c r="W15" s="3"/>
      <c r="X15" s="3">
        <f>+P15-T15</f>
        <v>74947.579999999987</v>
      </c>
      <c r="Y15" s="3"/>
      <c r="Z15" s="26">
        <f>IF(T15=0,0,X15/T15)</f>
        <v>10.344631590861095</v>
      </c>
    </row>
    <row r="16" spans="1:26" ht="15" customHeight="1" x14ac:dyDescent="0.3">
      <c r="A16" s="12"/>
      <c r="B16" s="13"/>
      <c r="C16" s="12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collapsed="1" x14ac:dyDescent="0.3">
      <c r="A17" s="13"/>
      <c r="B17" s="27" t="s">
        <v>287</v>
      </c>
      <c r="C17" s="13"/>
      <c r="D17" s="8">
        <f>SUM(OSRRefD16x_0)</f>
        <v>52208.89</v>
      </c>
      <c r="E17" s="8"/>
      <c r="F17" s="14">
        <f>IF(D$12=0,0,D17/D$12)</f>
        <v>0.31533294183140154</v>
      </c>
      <c r="G17" s="8"/>
      <c r="H17" s="8">
        <f>SUM(OSRRefH16x_0)</f>
        <v>0</v>
      </c>
      <c r="I17" s="8"/>
      <c r="J17" s="14">
        <f>IF(H$12=0,0,H17/H$12)</f>
        <v>0</v>
      </c>
      <c r="K17" s="8"/>
      <c r="L17" s="8">
        <f>+D17-H17</f>
        <v>52208.89</v>
      </c>
      <c r="M17" s="8"/>
      <c r="N17" s="14">
        <f>IF(H17=0,0,L17/H17)</f>
        <v>0</v>
      </c>
      <c r="O17" s="13"/>
      <c r="P17" s="8">
        <f>SUM(OSRRefP16x_0)</f>
        <v>1032720.5999999999</v>
      </c>
      <c r="Q17" s="8"/>
      <c r="R17" s="14">
        <f>IF(P$12=0,0,P17/P$12)</f>
        <v>0.25244917134986344</v>
      </c>
      <c r="S17" s="8"/>
      <c r="T17" s="8">
        <f>SUM(OSRRefT16x_0)</f>
        <v>25322.92</v>
      </c>
      <c r="U17" s="8"/>
      <c r="V17" s="14">
        <f>IF(T$12=0,0,T17/T$12)</f>
        <v>1.0748852229662731</v>
      </c>
      <c r="W17" s="8"/>
      <c r="X17" s="8">
        <f>+P17-T17</f>
        <v>1007397.6799999998</v>
      </c>
      <c r="Y17" s="8"/>
      <c r="Z17" s="14">
        <f>IF(T17=0,0,X17/T17)</f>
        <v>39.782050411247987</v>
      </c>
    </row>
    <row r="18" spans="1:26" s="69" customFormat="1" ht="15" hidden="1" customHeight="1" outlineLevel="1" x14ac:dyDescent="0.3">
      <c r="A18" s="47"/>
      <c r="B18" s="9" t="str">
        <f>CONCATENATE("          ","5053"," - ","PURCHASES @ COST-FOOD")</f>
        <v xml:space="preserve">          5053 - PURCHASES @ COST-FOOD</v>
      </c>
      <c r="C18" s="9"/>
      <c r="D18" s="3">
        <v>63327.89</v>
      </c>
      <c r="E18" s="3"/>
      <c r="F18" s="26">
        <f>IF(D$12=0,0,D18/D$12)</f>
        <v>0.38248983752911425</v>
      </c>
      <c r="G18" s="3"/>
      <c r="H18" s="3"/>
      <c r="I18" s="3"/>
      <c r="J18" s="26">
        <f>IF(H$12=0,0,H18/H$12)</f>
        <v>0</v>
      </c>
      <c r="K18" s="3"/>
      <c r="L18" s="3">
        <f>+D18-H18</f>
        <v>63327.89</v>
      </c>
      <c r="M18" s="3"/>
      <c r="N18" s="26">
        <f>IF(H18=0,0,L18/H18)</f>
        <v>0</v>
      </c>
      <c r="O18" s="9"/>
      <c r="P18" s="3">
        <v>1065166.3999999999</v>
      </c>
      <c r="Q18" s="3"/>
      <c r="R18" s="26">
        <f>IF(P$12=0,0,P18/P$12)</f>
        <v>0.26038056666025372</v>
      </c>
      <c r="S18" s="3"/>
      <c r="T18" s="3">
        <v>14410.92</v>
      </c>
      <c r="U18" s="3"/>
      <c r="V18" s="26">
        <f>IF(T$12=0,0,T18/T$12)</f>
        <v>0.61170216378478959</v>
      </c>
      <c r="W18" s="3"/>
      <c r="X18" s="3">
        <f>+P18-T18</f>
        <v>1050755.48</v>
      </c>
      <c r="Y18" s="3"/>
      <c r="Z18" s="26">
        <f>IF(T18=0,0,X18/T18)</f>
        <v>72.913837562070981</v>
      </c>
    </row>
    <row r="19" spans="1:26" s="69" customFormat="1" ht="15" hidden="1" customHeight="1" outlineLevel="1" x14ac:dyDescent="0.3">
      <c r="A19" s="47"/>
      <c r="B19" s="9" t="str">
        <f>CONCATENATE("          ","5059"," - ","PURCHASES @ COST-FOOD")</f>
        <v xml:space="preserve">          5059 - PURCHASES @ COST-FOOD</v>
      </c>
      <c r="C19" s="9"/>
      <c r="D19" s="3">
        <v>-11119</v>
      </c>
      <c r="E19" s="3"/>
      <c r="F19" s="26">
        <f>IF(D$12=0,0,D19/D$12)</f>
        <v>-6.7156895697712674E-2</v>
      </c>
      <c r="G19" s="3"/>
      <c r="H19" s="3"/>
      <c r="I19" s="3"/>
      <c r="J19" s="26">
        <f>IF(H$12=0,0,H19/H$12)</f>
        <v>0</v>
      </c>
      <c r="K19" s="3"/>
      <c r="L19" s="3">
        <f>+D19-H19</f>
        <v>-11119</v>
      </c>
      <c r="M19" s="3"/>
      <c r="N19" s="26">
        <f>IF(H19=0,0,L19/H19)</f>
        <v>0</v>
      </c>
      <c r="O19" s="9"/>
      <c r="P19" s="3">
        <v>-32445.8</v>
      </c>
      <c r="Q19" s="3"/>
      <c r="R19" s="26">
        <f>IF(P$12=0,0,P19/P$12)</f>
        <v>-7.9313953103902456E-3</v>
      </c>
      <c r="S19" s="3"/>
      <c r="T19" s="3">
        <v>10912</v>
      </c>
      <c r="U19" s="3"/>
      <c r="V19" s="26">
        <f>IF(T$12=0,0,T19/T$12)</f>
        <v>0.4631830591814835</v>
      </c>
      <c r="W19" s="3"/>
      <c r="X19" s="3">
        <f>+P19-T19</f>
        <v>-43357.8</v>
      </c>
      <c r="Y19" s="3"/>
      <c r="Z19" s="26">
        <f>IF(T19=0,0,X19/T19)</f>
        <v>-3.9734054252199416</v>
      </c>
    </row>
    <row r="20" spans="1:26" ht="15" customHeight="1" x14ac:dyDescent="0.3">
      <c r="A20" s="12"/>
      <c r="B20" s="13"/>
      <c r="C20" s="13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O20" s="13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2" customFormat="1" ht="15" customHeight="1" x14ac:dyDescent="0.3">
      <c r="A21" s="13"/>
      <c r="B21" s="28" t="s">
        <v>288</v>
      </c>
      <c r="C21" s="28"/>
      <c r="D21" s="22">
        <f>D12-D17</f>
        <v>113358.62000000001</v>
      </c>
      <c r="E21" s="15"/>
      <c r="F21" s="24">
        <f>IF(D$12=0,0,D21/D$12)</f>
        <v>0.68466705816859841</v>
      </c>
      <c r="G21" s="15"/>
      <c r="H21" s="22">
        <f>H12-H17</f>
        <v>0</v>
      </c>
      <c r="I21" s="15"/>
      <c r="J21" s="24">
        <f>IF(H$12=0,0,H21/H$12)</f>
        <v>0</v>
      </c>
      <c r="K21" s="17"/>
      <c r="L21" s="22">
        <f>+D21-H21</f>
        <v>113358.62000000001</v>
      </c>
      <c r="M21" s="17"/>
      <c r="N21" s="24">
        <f>IF(H21=0,0,L21/H21)</f>
        <v>0</v>
      </c>
      <c r="O21" s="27"/>
      <c r="P21" s="22">
        <f>P12-P17</f>
        <v>3058085.46</v>
      </c>
      <c r="Q21" s="15"/>
      <c r="R21" s="24">
        <f>IF(P$12=0,0,P21/P$12)</f>
        <v>0.74755082865013645</v>
      </c>
      <c r="S21" s="15"/>
      <c r="T21" s="22">
        <f>T12-T17</f>
        <v>-1764.1999999999971</v>
      </c>
      <c r="U21" s="15"/>
      <c r="V21" s="24">
        <f>IF(T$12=0,0,T21/T$12)</f>
        <v>-7.4885222966273077E-2</v>
      </c>
      <c r="W21" s="17"/>
      <c r="X21" s="22">
        <f>+P21-T21</f>
        <v>3059849.66</v>
      </c>
      <c r="Y21" s="17"/>
      <c r="Z21" s="24">
        <f>IF(T21=0,0,X21/T21)</f>
        <v>-1734.4120054415628</v>
      </c>
    </row>
    <row r="22" spans="1:26" ht="15" customHeight="1" x14ac:dyDescent="0.3">
      <c r="A22" s="12"/>
      <c r="B22" s="13"/>
      <c r="C22" s="12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7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2" customFormat="1" ht="15" customHeight="1" x14ac:dyDescent="0.3">
      <c r="A23" s="13"/>
      <c r="B23" s="27" t="s">
        <v>289</v>
      </c>
      <c r="C23" s="13"/>
      <c r="D23" s="23" cm="1">
        <f t="array" ref="D23">SUM(OSRRefD22x_0)</f>
        <v>72042.600000000006</v>
      </c>
      <c r="E23" s="23"/>
      <c r="F23" s="34">
        <f t="shared" ref="F23:F54" si="0">IF(D$12=0,0,D23/D$12)</f>
        <v>0.43512522474971088</v>
      </c>
      <c r="G23" s="23"/>
      <c r="H23" s="23" cm="1">
        <f t="array" ref="H23">SUM(OSRRefH22x_0)</f>
        <v>46376.02</v>
      </c>
      <c r="I23" s="23"/>
      <c r="J23" s="34">
        <f t="shared" ref="J23:J54" si="1">IF(H$12=0,0,H23/H$12)</f>
        <v>0</v>
      </c>
      <c r="K23" s="8"/>
      <c r="L23" s="23">
        <f t="shared" ref="L23:L54" si="2">+D23-H23</f>
        <v>25666.580000000009</v>
      </c>
      <c r="M23" s="8"/>
      <c r="N23" s="34">
        <f t="shared" ref="N23:N54" si="3">IF(H23=0,0,L23/H23)</f>
        <v>0.5534450778656731</v>
      </c>
      <c r="O23" s="13"/>
      <c r="P23" s="23" cm="1">
        <f t="array" ref="P23">SUM(OSRRefP22x_0)</f>
        <v>1637853.3699999999</v>
      </c>
      <c r="Q23" s="23"/>
      <c r="R23" s="34">
        <f t="shared" ref="R23:R54" si="4">IF(P$12=0,0,P23/P$12)</f>
        <v>0.40037424066982041</v>
      </c>
      <c r="S23" s="23"/>
      <c r="T23" s="23" cm="1">
        <f t="array" ref="T23">SUM(OSRRefT22x_0)</f>
        <v>609159.6799999997</v>
      </c>
      <c r="U23" s="23"/>
      <c r="V23" s="34">
        <f t="shared" ref="V23:V54" si="5">IF(T$12=0,0,T23/T$12)</f>
        <v>25.857078822618533</v>
      </c>
      <c r="W23" s="8"/>
      <c r="X23" s="23">
        <f t="shared" ref="X23:X54" si="6">+P23-T23</f>
        <v>1028693.6900000002</v>
      </c>
      <c r="Y23" s="8"/>
      <c r="Z23" s="34">
        <f t="shared" ref="Z23:Z54" si="7">IF(T23=0,0,X23/T23)</f>
        <v>1.6887094201638571</v>
      </c>
    </row>
    <row r="24" spans="1:26" s="68" customFormat="1" ht="15" customHeight="1" outlineLevel="1" collapsed="1" x14ac:dyDescent="0.3">
      <c r="A24" s="20"/>
      <c r="B24" s="11" t="str">
        <f>CONCATENATE("     ","*Benefits                                         ")</f>
        <v xml:space="preserve">     *Benefits                                         </v>
      </c>
      <c r="C24" s="11"/>
      <c r="D24" s="2">
        <f>SUM(OSRRefD22_0x_0)</f>
        <v>12634.23</v>
      </c>
      <c r="E24" s="2"/>
      <c r="F24" s="5">
        <f t="shared" si="0"/>
        <v>7.630863084188437E-2</v>
      </c>
      <c r="G24" s="2"/>
      <c r="H24" s="2">
        <f>SUM(OSRRefH22_0x_0)</f>
        <v>19821.64</v>
      </c>
      <c r="I24" s="2"/>
      <c r="J24" s="5">
        <f t="shared" si="1"/>
        <v>0</v>
      </c>
      <c r="K24" s="2"/>
      <c r="L24" s="2">
        <f t="shared" si="2"/>
        <v>-7187.41</v>
      </c>
      <c r="M24" s="2"/>
      <c r="N24" s="5">
        <f t="shared" si="3"/>
        <v>-0.36260420429389295</v>
      </c>
      <c r="O24" s="11"/>
      <c r="P24" s="2">
        <f>SUM(OSRRefP22_0x_0)</f>
        <v>303506.72999999992</v>
      </c>
      <c r="Q24" s="2"/>
      <c r="R24" s="5">
        <f t="shared" si="4"/>
        <v>7.4192402560389267E-2</v>
      </c>
      <c r="S24" s="2"/>
      <c r="T24" s="2">
        <f>SUM(OSRRefT22_0x_0)</f>
        <v>249805.81</v>
      </c>
      <c r="U24" s="2"/>
      <c r="V24" s="5">
        <f t="shared" si="5"/>
        <v>10.603539156626505</v>
      </c>
      <c r="W24" s="2"/>
      <c r="X24" s="2">
        <f t="shared" si="6"/>
        <v>53700.919999999925</v>
      </c>
      <c r="Y24" s="2"/>
      <c r="Z24" s="5">
        <f t="shared" si="7"/>
        <v>0.2149706606103354</v>
      </c>
    </row>
    <row r="25" spans="1:26" s="69" customFormat="1" ht="15" hidden="1" customHeight="1" outlineLevel="2" x14ac:dyDescent="0.3">
      <c r="A25" s="21"/>
      <c r="B25" s="9" t="str">
        <f>CONCATENATE("          ","6111"," - ","F.I.C.A.")</f>
        <v xml:space="preserve">          6111 - F.I.C.A.</v>
      </c>
      <c r="C25" s="9"/>
      <c r="D25" s="6">
        <v>2761.01</v>
      </c>
      <c r="E25" s="3"/>
      <c r="F25" s="7">
        <f t="shared" si="0"/>
        <v>1.6676037466529514E-2</v>
      </c>
      <c r="G25" s="3"/>
      <c r="H25" s="6">
        <v>1636.47</v>
      </c>
      <c r="I25" s="3"/>
      <c r="J25" s="7">
        <f t="shared" si="1"/>
        <v>0</v>
      </c>
      <c r="K25" s="3"/>
      <c r="L25" s="6">
        <f t="shared" si="2"/>
        <v>1124.5400000000002</v>
      </c>
      <c r="M25" s="3"/>
      <c r="N25" s="7">
        <f t="shared" si="3"/>
        <v>0.68717422256442229</v>
      </c>
      <c r="O25" s="9"/>
      <c r="P25" s="6">
        <v>41308.129999999997</v>
      </c>
      <c r="Q25" s="3"/>
      <c r="R25" s="7">
        <f t="shared" si="4"/>
        <v>1.0097797205277436E-2</v>
      </c>
      <c r="S25" s="3"/>
      <c r="T25" s="6">
        <v>24157.62</v>
      </c>
      <c r="U25" s="3"/>
      <c r="V25" s="7">
        <f t="shared" si="5"/>
        <v>1.025421584873881</v>
      </c>
      <c r="W25" s="3"/>
      <c r="X25" s="6">
        <f t="shared" si="6"/>
        <v>17150.509999999998</v>
      </c>
      <c r="Y25" s="3"/>
      <c r="Z25" s="7">
        <f t="shared" si="7"/>
        <v>0.70994203899225172</v>
      </c>
    </row>
    <row r="26" spans="1:26" s="69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>
        <v>-8597.25</v>
      </c>
      <c r="E26" s="3"/>
      <c r="F26" s="7">
        <f t="shared" si="0"/>
        <v>-5.1925948514898845E-2</v>
      </c>
      <c r="G26" s="3"/>
      <c r="H26" s="6">
        <v>916.84</v>
      </c>
      <c r="I26" s="3"/>
      <c r="J26" s="7">
        <f t="shared" si="1"/>
        <v>0</v>
      </c>
      <c r="K26" s="3"/>
      <c r="L26" s="6">
        <f t="shared" si="2"/>
        <v>-9514.09</v>
      </c>
      <c r="M26" s="3"/>
      <c r="N26" s="7">
        <f t="shared" si="3"/>
        <v>-10.377045067841717</v>
      </c>
      <c r="O26" s="9"/>
      <c r="P26" s="6">
        <v>17192.63</v>
      </c>
      <c r="Q26" s="3"/>
      <c r="R26" s="7">
        <f t="shared" si="4"/>
        <v>4.2027487365167348E-3</v>
      </c>
      <c r="S26" s="3"/>
      <c r="T26" s="6">
        <v>13659.52</v>
      </c>
      <c r="U26" s="3"/>
      <c r="V26" s="7">
        <f t="shared" si="5"/>
        <v>0.57980739191263364</v>
      </c>
      <c r="W26" s="3"/>
      <c r="X26" s="6">
        <f t="shared" si="6"/>
        <v>3533.1100000000006</v>
      </c>
      <c r="Y26" s="3"/>
      <c r="Z26" s="7">
        <f t="shared" si="7"/>
        <v>0.25865550180387015</v>
      </c>
    </row>
    <row r="27" spans="1:26" s="69" customFormat="1" ht="15" hidden="1" customHeight="1" outlineLevel="2" x14ac:dyDescent="0.3">
      <c r="A27" s="21"/>
      <c r="B27" s="9" t="str">
        <f>CONCATENATE("          ","6113"," - ","GROUP INSURANCE")</f>
        <v xml:space="preserve">          6113 - GROUP INSURANCE</v>
      </c>
      <c r="C27" s="9"/>
      <c r="D27" s="6">
        <v>12704.31</v>
      </c>
      <c r="E27" s="3"/>
      <c r="F27" s="7">
        <f t="shared" si="0"/>
        <v>7.6731902291699614E-2</v>
      </c>
      <c r="G27" s="3"/>
      <c r="H27" s="6">
        <v>11992.75</v>
      </c>
      <c r="I27" s="3"/>
      <c r="J27" s="7">
        <f t="shared" si="1"/>
        <v>0</v>
      </c>
      <c r="K27" s="3"/>
      <c r="L27" s="6">
        <f t="shared" si="2"/>
        <v>711.55999999999949</v>
      </c>
      <c r="M27" s="3"/>
      <c r="N27" s="7">
        <f t="shared" si="3"/>
        <v>5.9332513393508535E-2</v>
      </c>
      <c r="O27" s="9"/>
      <c r="P27" s="6">
        <v>159227.16</v>
      </c>
      <c r="Q27" s="3"/>
      <c r="R27" s="7">
        <f t="shared" si="4"/>
        <v>3.8923174959802423E-2</v>
      </c>
      <c r="S27" s="3"/>
      <c r="T27" s="6">
        <v>146094.73000000001</v>
      </c>
      <c r="U27" s="3"/>
      <c r="V27" s="7">
        <f t="shared" si="5"/>
        <v>6.2013016836228791</v>
      </c>
      <c r="W27" s="3"/>
      <c r="X27" s="6">
        <f t="shared" si="6"/>
        <v>13132.429999999993</v>
      </c>
      <c r="Y27" s="3"/>
      <c r="Z27" s="7">
        <f t="shared" si="7"/>
        <v>8.9889826963641964E-2</v>
      </c>
    </row>
    <row r="28" spans="1:26" s="69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>
        <v>55.57</v>
      </c>
      <c r="I28" s="3"/>
      <c r="J28" s="7">
        <f t="shared" si="1"/>
        <v>0</v>
      </c>
      <c r="K28" s="3"/>
      <c r="L28" s="6">
        <f t="shared" si="2"/>
        <v>-55.57</v>
      </c>
      <c r="M28" s="3"/>
      <c r="N28" s="7">
        <f t="shared" si="3"/>
        <v>-1</v>
      </c>
      <c r="O28" s="9"/>
      <c r="P28" s="6">
        <v>1862.58</v>
      </c>
      <c r="Q28" s="3"/>
      <c r="R28" s="7">
        <f t="shared" si="4"/>
        <v>4.553088004372419E-4</v>
      </c>
      <c r="S28" s="3"/>
      <c r="T28" s="6">
        <v>827.84</v>
      </c>
      <c r="U28" s="3"/>
      <c r="V28" s="7">
        <f t="shared" si="5"/>
        <v>3.5139430325586446E-2</v>
      </c>
      <c r="W28" s="3"/>
      <c r="X28" s="6">
        <f t="shared" si="6"/>
        <v>1034.7399999999998</v>
      </c>
      <c r="Y28" s="3"/>
      <c r="Z28" s="7">
        <f t="shared" si="7"/>
        <v>1.2499275222265169</v>
      </c>
    </row>
    <row r="29" spans="1:26" s="69" customFormat="1" ht="15" hidden="1" customHeight="1" outlineLevel="2" x14ac:dyDescent="0.3">
      <c r="A29" s="21"/>
      <c r="B29" s="9" t="str">
        <f>CONCATENATE("          ","6115"," - ","P.E.R.S.")</f>
        <v xml:space="preserve">          6115 - P.E.R.S.</v>
      </c>
      <c r="C29" s="9"/>
      <c r="D29" s="6">
        <v>824.53</v>
      </c>
      <c r="E29" s="3"/>
      <c r="F29" s="7">
        <f t="shared" si="0"/>
        <v>4.9800229525708267E-3</v>
      </c>
      <c r="G29" s="3"/>
      <c r="H29" s="6">
        <v>1425.05</v>
      </c>
      <c r="I29" s="3"/>
      <c r="J29" s="7">
        <f t="shared" si="1"/>
        <v>0</v>
      </c>
      <c r="K29" s="3"/>
      <c r="L29" s="6">
        <f t="shared" si="2"/>
        <v>-600.52</v>
      </c>
      <c r="M29" s="3"/>
      <c r="N29" s="7">
        <f t="shared" si="3"/>
        <v>-0.42140275779797198</v>
      </c>
      <c r="O29" s="9"/>
      <c r="P29" s="6">
        <v>13833.5</v>
      </c>
      <c r="Q29" s="3"/>
      <c r="R29" s="7">
        <f t="shared" si="4"/>
        <v>3.38160738913152E-3</v>
      </c>
      <c r="S29" s="3"/>
      <c r="T29" s="6">
        <v>12905.96</v>
      </c>
      <c r="U29" s="3"/>
      <c r="V29" s="7">
        <f t="shared" si="5"/>
        <v>0.54782093424430522</v>
      </c>
      <c r="W29" s="3"/>
      <c r="X29" s="6">
        <f t="shared" si="6"/>
        <v>927.54000000000087</v>
      </c>
      <c r="Y29" s="3"/>
      <c r="Z29" s="7">
        <f t="shared" si="7"/>
        <v>7.1869120933274314E-2</v>
      </c>
    </row>
    <row r="30" spans="1:26" s="69" customFormat="1" ht="15" hidden="1" customHeight="1" outlineLevel="2" x14ac:dyDescent="0.3">
      <c r="A30" s="21"/>
      <c r="B30" s="9" t="str">
        <f>CONCATENATE("          ","6117"," - ","RETIREMENT STAFF HOURLY")</f>
        <v xml:space="preserve">          6117 - RETIREMENT STAFF HOURLY</v>
      </c>
      <c r="C30" s="9"/>
      <c r="D30" s="6">
        <v>519.21</v>
      </c>
      <c r="E30" s="3"/>
      <c r="F30" s="7">
        <f t="shared" si="0"/>
        <v>3.1359413450138861E-3</v>
      </c>
      <c r="G30" s="3"/>
      <c r="H30" s="6">
        <v>358.48</v>
      </c>
      <c r="I30" s="3"/>
      <c r="J30" s="7">
        <f t="shared" si="1"/>
        <v>0</v>
      </c>
      <c r="K30" s="3"/>
      <c r="L30" s="6">
        <f t="shared" si="2"/>
        <v>160.73000000000002</v>
      </c>
      <c r="M30" s="3"/>
      <c r="N30" s="7">
        <f t="shared" si="3"/>
        <v>0.44836532024101766</v>
      </c>
      <c r="O30" s="9"/>
      <c r="P30" s="6">
        <v>6215.4</v>
      </c>
      <c r="Q30" s="3"/>
      <c r="R30" s="7">
        <f t="shared" si="4"/>
        <v>1.5193582655443703E-3</v>
      </c>
      <c r="S30" s="3"/>
      <c r="T30" s="6">
        <v>4738.67</v>
      </c>
      <c r="U30" s="3"/>
      <c r="V30" s="7">
        <f t="shared" si="5"/>
        <v>0.20114293136469213</v>
      </c>
      <c r="W30" s="3"/>
      <c r="X30" s="6">
        <f t="shared" si="6"/>
        <v>1476.7299999999996</v>
      </c>
      <c r="Y30" s="3"/>
      <c r="Z30" s="7">
        <f t="shared" si="7"/>
        <v>0.31163385506903823</v>
      </c>
    </row>
    <row r="31" spans="1:26" s="69" customFormat="1" ht="15" hidden="1" customHeight="1" outlineLevel="2" x14ac:dyDescent="0.3">
      <c r="A31" s="21"/>
      <c r="B31" s="9" t="str">
        <f>CONCATENATE("          ","6118"," - ","VACATION")</f>
        <v xml:space="preserve">          6118 - VACATION</v>
      </c>
      <c r="C31" s="9"/>
      <c r="D31" s="6">
        <v>1941.33</v>
      </c>
      <c r="E31" s="3"/>
      <c r="F31" s="7">
        <f t="shared" si="0"/>
        <v>1.1725307700768102E-2</v>
      </c>
      <c r="G31" s="3"/>
      <c r="H31" s="6">
        <v>1521.96</v>
      </c>
      <c r="I31" s="3"/>
      <c r="J31" s="7">
        <f t="shared" si="1"/>
        <v>0</v>
      </c>
      <c r="K31" s="3"/>
      <c r="L31" s="6">
        <f t="shared" si="2"/>
        <v>419.36999999999989</v>
      </c>
      <c r="M31" s="3"/>
      <c r="N31" s="7">
        <f t="shared" si="3"/>
        <v>0.27554600646534722</v>
      </c>
      <c r="O31" s="9"/>
      <c r="P31" s="6">
        <v>26096.89</v>
      </c>
      <c r="Q31" s="3"/>
      <c r="R31" s="7">
        <f t="shared" si="4"/>
        <v>6.3794004451044545E-3</v>
      </c>
      <c r="S31" s="3"/>
      <c r="T31" s="6">
        <v>22512</v>
      </c>
      <c r="U31" s="3"/>
      <c r="V31" s="7">
        <f t="shared" si="5"/>
        <v>0.95556974232895497</v>
      </c>
      <c r="W31" s="3"/>
      <c r="X31" s="6">
        <f t="shared" si="6"/>
        <v>3584.8899999999994</v>
      </c>
      <c r="Y31" s="3"/>
      <c r="Z31" s="7">
        <f t="shared" si="7"/>
        <v>0.15924351457000707</v>
      </c>
    </row>
    <row r="32" spans="1:26" s="69" customFormat="1" ht="15" hidden="1" customHeight="1" outlineLevel="2" x14ac:dyDescent="0.3">
      <c r="A32" s="21"/>
      <c r="B32" s="9" t="str">
        <f>CONCATENATE("          ","6119"," - ","SICK LEAVE")</f>
        <v xml:space="preserve">          6119 - SICK LEAVE</v>
      </c>
      <c r="C32" s="9"/>
      <c r="D32" s="6">
        <v>1567.18</v>
      </c>
      <c r="E32" s="3"/>
      <c r="F32" s="7">
        <f t="shared" si="0"/>
        <v>9.4655044338107161E-3</v>
      </c>
      <c r="G32" s="3"/>
      <c r="H32" s="6">
        <v>951.39</v>
      </c>
      <c r="I32" s="3"/>
      <c r="J32" s="7">
        <f t="shared" si="1"/>
        <v>0</v>
      </c>
      <c r="K32" s="3"/>
      <c r="L32" s="6">
        <f t="shared" si="2"/>
        <v>615.79000000000008</v>
      </c>
      <c r="M32" s="3"/>
      <c r="N32" s="7">
        <f t="shared" si="3"/>
        <v>0.64725296671186383</v>
      </c>
      <c r="O32" s="9"/>
      <c r="P32" s="6">
        <v>23458.53</v>
      </c>
      <c r="Q32" s="3"/>
      <c r="R32" s="7">
        <f t="shared" si="4"/>
        <v>5.7344517574123271E-3</v>
      </c>
      <c r="S32" s="3"/>
      <c r="T32" s="6">
        <v>14989.46</v>
      </c>
      <c r="U32" s="3"/>
      <c r="V32" s="7">
        <f t="shared" si="5"/>
        <v>0.63625952513549111</v>
      </c>
      <c r="W32" s="3"/>
      <c r="X32" s="6">
        <f t="shared" si="6"/>
        <v>8469.07</v>
      </c>
      <c r="Y32" s="3"/>
      <c r="Z32" s="7">
        <f t="shared" si="7"/>
        <v>0.56500167450995564</v>
      </c>
    </row>
    <row r="33" spans="1:26" s="69" customFormat="1" ht="15" hidden="1" customHeight="1" outlineLevel="2" x14ac:dyDescent="0.3">
      <c r="A33" s="21"/>
      <c r="B33" s="9" t="str">
        <f>CONCATENATE("          ","6156"," - ","EMPLOYEE MEALS")</f>
        <v xml:space="preserve">          6156 - EMPLOYEE MEALS</v>
      </c>
      <c r="C33" s="9"/>
      <c r="D33" s="6">
        <v>913.91</v>
      </c>
      <c r="E33" s="3"/>
      <c r="F33" s="7">
        <f t="shared" si="0"/>
        <v>5.5198631663905548E-3</v>
      </c>
      <c r="G33" s="3"/>
      <c r="H33" s="6">
        <v>963.13</v>
      </c>
      <c r="I33" s="3"/>
      <c r="J33" s="7">
        <f t="shared" si="1"/>
        <v>0</v>
      </c>
      <c r="K33" s="3"/>
      <c r="L33" s="6">
        <f t="shared" si="2"/>
        <v>-49.220000000000027</v>
      </c>
      <c r="M33" s="3"/>
      <c r="N33" s="7">
        <f t="shared" si="3"/>
        <v>-5.110421230778818E-2</v>
      </c>
      <c r="O33" s="9"/>
      <c r="P33" s="6">
        <v>14311.91</v>
      </c>
      <c r="Q33" s="3"/>
      <c r="R33" s="7">
        <f t="shared" si="4"/>
        <v>3.4985550011627782E-3</v>
      </c>
      <c r="S33" s="3"/>
      <c r="T33" s="6">
        <v>9920.01</v>
      </c>
      <c r="U33" s="3"/>
      <c r="V33" s="7">
        <f t="shared" si="5"/>
        <v>0.42107593281808181</v>
      </c>
      <c r="W33" s="3"/>
      <c r="X33" s="6">
        <f t="shared" si="6"/>
        <v>4391.8999999999996</v>
      </c>
      <c r="Y33" s="3"/>
      <c r="Z33" s="7">
        <f t="shared" si="7"/>
        <v>0.44273140853688653</v>
      </c>
    </row>
    <row r="34" spans="1:26" s="68" customFormat="1" ht="15" customHeight="1" outlineLevel="1" collapsed="1" x14ac:dyDescent="0.3">
      <c r="A34" s="20"/>
      <c r="B34" s="11" t="str">
        <f>CONCATENATE("     ","*Payroll                                          ")</f>
        <v xml:space="preserve">     *Payroll                                          </v>
      </c>
      <c r="C34" s="11"/>
      <c r="D34" s="2">
        <f>SUM(OSRRefD22_1x_0)</f>
        <v>31859.23</v>
      </c>
      <c r="E34" s="2"/>
      <c r="F34" s="5">
        <f t="shared" si="0"/>
        <v>0.1924244074214802</v>
      </c>
      <c r="G34" s="2"/>
      <c r="H34" s="2">
        <f>SUM(OSRRefH22_1x_0)</f>
        <v>18605.199999999997</v>
      </c>
      <c r="I34" s="2"/>
      <c r="J34" s="5">
        <f t="shared" si="1"/>
        <v>0</v>
      </c>
      <c r="K34" s="2"/>
      <c r="L34" s="2">
        <f t="shared" si="2"/>
        <v>13254.030000000002</v>
      </c>
      <c r="M34" s="2"/>
      <c r="N34" s="5">
        <f t="shared" si="3"/>
        <v>0.71238309719863291</v>
      </c>
      <c r="O34" s="11"/>
      <c r="P34" s="2">
        <f>SUM(OSRRefP22_1x_0)</f>
        <v>784631.21</v>
      </c>
      <c r="Q34" s="2"/>
      <c r="R34" s="5">
        <f t="shared" si="4"/>
        <v>0.19180357085908881</v>
      </c>
      <c r="S34" s="2"/>
      <c r="T34" s="2">
        <f>SUM(OSRRefT22_1x_0)</f>
        <v>264835.24</v>
      </c>
      <c r="U34" s="2"/>
      <c r="V34" s="5">
        <f t="shared" si="5"/>
        <v>11.241495293462462</v>
      </c>
      <c r="W34" s="2"/>
      <c r="X34" s="2">
        <f t="shared" si="6"/>
        <v>519795.97</v>
      </c>
      <c r="Y34" s="2"/>
      <c r="Z34" s="5">
        <f t="shared" si="7"/>
        <v>1.9627145163913986</v>
      </c>
    </row>
    <row r="35" spans="1:26" s="69" customFormat="1" ht="15" hidden="1" customHeight="1" outlineLevel="2" x14ac:dyDescent="0.3">
      <c r="A35" s="21"/>
      <c r="B35" s="9" t="str">
        <f>CONCATENATE("          ","6002"," - ","STAFF SALARIES")</f>
        <v xml:space="preserve">          6002 - STAFF SALARIES</v>
      </c>
      <c r="C35" s="9"/>
      <c r="D35" s="6">
        <v>7482.5</v>
      </c>
      <c r="E35" s="3"/>
      <c r="F35" s="7">
        <f t="shared" si="0"/>
        <v>4.5193045422981838E-2</v>
      </c>
      <c r="G35" s="3"/>
      <c r="H35" s="6">
        <v>7834.07</v>
      </c>
      <c r="I35" s="3"/>
      <c r="J35" s="7">
        <f t="shared" si="1"/>
        <v>0</v>
      </c>
      <c r="K35" s="3"/>
      <c r="L35" s="6">
        <f t="shared" si="2"/>
        <v>-351.56999999999971</v>
      </c>
      <c r="M35" s="3"/>
      <c r="N35" s="7">
        <f t="shared" si="3"/>
        <v>-4.4877056242795851E-2</v>
      </c>
      <c r="O35" s="9"/>
      <c r="P35" s="6">
        <v>143830.6</v>
      </c>
      <c r="Q35" s="3"/>
      <c r="R35" s="7">
        <f t="shared" si="4"/>
        <v>3.5159476614249466E-2</v>
      </c>
      <c r="S35" s="3"/>
      <c r="T35" s="6">
        <v>108795.38</v>
      </c>
      <c r="U35" s="3"/>
      <c r="V35" s="7">
        <f t="shared" si="5"/>
        <v>4.6180514051697203</v>
      </c>
      <c r="W35" s="3"/>
      <c r="X35" s="6">
        <f t="shared" si="6"/>
        <v>35035.22</v>
      </c>
      <c r="Y35" s="3"/>
      <c r="Z35" s="7">
        <f t="shared" si="7"/>
        <v>0.32202856408057035</v>
      </c>
    </row>
    <row r="36" spans="1:26" s="69" customFormat="1" ht="15" hidden="1" customHeight="1" outlineLevel="2" x14ac:dyDescent="0.3">
      <c r="A36" s="21"/>
      <c r="B36" s="9" t="str">
        <f>CONCATENATE("          ","6004"," - ","STAFF HOURLY")</f>
        <v xml:space="preserve">          6004 - STAFF HOURLY</v>
      </c>
      <c r="C36" s="9"/>
      <c r="D36" s="6">
        <v>17236.54</v>
      </c>
      <c r="E36" s="3"/>
      <c r="F36" s="7">
        <f t="shared" si="0"/>
        <v>0.10410581158102819</v>
      </c>
      <c r="G36" s="3"/>
      <c r="H36" s="6">
        <v>10771.13</v>
      </c>
      <c r="I36" s="3"/>
      <c r="J36" s="7">
        <f t="shared" si="1"/>
        <v>0</v>
      </c>
      <c r="K36" s="3"/>
      <c r="L36" s="6">
        <f t="shared" si="2"/>
        <v>6465.4100000000017</v>
      </c>
      <c r="M36" s="3"/>
      <c r="N36" s="7">
        <f t="shared" si="3"/>
        <v>0.60025364098288692</v>
      </c>
      <c r="O36" s="9"/>
      <c r="P36" s="6">
        <v>286763.88</v>
      </c>
      <c r="Q36" s="3"/>
      <c r="R36" s="7">
        <f t="shared" si="4"/>
        <v>7.0099602815196768E-2</v>
      </c>
      <c r="S36" s="3"/>
      <c r="T36" s="6">
        <v>156039.85999999999</v>
      </c>
      <c r="U36" s="3"/>
      <c r="V36" s="7">
        <f t="shared" si="5"/>
        <v>6.6234438882927416</v>
      </c>
      <c r="W36" s="3"/>
      <c r="X36" s="6">
        <f t="shared" si="6"/>
        <v>130724.02000000002</v>
      </c>
      <c r="Y36" s="3"/>
      <c r="Z36" s="7">
        <f t="shared" si="7"/>
        <v>0.83776042864944911</v>
      </c>
    </row>
    <row r="37" spans="1:26" s="69" customFormat="1" ht="15" hidden="1" customHeight="1" outlineLevel="2" x14ac:dyDescent="0.3">
      <c r="A37" s="21"/>
      <c r="B37" s="9" t="str">
        <f>CONCATENATE("          ","6005"," - ","TEMPORARY WAGES-HOURLY")</f>
        <v xml:space="preserve">          6005 - TEMPORARY WAGES-HOURLY</v>
      </c>
      <c r="C37" s="9"/>
      <c r="D37" s="6">
        <v>4124.49</v>
      </c>
      <c r="E37" s="3"/>
      <c r="F37" s="7">
        <f t="shared" si="0"/>
        <v>2.4911228054344717E-2</v>
      </c>
      <c r="G37" s="3"/>
      <c r="H37" s="6"/>
      <c r="I37" s="3"/>
      <c r="J37" s="7">
        <f t="shared" si="1"/>
        <v>0</v>
      </c>
      <c r="K37" s="3"/>
      <c r="L37" s="6">
        <f t="shared" si="2"/>
        <v>4124.49</v>
      </c>
      <c r="M37" s="3"/>
      <c r="N37" s="7">
        <f t="shared" si="3"/>
        <v>0</v>
      </c>
      <c r="O37" s="9"/>
      <c r="P37" s="6">
        <v>109328.28</v>
      </c>
      <c r="Q37" s="3"/>
      <c r="R37" s="7">
        <f t="shared" si="4"/>
        <v>2.672536375386126E-2</v>
      </c>
      <c r="S37" s="3"/>
      <c r="T37" s="6"/>
      <c r="U37" s="3"/>
      <c r="V37" s="7">
        <f t="shared" si="5"/>
        <v>0</v>
      </c>
      <c r="W37" s="3"/>
      <c r="X37" s="6">
        <f t="shared" si="6"/>
        <v>109328.28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","6006"," - ","TEMPORARY PART TIME")</f>
        <v xml:space="preserve">          6006 - TEMPORARY PART TIME</v>
      </c>
      <c r="C38" s="9"/>
      <c r="D38" s="6">
        <v>463.45</v>
      </c>
      <c r="E38" s="3"/>
      <c r="F38" s="7">
        <f t="shared" si="0"/>
        <v>2.7991602941905688E-3</v>
      </c>
      <c r="G38" s="3"/>
      <c r="H38" s="6"/>
      <c r="I38" s="3"/>
      <c r="J38" s="7">
        <f t="shared" si="1"/>
        <v>0</v>
      </c>
      <c r="K38" s="3"/>
      <c r="L38" s="6">
        <f t="shared" si="2"/>
        <v>463.45</v>
      </c>
      <c r="M38" s="3"/>
      <c r="N38" s="7">
        <f t="shared" si="3"/>
        <v>0</v>
      </c>
      <c r="O38" s="9"/>
      <c r="P38" s="6">
        <v>5638.95</v>
      </c>
      <c r="Q38" s="3"/>
      <c r="R38" s="7">
        <f t="shared" si="4"/>
        <v>1.3784447165896688E-3</v>
      </c>
      <c r="S38" s="3"/>
      <c r="T38" s="6"/>
      <c r="U38" s="3"/>
      <c r="V38" s="7">
        <f t="shared" si="5"/>
        <v>0</v>
      </c>
      <c r="W38" s="3"/>
      <c r="X38" s="6">
        <f t="shared" si="6"/>
        <v>5638.95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","6007"," - ","STUDENT HOURLY")</f>
        <v xml:space="preserve">          6007 - STUDENT HOURLY</v>
      </c>
      <c r="C39" s="9"/>
      <c r="D39" s="6">
        <v>1440.75</v>
      </c>
      <c r="E39" s="3"/>
      <c r="F39" s="7">
        <f t="shared" si="0"/>
        <v>8.7018884320963687E-3</v>
      </c>
      <c r="G39" s="3"/>
      <c r="H39" s="6"/>
      <c r="I39" s="3"/>
      <c r="J39" s="7">
        <f t="shared" si="1"/>
        <v>0</v>
      </c>
      <c r="K39" s="3"/>
      <c r="L39" s="6">
        <f t="shared" si="2"/>
        <v>1440.75</v>
      </c>
      <c r="M39" s="3"/>
      <c r="N39" s="7">
        <f t="shared" si="3"/>
        <v>0</v>
      </c>
      <c r="O39" s="9"/>
      <c r="P39" s="6">
        <v>155065.20000000001</v>
      </c>
      <c r="Q39" s="3"/>
      <c r="R39" s="7">
        <f t="shared" si="4"/>
        <v>3.790578133640489E-2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155065.20000000001</v>
      </c>
      <c r="Y39" s="3"/>
      <c r="Z39" s="7">
        <f t="shared" si="7"/>
        <v>0</v>
      </c>
    </row>
    <row r="40" spans="1:26" s="69" customFormat="1" ht="15" hidden="1" customHeight="1" outlineLevel="2" x14ac:dyDescent="0.3">
      <c r="A40" s="21"/>
      <c r="B40" s="9" t="str">
        <f>CONCATENATE("          ","6008"," - ","STUDENT HOURLY-FICA EXEMPT")</f>
        <v xml:space="preserve">          6008 - STUDENT HOURLY-FICA EXEMPT</v>
      </c>
      <c r="C40" s="9"/>
      <c r="D40" s="6">
        <v>1111.5</v>
      </c>
      <c r="E40" s="3"/>
      <c r="F40" s="7">
        <f t="shared" si="0"/>
        <v>6.7132736368385312E-3</v>
      </c>
      <c r="G40" s="3"/>
      <c r="H40" s="6"/>
      <c r="I40" s="3"/>
      <c r="J40" s="7">
        <f t="shared" si="1"/>
        <v>0</v>
      </c>
      <c r="K40" s="3"/>
      <c r="L40" s="6">
        <f t="shared" si="2"/>
        <v>1111.5</v>
      </c>
      <c r="M40" s="3"/>
      <c r="N40" s="7">
        <f t="shared" si="3"/>
        <v>0</v>
      </c>
      <c r="O40" s="9"/>
      <c r="P40" s="6">
        <v>84004.3</v>
      </c>
      <c r="Q40" s="3"/>
      <c r="R40" s="7">
        <f t="shared" si="4"/>
        <v>2.0534901622786782E-2</v>
      </c>
      <c r="S40" s="3"/>
      <c r="T40" s="6"/>
      <c r="U40" s="3"/>
      <c r="V40" s="7">
        <f t="shared" si="5"/>
        <v>0</v>
      </c>
      <c r="W40" s="3"/>
      <c r="X40" s="6">
        <f t="shared" si="6"/>
        <v>84004.3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0"/>
      <c r="B41" s="11" t="str">
        <f>CONCATENATE("     ","Advertising/Promo                                 ")</f>
        <v xml:space="preserve">     Advertising/Promo                                 </v>
      </c>
      <c r="C41" s="11"/>
      <c r="D41" s="2">
        <f>SUM(OSRRefD22_2x_0)</f>
        <v>0</v>
      </c>
      <c r="E41" s="2"/>
      <c r="F41" s="5">
        <f t="shared" si="0"/>
        <v>0</v>
      </c>
      <c r="G41" s="2"/>
      <c r="H41" s="2">
        <f>SUM(OSRRefH22_2x_0)</f>
        <v>12.29</v>
      </c>
      <c r="I41" s="2"/>
      <c r="J41" s="5">
        <f t="shared" si="1"/>
        <v>0</v>
      </c>
      <c r="K41" s="2"/>
      <c r="L41" s="2">
        <f t="shared" si="2"/>
        <v>-12.29</v>
      </c>
      <c r="M41" s="2"/>
      <c r="N41" s="5">
        <f t="shared" si="3"/>
        <v>-1</v>
      </c>
      <c r="O41" s="11"/>
      <c r="P41" s="2">
        <f>SUM(OSRRefP22_2x_0)</f>
        <v>1902.42</v>
      </c>
      <c r="Q41" s="2"/>
      <c r="R41" s="5">
        <f t="shared" si="4"/>
        <v>4.6504771238165227E-4</v>
      </c>
      <c r="S41" s="2"/>
      <c r="T41" s="2">
        <f>SUM(OSRRefT22_2x_0)</f>
        <v>217.04</v>
      </c>
      <c r="U41" s="2"/>
      <c r="V41" s="5">
        <f t="shared" si="5"/>
        <v>9.2127246302006211E-3</v>
      </c>
      <c r="W41" s="2"/>
      <c r="X41" s="2">
        <f t="shared" si="6"/>
        <v>1685.38</v>
      </c>
      <c r="Y41" s="2"/>
      <c r="Z41" s="5">
        <f t="shared" si="7"/>
        <v>7.7652967194987106</v>
      </c>
    </row>
    <row r="42" spans="1:26" s="69" customFormat="1" ht="15" hidden="1" customHeight="1" outlineLevel="2" x14ac:dyDescent="0.3">
      <c r="A42" s="21"/>
      <c r="B42" s="9" t="str">
        <f>CONCATENATE("          ","6362"," - ","ADVERTISING EXPENSE")</f>
        <v xml:space="preserve">          6362 - ADVERTISING EXPENSE</v>
      </c>
      <c r="C42" s="9"/>
      <c r="D42" s="6"/>
      <c r="E42" s="3"/>
      <c r="F42" s="7">
        <f t="shared" si="0"/>
        <v>0</v>
      </c>
      <c r="G42" s="3"/>
      <c r="H42" s="6">
        <v>12.29</v>
      </c>
      <c r="I42" s="3"/>
      <c r="J42" s="7">
        <f t="shared" si="1"/>
        <v>0</v>
      </c>
      <c r="K42" s="3"/>
      <c r="L42" s="6">
        <f t="shared" si="2"/>
        <v>-12.29</v>
      </c>
      <c r="M42" s="3"/>
      <c r="N42" s="7">
        <f t="shared" si="3"/>
        <v>-1</v>
      </c>
      <c r="O42" s="9"/>
      <c r="P42" s="6">
        <v>1902.42</v>
      </c>
      <c r="Q42" s="3"/>
      <c r="R42" s="7">
        <f t="shared" si="4"/>
        <v>4.6504771238165227E-4</v>
      </c>
      <c r="S42" s="3"/>
      <c r="T42" s="6">
        <v>217.04</v>
      </c>
      <c r="U42" s="3"/>
      <c r="V42" s="7">
        <f t="shared" si="5"/>
        <v>9.2127246302006211E-3</v>
      </c>
      <c r="W42" s="3"/>
      <c r="X42" s="6">
        <f t="shared" si="6"/>
        <v>1685.38</v>
      </c>
      <c r="Y42" s="3"/>
      <c r="Z42" s="7">
        <f t="shared" si="7"/>
        <v>7.7652967194987106</v>
      </c>
    </row>
    <row r="43" spans="1:26" s="68" customFormat="1" ht="15" customHeight="1" outlineLevel="1" collapsed="1" x14ac:dyDescent="0.3">
      <c r="A43" s="20"/>
      <c r="B43" s="11" t="str">
        <f>CONCATENATE("     ","Bad Debts/Over/Short                              ")</f>
        <v xml:space="preserve">     Bad Debts/Over/Short                              </v>
      </c>
      <c r="C43" s="11"/>
      <c r="D43" s="2">
        <f>SUM(OSRRefD22_3x_0)</f>
        <v>0</v>
      </c>
      <c r="E43" s="2"/>
      <c r="F43" s="5">
        <f t="shared" si="0"/>
        <v>0</v>
      </c>
      <c r="G43" s="2"/>
      <c r="H43" s="2">
        <f>SUM(OSRRefH22_3x_0)</f>
        <v>0</v>
      </c>
      <c r="I43" s="2"/>
      <c r="J43" s="5">
        <f t="shared" si="1"/>
        <v>0</v>
      </c>
      <c r="K43" s="2"/>
      <c r="L43" s="2">
        <f t="shared" si="2"/>
        <v>0</v>
      </c>
      <c r="M43" s="2"/>
      <c r="N43" s="5">
        <f t="shared" si="3"/>
        <v>0</v>
      </c>
      <c r="O43" s="11"/>
      <c r="P43" s="2">
        <f>SUM(OSRRefP22_3x_0)</f>
        <v>-23.9</v>
      </c>
      <c r="Q43" s="2"/>
      <c r="R43" s="5">
        <f t="shared" si="4"/>
        <v>-5.8423693642421163E-6</v>
      </c>
      <c r="S43" s="2"/>
      <c r="T43" s="2">
        <f>SUM(OSRRefT22_3x_0)</f>
        <v>0</v>
      </c>
      <c r="U43" s="2"/>
      <c r="V43" s="5">
        <f t="shared" si="5"/>
        <v>0</v>
      </c>
      <c r="W43" s="2"/>
      <c r="X43" s="2">
        <f t="shared" si="6"/>
        <v>-23.9</v>
      </c>
      <c r="Y43" s="2"/>
      <c r="Z43" s="5">
        <f t="shared" si="7"/>
        <v>0</v>
      </c>
    </row>
    <row r="44" spans="1:26" s="69" customFormat="1" ht="15" hidden="1" customHeight="1" outlineLevel="2" x14ac:dyDescent="0.3">
      <c r="A44" s="21"/>
      <c r="B44" s="9" t="str">
        <f>CONCATENATE("          ","6272"," - ","CASH (OVER/SHORT)")</f>
        <v xml:space="preserve">          6272 - CASH (OVER/SHORT)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-23.9</v>
      </c>
      <c r="Q44" s="3"/>
      <c r="R44" s="7">
        <f t="shared" si="4"/>
        <v>-5.8423693642421163E-6</v>
      </c>
      <c r="S44" s="3"/>
      <c r="T44" s="6">
        <v>0</v>
      </c>
      <c r="U44" s="3"/>
      <c r="V44" s="7">
        <f t="shared" si="5"/>
        <v>0</v>
      </c>
      <c r="W44" s="3"/>
      <c r="X44" s="6">
        <f t="shared" si="6"/>
        <v>-23.9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0"/>
      <c r="B45" s="11" t="str">
        <f>CONCATENATE("     ","Bank/card Fees                                    ")</f>
        <v xml:space="preserve">     Bank/card Fees                                    </v>
      </c>
      <c r="C45" s="11"/>
      <c r="D45" s="2">
        <f>SUM(OSRRefD22_4x_0)</f>
        <v>77.52</v>
      </c>
      <c r="E45" s="2"/>
      <c r="F45" s="5">
        <f t="shared" si="0"/>
        <v>4.6820780236412322E-4</v>
      </c>
      <c r="G45" s="2"/>
      <c r="H45" s="2">
        <f>SUM(OSRRefH22_4x_0)</f>
        <v>0</v>
      </c>
      <c r="I45" s="2"/>
      <c r="J45" s="5">
        <f t="shared" si="1"/>
        <v>0</v>
      </c>
      <c r="K45" s="2"/>
      <c r="L45" s="2">
        <f t="shared" si="2"/>
        <v>77.52</v>
      </c>
      <c r="M45" s="2"/>
      <c r="N45" s="5">
        <f t="shared" si="3"/>
        <v>0</v>
      </c>
      <c r="O45" s="11"/>
      <c r="P45" s="2">
        <f>SUM(OSRRefP22_4x_0)</f>
        <v>746.47</v>
      </c>
      <c r="Q45" s="2"/>
      <c r="R45" s="5">
        <f t="shared" si="4"/>
        <v>1.8247504013915538E-4</v>
      </c>
      <c r="S45" s="2"/>
      <c r="T45" s="2">
        <f>SUM(OSRRefT22_4x_0)</f>
        <v>0</v>
      </c>
      <c r="U45" s="2"/>
      <c r="V45" s="5">
        <f t="shared" si="5"/>
        <v>0</v>
      </c>
      <c r="W45" s="2"/>
      <c r="X45" s="2">
        <f t="shared" si="6"/>
        <v>746.47</v>
      </c>
      <c r="Y45" s="2"/>
      <c r="Z45" s="5">
        <f t="shared" si="7"/>
        <v>0</v>
      </c>
    </row>
    <row r="46" spans="1:26" s="69" customFormat="1" ht="15" hidden="1" customHeight="1" outlineLevel="2" x14ac:dyDescent="0.3">
      <c r="A46" s="21"/>
      <c r="B46" s="9" t="str">
        <f>CONCATENATE("          ","6381"," - ","BANK/CREDIT CARD FEES")</f>
        <v xml:space="preserve">          6381 - BANK/CREDIT CARD FEES</v>
      </c>
      <c r="C46" s="9"/>
      <c r="D46" s="6">
        <v>77.52</v>
      </c>
      <c r="E46" s="3"/>
      <c r="F46" s="7">
        <f t="shared" si="0"/>
        <v>4.6820780236412322E-4</v>
      </c>
      <c r="G46" s="3"/>
      <c r="H46" s="6"/>
      <c r="I46" s="3"/>
      <c r="J46" s="7">
        <f t="shared" si="1"/>
        <v>0</v>
      </c>
      <c r="K46" s="3"/>
      <c r="L46" s="6">
        <f t="shared" si="2"/>
        <v>77.52</v>
      </c>
      <c r="M46" s="3"/>
      <c r="N46" s="7">
        <f t="shared" si="3"/>
        <v>0</v>
      </c>
      <c r="O46" s="9"/>
      <c r="P46" s="6">
        <v>746.47</v>
      </c>
      <c r="Q46" s="3"/>
      <c r="R46" s="7">
        <f t="shared" si="4"/>
        <v>1.8247504013915538E-4</v>
      </c>
      <c r="S46" s="3"/>
      <c r="T46" s="6"/>
      <c r="U46" s="3"/>
      <c r="V46" s="7">
        <f t="shared" si="5"/>
        <v>0</v>
      </c>
      <c r="W46" s="3"/>
      <c r="X46" s="6">
        <f t="shared" si="6"/>
        <v>746.47</v>
      </c>
      <c r="Y46" s="3"/>
      <c r="Z46" s="7">
        <f t="shared" si="7"/>
        <v>0</v>
      </c>
    </row>
    <row r="47" spans="1:26" s="68" customFormat="1" ht="15" customHeight="1" outlineLevel="1" collapsed="1" x14ac:dyDescent="0.3">
      <c r="A47" s="20"/>
      <c r="B47" s="11" t="str">
        <f>CONCATENATE("     ","Depreciation                                      ")</f>
        <v xml:space="preserve">     Depreciation                                      </v>
      </c>
      <c r="C47" s="11"/>
      <c r="D47" s="2">
        <f>SUM(OSRRefD22_5x_0)</f>
        <v>273.52999999999997</v>
      </c>
      <c r="E47" s="2"/>
      <c r="F47" s="5">
        <f t="shared" si="0"/>
        <v>1.6520753377277943E-3</v>
      </c>
      <c r="G47" s="2"/>
      <c r="H47" s="2">
        <f>SUM(OSRRefH22_5x_0)</f>
        <v>272.70999999999998</v>
      </c>
      <c r="I47" s="2"/>
      <c r="J47" s="5">
        <f t="shared" si="1"/>
        <v>0</v>
      </c>
      <c r="K47" s="2"/>
      <c r="L47" s="2">
        <f t="shared" si="2"/>
        <v>0.81999999999999318</v>
      </c>
      <c r="M47" s="2"/>
      <c r="N47" s="5">
        <f t="shared" si="3"/>
        <v>3.0068571009497021E-3</v>
      </c>
      <c r="O47" s="11"/>
      <c r="P47" s="2">
        <f>SUM(OSRRefP22_5x_0)</f>
        <v>3282.14</v>
      </c>
      <c r="Q47" s="2"/>
      <c r="R47" s="5">
        <f t="shared" si="4"/>
        <v>8.0232109561312217E-4</v>
      </c>
      <c r="S47" s="2"/>
      <c r="T47" s="2">
        <f>SUM(OSRRefT22_5x_0)</f>
        <v>3008.63</v>
      </c>
      <c r="U47" s="2"/>
      <c r="V47" s="5">
        <f t="shared" si="5"/>
        <v>0.12770770228603251</v>
      </c>
      <c r="W47" s="2"/>
      <c r="X47" s="2">
        <f t="shared" si="6"/>
        <v>273.50999999999976</v>
      </c>
      <c r="Y47" s="2"/>
      <c r="Z47" s="5">
        <f t="shared" si="7"/>
        <v>9.0908486586918219E-2</v>
      </c>
    </row>
    <row r="48" spans="1:26" s="69" customFormat="1" ht="15" hidden="1" customHeight="1" outlineLevel="2" x14ac:dyDescent="0.3">
      <c r="A48" s="21"/>
      <c r="B48" s="9" t="str">
        <f>CONCATENATE("          ","6322"," - ","EQUIPMENT DEPRECIATION EXPENSE")</f>
        <v xml:space="preserve">          6322 - EQUIPMENT DEPRECIATION EXPENSE</v>
      </c>
      <c r="C48" s="9"/>
      <c r="D48" s="6">
        <v>273.52999999999997</v>
      </c>
      <c r="E48" s="3"/>
      <c r="F48" s="7">
        <f t="shared" si="0"/>
        <v>1.6520753377277943E-3</v>
      </c>
      <c r="G48" s="3"/>
      <c r="H48" s="6">
        <v>272.70999999999998</v>
      </c>
      <c r="I48" s="3"/>
      <c r="J48" s="7">
        <f t="shared" si="1"/>
        <v>0</v>
      </c>
      <c r="K48" s="3"/>
      <c r="L48" s="6">
        <f t="shared" si="2"/>
        <v>0.81999999999999318</v>
      </c>
      <c r="M48" s="3"/>
      <c r="N48" s="7">
        <f t="shared" si="3"/>
        <v>3.0068571009497021E-3</v>
      </c>
      <c r="O48" s="9"/>
      <c r="P48" s="6">
        <v>3282.14</v>
      </c>
      <c r="Q48" s="3"/>
      <c r="R48" s="7">
        <f t="shared" si="4"/>
        <v>8.0232109561312217E-4</v>
      </c>
      <c r="S48" s="3"/>
      <c r="T48" s="6">
        <v>3008.63</v>
      </c>
      <c r="U48" s="3"/>
      <c r="V48" s="7">
        <f t="shared" si="5"/>
        <v>0.12770770228603251</v>
      </c>
      <c r="W48" s="3"/>
      <c r="X48" s="6">
        <f t="shared" si="6"/>
        <v>273.50999999999976</v>
      </c>
      <c r="Y48" s="3"/>
      <c r="Z48" s="7">
        <f t="shared" si="7"/>
        <v>9.0908486586918219E-2</v>
      </c>
    </row>
    <row r="49" spans="1:26" s="68" customFormat="1" ht="15" customHeight="1" outlineLevel="1" collapsed="1" x14ac:dyDescent="0.3">
      <c r="A49" s="20"/>
      <c r="B49" s="11" t="str">
        <f>CONCATENATE("     ","Donations                                         ")</f>
        <v xml:space="preserve">     Donations                                         </v>
      </c>
      <c r="C49" s="11"/>
      <c r="D49" s="2">
        <f>SUM(OSRRefD22_6x_0)</f>
        <v>0</v>
      </c>
      <c r="E49" s="2"/>
      <c r="F49" s="5">
        <f t="shared" si="0"/>
        <v>0</v>
      </c>
      <c r="G49" s="2"/>
      <c r="H49" s="2">
        <f>SUM(OSRRefH22_6x_0)</f>
        <v>0</v>
      </c>
      <c r="I49" s="2"/>
      <c r="J49" s="5">
        <f t="shared" si="1"/>
        <v>0</v>
      </c>
      <c r="K49" s="2"/>
      <c r="L49" s="2">
        <f t="shared" si="2"/>
        <v>0</v>
      </c>
      <c r="M49" s="2"/>
      <c r="N49" s="5">
        <f t="shared" si="3"/>
        <v>0</v>
      </c>
      <c r="O49" s="11"/>
      <c r="P49" s="2">
        <f>SUM(OSRRefP22_6x_0)</f>
        <v>35511.86</v>
      </c>
      <c r="Q49" s="2"/>
      <c r="R49" s="5">
        <f t="shared" si="4"/>
        <v>8.6808955201361955E-3</v>
      </c>
      <c r="S49" s="2"/>
      <c r="T49" s="2">
        <f>SUM(OSRRefT22_6x_0)</f>
        <v>0</v>
      </c>
      <c r="U49" s="2"/>
      <c r="V49" s="5">
        <f t="shared" si="5"/>
        <v>0</v>
      </c>
      <c r="W49" s="2"/>
      <c r="X49" s="2">
        <f t="shared" si="6"/>
        <v>35511.86</v>
      </c>
      <c r="Y49" s="2"/>
      <c r="Z49" s="5">
        <f t="shared" si="7"/>
        <v>0</v>
      </c>
    </row>
    <row r="50" spans="1:26" s="69" customFormat="1" ht="15" hidden="1" customHeight="1" outlineLevel="2" x14ac:dyDescent="0.3">
      <c r="A50" s="21"/>
      <c r="B50" s="9" t="str">
        <f>CONCATENATE("          ","6399"," - ","DONATION-ON CAMPUS")</f>
        <v xml:space="preserve">          6399 - DONATION-ON CAMPUS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35511.86</v>
      </c>
      <c r="Q50" s="3"/>
      <c r="R50" s="7">
        <f t="shared" si="4"/>
        <v>8.6808955201361955E-3</v>
      </c>
      <c r="S50" s="3"/>
      <c r="T50" s="6"/>
      <c r="U50" s="3"/>
      <c r="V50" s="7">
        <f t="shared" si="5"/>
        <v>0</v>
      </c>
      <c r="W50" s="3"/>
      <c r="X50" s="6">
        <f t="shared" si="6"/>
        <v>35511.86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0"/>
      <c r="B51" s="11" t="str">
        <f>CONCATENATE("     ","Employees' Appreciation                           ")</f>
        <v xml:space="preserve">     Employees' Appreciation                           </v>
      </c>
      <c r="C51" s="11"/>
      <c r="D51" s="2">
        <f>SUM(OSRRefD22_7x_0)</f>
        <v>0</v>
      </c>
      <c r="E51" s="2"/>
      <c r="F51" s="5">
        <f t="shared" si="0"/>
        <v>0</v>
      </c>
      <c r="G51" s="2"/>
      <c r="H51" s="2">
        <f>SUM(OSRRefH22_7x_0)</f>
        <v>0</v>
      </c>
      <c r="I51" s="2"/>
      <c r="J51" s="5">
        <f t="shared" si="1"/>
        <v>0</v>
      </c>
      <c r="K51" s="2"/>
      <c r="L51" s="2">
        <f t="shared" si="2"/>
        <v>0</v>
      </c>
      <c r="M51" s="2"/>
      <c r="N51" s="5">
        <f t="shared" si="3"/>
        <v>0</v>
      </c>
      <c r="O51" s="11"/>
      <c r="P51" s="2">
        <f>SUM(OSRRefP22_7x_0)</f>
        <v>34.47</v>
      </c>
      <c r="Q51" s="2"/>
      <c r="R51" s="5">
        <f t="shared" si="4"/>
        <v>8.4262122169634205E-6</v>
      </c>
      <c r="S51" s="2"/>
      <c r="T51" s="2">
        <f>SUM(OSRRefT22_7x_0)</f>
        <v>0</v>
      </c>
      <c r="U51" s="2"/>
      <c r="V51" s="5">
        <f t="shared" si="5"/>
        <v>0</v>
      </c>
      <c r="W51" s="2"/>
      <c r="X51" s="2">
        <f t="shared" si="6"/>
        <v>34.47</v>
      </c>
      <c r="Y51" s="2"/>
      <c r="Z51" s="5">
        <f t="shared" si="7"/>
        <v>0</v>
      </c>
    </row>
    <row r="52" spans="1:26" s="69" customFormat="1" ht="15" hidden="1" customHeight="1" outlineLevel="2" x14ac:dyDescent="0.3">
      <c r="A52" s="21"/>
      <c r="B52" s="9" t="str">
        <f>CONCATENATE("          ","6277"," - ","EMPLOYEE APPRECIATION")</f>
        <v xml:space="preserve">          6277 - EMPLOYEE APPRECIATION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34.47</v>
      </c>
      <c r="Q52" s="3"/>
      <c r="R52" s="7">
        <f t="shared" si="4"/>
        <v>8.4262122169634205E-6</v>
      </c>
      <c r="S52" s="3"/>
      <c r="T52" s="6"/>
      <c r="U52" s="3"/>
      <c r="V52" s="7">
        <f t="shared" si="5"/>
        <v>0</v>
      </c>
      <c r="W52" s="3"/>
      <c r="X52" s="6">
        <f t="shared" si="6"/>
        <v>34.47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0"/>
      <c r="B53" s="11" t="str">
        <f>CONCATENATE("     ","Equipment Rental                                  ")</f>
        <v xml:space="preserve">     Equipment Rental                                  </v>
      </c>
      <c r="C53" s="11"/>
      <c r="D53" s="2">
        <f>SUM(OSRRefD22_8x_0)</f>
        <v>227.44</v>
      </c>
      <c r="E53" s="2"/>
      <c r="F53" s="5">
        <f t="shared" si="0"/>
        <v>1.3736994655533564E-3</v>
      </c>
      <c r="G53" s="2"/>
      <c r="H53" s="2">
        <f>SUM(OSRRefH22_8x_0)</f>
        <v>308.58999999999997</v>
      </c>
      <c r="I53" s="2"/>
      <c r="J53" s="5">
        <f t="shared" si="1"/>
        <v>0</v>
      </c>
      <c r="K53" s="2"/>
      <c r="L53" s="2">
        <f t="shared" si="2"/>
        <v>-81.149999999999977</v>
      </c>
      <c r="M53" s="2"/>
      <c r="N53" s="5">
        <f t="shared" si="3"/>
        <v>-0.26297028419585855</v>
      </c>
      <c r="O53" s="11"/>
      <c r="P53" s="2">
        <f>SUM(OSRRefP22_8x_0)</f>
        <v>7847.97</v>
      </c>
      <c r="Q53" s="2"/>
      <c r="R53" s="5">
        <f t="shared" si="4"/>
        <v>1.91844098324231E-3</v>
      </c>
      <c r="S53" s="2"/>
      <c r="T53" s="2">
        <f>SUM(OSRRefT22_8x_0)</f>
        <v>2999.24</v>
      </c>
      <c r="U53" s="2"/>
      <c r="V53" s="5">
        <f t="shared" si="5"/>
        <v>0.1273091237554502</v>
      </c>
      <c r="W53" s="2"/>
      <c r="X53" s="2">
        <f t="shared" si="6"/>
        <v>4848.7300000000005</v>
      </c>
      <c r="Y53" s="2"/>
      <c r="Z53" s="5">
        <f t="shared" si="7"/>
        <v>1.6166528853976343</v>
      </c>
    </row>
    <row r="54" spans="1:26" s="69" customFormat="1" ht="15" hidden="1" customHeight="1" outlineLevel="2" x14ac:dyDescent="0.3">
      <c r="A54" s="21"/>
      <c r="B54" s="9" t="str">
        <f>CONCATENATE("          ","6351"," - ","EQUIPMENT RENTAL")</f>
        <v xml:space="preserve">          6351 - EQUIPMENT RENTAL</v>
      </c>
      <c r="C54" s="9"/>
      <c r="D54" s="6">
        <v>227.44</v>
      </c>
      <c r="E54" s="3"/>
      <c r="F54" s="7">
        <f t="shared" si="0"/>
        <v>1.3736994655533564E-3</v>
      </c>
      <c r="G54" s="3"/>
      <c r="H54" s="6">
        <v>308.58999999999997</v>
      </c>
      <c r="I54" s="3"/>
      <c r="J54" s="7">
        <f t="shared" si="1"/>
        <v>0</v>
      </c>
      <c r="K54" s="3"/>
      <c r="L54" s="6">
        <f t="shared" si="2"/>
        <v>-81.149999999999977</v>
      </c>
      <c r="M54" s="3"/>
      <c r="N54" s="7">
        <f t="shared" si="3"/>
        <v>-0.26297028419585855</v>
      </c>
      <c r="O54" s="9"/>
      <c r="P54" s="6">
        <v>7847.97</v>
      </c>
      <c r="Q54" s="3"/>
      <c r="R54" s="7">
        <f t="shared" si="4"/>
        <v>1.91844098324231E-3</v>
      </c>
      <c r="S54" s="3"/>
      <c r="T54" s="6">
        <v>2999.24</v>
      </c>
      <c r="U54" s="3"/>
      <c r="V54" s="7">
        <f t="shared" si="5"/>
        <v>0.1273091237554502</v>
      </c>
      <c r="W54" s="3"/>
      <c r="X54" s="6">
        <f t="shared" si="6"/>
        <v>4848.7300000000005</v>
      </c>
      <c r="Y54" s="3"/>
      <c r="Z54" s="7">
        <f t="shared" si="7"/>
        <v>1.6166528853976343</v>
      </c>
    </row>
    <row r="55" spans="1:26" s="68" customFormat="1" ht="15" customHeight="1" outlineLevel="1" collapsed="1" x14ac:dyDescent="0.3">
      <c r="A55" s="20"/>
      <c r="B55" s="11" t="str">
        <f>CONCATENATE("     ","General                                           ")</f>
        <v xml:space="preserve">     General                                           </v>
      </c>
      <c r="C55" s="11"/>
      <c r="D55" s="2">
        <f>SUM(OSRRefD22_9x_0)</f>
        <v>62.59</v>
      </c>
      <c r="E55" s="2"/>
      <c r="F55" s="5">
        <f t="shared" ref="F55:F78" si="8">IF(D$12=0,0,D55/D$12)</f>
        <v>3.7803310564977393E-4</v>
      </c>
      <c r="G55" s="2"/>
      <c r="H55" s="2">
        <f>SUM(OSRRefH22_9x_0)</f>
        <v>0</v>
      </c>
      <c r="I55" s="2"/>
      <c r="J55" s="5">
        <f t="shared" ref="J55:J78" si="9">IF(H$12=0,0,H55/H$12)</f>
        <v>0</v>
      </c>
      <c r="K55" s="2"/>
      <c r="L55" s="2">
        <f t="shared" ref="L55:L78" si="10">+D55-H55</f>
        <v>62.59</v>
      </c>
      <c r="M55" s="2"/>
      <c r="N55" s="5">
        <f t="shared" ref="N55:N78" si="11">IF(H55=0,0,L55/H55)</f>
        <v>0</v>
      </c>
      <c r="O55" s="11"/>
      <c r="P55" s="2">
        <f>SUM(OSRRefP22_9x_0)</f>
        <v>12151.3</v>
      </c>
      <c r="Q55" s="2"/>
      <c r="R55" s="5">
        <f t="shared" ref="R55:R78" si="12">IF(P$12=0,0,P55/P$12)</f>
        <v>2.9703925881052399E-3</v>
      </c>
      <c r="S55" s="2"/>
      <c r="T55" s="2">
        <f>SUM(OSRRefT22_9x_0)</f>
        <v>3847.45</v>
      </c>
      <c r="U55" s="2"/>
      <c r="V55" s="5">
        <f t="shared" ref="V55:V78" si="13">IF(T$12=0,0,T55/T$12)</f>
        <v>0.16331320207549474</v>
      </c>
      <c r="W55" s="2"/>
      <c r="X55" s="2">
        <f t="shared" ref="X55:X78" si="14">+P55-T55</f>
        <v>8303.8499999999985</v>
      </c>
      <c r="Y55" s="2"/>
      <c r="Z55" s="5">
        <f t="shared" ref="Z55:Z78" si="15">IF(T55=0,0,X55/T55)</f>
        <v>2.158273661775981</v>
      </c>
    </row>
    <row r="56" spans="1:26" s="69" customFormat="1" ht="15" hidden="1" customHeight="1" outlineLevel="2" x14ac:dyDescent="0.3">
      <c r="A56" s="21"/>
      <c r="B56" s="9" t="str">
        <f>CONCATENATE("          ","6279"," - ","GENERAL EXPENSE")</f>
        <v xml:space="preserve">          6279 - GENERAL EXPENSE</v>
      </c>
      <c r="C56" s="9"/>
      <c r="D56" s="6">
        <v>62.59</v>
      </c>
      <c r="E56" s="3"/>
      <c r="F56" s="7">
        <f t="shared" si="8"/>
        <v>3.7803310564977393E-4</v>
      </c>
      <c r="G56" s="3"/>
      <c r="H56" s="6"/>
      <c r="I56" s="3"/>
      <c r="J56" s="7">
        <f t="shared" si="9"/>
        <v>0</v>
      </c>
      <c r="K56" s="3"/>
      <c r="L56" s="6">
        <f t="shared" si="10"/>
        <v>62.59</v>
      </c>
      <c r="M56" s="3"/>
      <c r="N56" s="7">
        <f t="shared" si="11"/>
        <v>0</v>
      </c>
      <c r="O56" s="9"/>
      <c r="P56" s="6">
        <v>12151.3</v>
      </c>
      <c r="Q56" s="3"/>
      <c r="R56" s="7">
        <f t="shared" si="12"/>
        <v>2.9703925881052399E-3</v>
      </c>
      <c r="S56" s="3"/>
      <c r="T56" s="6">
        <v>3847.45</v>
      </c>
      <c r="U56" s="3"/>
      <c r="V56" s="7">
        <f t="shared" si="13"/>
        <v>0.16331320207549474</v>
      </c>
      <c r="W56" s="3"/>
      <c r="X56" s="6">
        <f t="shared" si="14"/>
        <v>8303.8499999999985</v>
      </c>
      <c r="Y56" s="3"/>
      <c r="Z56" s="7">
        <f t="shared" si="15"/>
        <v>2.158273661775981</v>
      </c>
    </row>
    <row r="57" spans="1:26" s="68" customFormat="1" ht="15" customHeight="1" outlineLevel="1" collapsed="1" x14ac:dyDescent="0.3">
      <c r="A57" s="20"/>
      <c r="B57" s="11" t="str">
        <f>CONCATENATE("     ","R/H Commissions                                   ")</f>
        <v xml:space="preserve">     R/H Commissions                                   </v>
      </c>
      <c r="C57" s="11"/>
      <c r="D57" s="2">
        <f>SUM(OSRRefD22_10x_0)</f>
        <v>13318.07</v>
      </c>
      <c r="E57" s="2"/>
      <c r="F57" s="5">
        <f t="shared" si="8"/>
        <v>8.0438909783688839E-2</v>
      </c>
      <c r="G57" s="2"/>
      <c r="H57" s="2">
        <f>SUM(OSRRefH22_10x_0)</f>
        <v>0</v>
      </c>
      <c r="I57" s="2"/>
      <c r="J57" s="5">
        <f t="shared" si="9"/>
        <v>0</v>
      </c>
      <c r="K57" s="2"/>
      <c r="L57" s="2">
        <f t="shared" si="10"/>
        <v>13318.07</v>
      </c>
      <c r="M57" s="2"/>
      <c r="N57" s="5">
        <f t="shared" si="11"/>
        <v>0</v>
      </c>
      <c r="O57" s="11"/>
      <c r="P57" s="2">
        <f>SUM(OSRRefP22_10x_0)</f>
        <v>320915.96999999997</v>
      </c>
      <c r="Q57" s="2"/>
      <c r="R57" s="5">
        <f t="shared" si="12"/>
        <v>7.8448101741591725E-2</v>
      </c>
      <c r="S57" s="2"/>
      <c r="T57" s="2">
        <f>SUM(OSRRefT22_10x_0)</f>
        <v>1899.35</v>
      </c>
      <c r="U57" s="2"/>
      <c r="V57" s="5">
        <f t="shared" si="13"/>
        <v>8.0621952296219823E-2</v>
      </c>
      <c r="W57" s="2"/>
      <c r="X57" s="2">
        <f t="shared" si="14"/>
        <v>319016.62</v>
      </c>
      <c r="Y57" s="2"/>
      <c r="Z57" s="5">
        <f t="shared" si="15"/>
        <v>167.96094453365626</v>
      </c>
    </row>
    <row r="58" spans="1:26" s="69" customFormat="1" ht="15" hidden="1" customHeight="1" outlineLevel="2" x14ac:dyDescent="0.3">
      <c r="A58" s="21"/>
      <c r="B58" s="9" t="str">
        <f>CONCATENATE("          ","6387"," - ","COMMISSION DUE HOUSING")</f>
        <v xml:space="preserve">          6387 - COMMISSION DUE HOUSING</v>
      </c>
      <c r="C58" s="9"/>
      <c r="D58" s="6">
        <v>13318.07</v>
      </c>
      <c r="E58" s="3"/>
      <c r="F58" s="7">
        <f t="shared" si="8"/>
        <v>8.0438909783688839E-2</v>
      </c>
      <c r="G58" s="3"/>
      <c r="H58" s="6"/>
      <c r="I58" s="3"/>
      <c r="J58" s="7">
        <f t="shared" si="9"/>
        <v>0</v>
      </c>
      <c r="K58" s="3"/>
      <c r="L58" s="6">
        <f t="shared" si="10"/>
        <v>13318.07</v>
      </c>
      <c r="M58" s="3"/>
      <c r="N58" s="7">
        <f t="shared" si="11"/>
        <v>0</v>
      </c>
      <c r="O58" s="9"/>
      <c r="P58" s="6">
        <v>320915.96999999997</v>
      </c>
      <c r="Q58" s="3"/>
      <c r="R58" s="7">
        <f t="shared" si="12"/>
        <v>7.8448101741591725E-2</v>
      </c>
      <c r="S58" s="3"/>
      <c r="T58" s="6">
        <v>1899.35</v>
      </c>
      <c r="U58" s="3"/>
      <c r="V58" s="7">
        <f t="shared" si="13"/>
        <v>8.0621952296219823E-2</v>
      </c>
      <c r="W58" s="3"/>
      <c r="X58" s="6">
        <f t="shared" si="14"/>
        <v>319016.62</v>
      </c>
      <c r="Y58" s="3"/>
      <c r="Z58" s="7">
        <f t="shared" si="15"/>
        <v>167.96094453365626</v>
      </c>
    </row>
    <row r="59" spans="1:26" s="68" customFormat="1" ht="15" customHeight="1" outlineLevel="1" collapsed="1" x14ac:dyDescent="0.3">
      <c r="A59" s="20"/>
      <c r="B59" s="11" t="str">
        <f>CONCATENATE("     ","Repair and Maintenance                            ")</f>
        <v xml:space="preserve">     Repair and Maintenance                            </v>
      </c>
      <c r="C59" s="11"/>
      <c r="D59" s="2">
        <f>SUM(OSRRefD22_11x_0)</f>
        <v>1991.28</v>
      </c>
      <c r="E59" s="2"/>
      <c r="F59" s="5">
        <f t="shared" si="8"/>
        <v>1.2026997325743437E-2</v>
      </c>
      <c r="G59" s="2"/>
      <c r="H59" s="2">
        <f>SUM(OSRRefH22_11x_0)</f>
        <v>83.83</v>
      </c>
      <c r="I59" s="2"/>
      <c r="J59" s="5">
        <f t="shared" si="9"/>
        <v>0</v>
      </c>
      <c r="K59" s="2"/>
      <c r="L59" s="2">
        <f t="shared" si="10"/>
        <v>1907.45</v>
      </c>
      <c r="M59" s="2"/>
      <c r="N59" s="5">
        <f t="shared" si="11"/>
        <v>22.753787426935467</v>
      </c>
      <c r="O59" s="11"/>
      <c r="P59" s="2">
        <f>SUM(OSRRefP22_11x_0)</f>
        <v>5511.85</v>
      </c>
      <c r="Q59" s="2"/>
      <c r="R59" s="5">
        <f t="shared" si="12"/>
        <v>1.3473750452007497E-3</v>
      </c>
      <c r="S59" s="2"/>
      <c r="T59" s="2">
        <f>SUM(OSRRefT22_11x_0)</f>
        <v>1429.08</v>
      </c>
      <c r="U59" s="2"/>
      <c r="V59" s="5">
        <f t="shared" si="13"/>
        <v>6.0660341478654185E-2</v>
      </c>
      <c r="W59" s="2"/>
      <c r="X59" s="2">
        <f t="shared" si="14"/>
        <v>4082.7700000000004</v>
      </c>
      <c r="Y59" s="2"/>
      <c r="Z59" s="5">
        <f t="shared" si="15"/>
        <v>2.8569219357908588</v>
      </c>
    </row>
    <row r="60" spans="1:26" s="69" customFormat="1" ht="15" hidden="1" customHeight="1" outlineLevel="2" x14ac:dyDescent="0.3">
      <c r="A60" s="21"/>
      <c r="B60" s="9" t="str">
        <f>CONCATENATE("          ","6373"," - ","MAINTENANCE CONTRACTS")</f>
        <v xml:space="preserve">          6373 - MAINTENANCE CONTRACTS</v>
      </c>
      <c r="C60" s="9"/>
      <c r="D60" s="6">
        <v>1991.28</v>
      </c>
      <c r="E60" s="3"/>
      <c r="F60" s="7">
        <f t="shared" si="8"/>
        <v>1.2026997325743437E-2</v>
      </c>
      <c r="G60" s="3"/>
      <c r="H60" s="6">
        <v>83.83</v>
      </c>
      <c r="I60" s="3"/>
      <c r="J60" s="7">
        <f t="shared" si="9"/>
        <v>0</v>
      </c>
      <c r="K60" s="3"/>
      <c r="L60" s="6">
        <f t="shared" si="10"/>
        <v>1907.45</v>
      </c>
      <c r="M60" s="3"/>
      <c r="N60" s="7">
        <f t="shared" si="11"/>
        <v>22.753787426935467</v>
      </c>
      <c r="O60" s="9"/>
      <c r="P60" s="6">
        <v>2268.85</v>
      </c>
      <c r="Q60" s="3"/>
      <c r="R60" s="7">
        <f t="shared" si="12"/>
        <v>5.5462174611132749E-4</v>
      </c>
      <c r="S60" s="3"/>
      <c r="T60" s="6">
        <v>1410.08</v>
      </c>
      <c r="U60" s="3"/>
      <c r="V60" s="7">
        <f t="shared" si="13"/>
        <v>5.9853846049360913E-2</v>
      </c>
      <c r="W60" s="3"/>
      <c r="X60" s="6">
        <f t="shared" si="14"/>
        <v>858.77</v>
      </c>
      <c r="Y60" s="3"/>
      <c r="Z60" s="7">
        <f t="shared" si="15"/>
        <v>0.60902218313854539</v>
      </c>
    </row>
    <row r="61" spans="1:26" s="69" customFormat="1" ht="15" hidden="1" customHeight="1" outlineLevel="2" x14ac:dyDescent="0.3">
      <c r="A61" s="21"/>
      <c r="B61" s="9" t="str">
        <f>CONCATENATE("          ","6375"," - ","OUTSIDE REPAIRS &amp; MAINTENANCE")</f>
        <v xml:space="preserve">          6375 - OUTSIDE REPAIRS &amp; MAINTENANCE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3243</v>
      </c>
      <c r="Q61" s="3"/>
      <c r="R61" s="7">
        <f t="shared" si="12"/>
        <v>7.9275329908942195E-4</v>
      </c>
      <c r="S61" s="3"/>
      <c r="T61" s="6">
        <v>19</v>
      </c>
      <c r="U61" s="3"/>
      <c r="V61" s="7">
        <f t="shared" si="13"/>
        <v>8.0649542929327222E-4</v>
      </c>
      <c r="W61" s="3"/>
      <c r="X61" s="6">
        <f t="shared" si="14"/>
        <v>3224</v>
      </c>
      <c r="Y61" s="3"/>
      <c r="Z61" s="7">
        <f t="shared" si="15"/>
        <v>169.68421052631578</v>
      </c>
    </row>
    <row r="62" spans="1:26" s="68" customFormat="1" ht="15" customHeight="1" outlineLevel="1" collapsed="1" x14ac:dyDescent="0.3">
      <c r="A62" s="20"/>
      <c r="B62" s="11" t="str">
        <f>CONCATENATE("     ","Services                                          ")</f>
        <v xml:space="preserve">     Services                                          </v>
      </c>
      <c r="C62" s="11"/>
      <c r="D62" s="2">
        <f>SUM(OSRRefD22_12x_0)</f>
        <v>7452.0099999999993</v>
      </c>
      <c r="E62" s="2"/>
      <c r="F62" s="5">
        <f t="shared" si="8"/>
        <v>4.5008890935184079E-2</v>
      </c>
      <c r="G62" s="2"/>
      <c r="H62" s="2">
        <f>SUM(OSRRefH22_12x_0)</f>
        <v>4846.1799999999994</v>
      </c>
      <c r="I62" s="2"/>
      <c r="J62" s="5">
        <f t="shared" si="9"/>
        <v>0</v>
      </c>
      <c r="K62" s="2"/>
      <c r="L62" s="2">
        <f t="shared" si="10"/>
        <v>2605.83</v>
      </c>
      <c r="M62" s="2"/>
      <c r="N62" s="5">
        <f t="shared" si="11"/>
        <v>0.53770805046448966</v>
      </c>
      <c r="O62" s="11"/>
      <c r="P62" s="2">
        <f>SUM(OSRRefP22_12x_0)</f>
        <v>73257.759999999995</v>
      </c>
      <c r="Q62" s="2"/>
      <c r="R62" s="5">
        <f t="shared" si="12"/>
        <v>1.790790346096241E-2</v>
      </c>
      <c r="S62" s="2"/>
      <c r="T62" s="2">
        <f>SUM(OSRRefT22_12x_0)</f>
        <v>67126.929999999993</v>
      </c>
      <c r="U62" s="2"/>
      <c r="V62" s="5">
        <f t="shared" si="13"/>
        <v>2.8493453803941806</v>
      </c>
      <c r="W62" s="2"/>
      <c r="X62" s="2">
        <f t="shared" si="14"/>
        <v>6130.8300000000017</v>
      </c>
      <c r="Y62" s="2"/>
      <c r="Z62" s="5">
        <f t="shared" si="15"/>
        <v>9.1331899134967184E-2</v>
      </c>
    </row>
    <row r="63" spans="1:26" s="69" customFormat="1" ht="15" hidden="1" customHeight="1" outlineLevel="2" x14ac:dyDescent="0.3">
      <c r="A63" s="21"/>
      <c r="B63" s="9" t="str">
        <f>CONCATENATE("          ","6282"," - ","JANITORIAL/EXTERMINATOR EXPENS")</f>
        <v xml:space="preserve">          6282 - JANITORIAL/EXTERMINATOR EXPENS</v>
      </c>
      <c r="C63" s="9"/>
      <c r="D63" s="6">
        <v>454.95</v>
      </c>
      <c r="E63" s="3"/>
      <c r="F63" s="7">
        <f t="shared" si="8"/>
        <v>2.7478217193699413E-3</v>
      </c>
      <c r="G63" s="3"/>
      <c r="H63" s="6">
        <v>417.32</v>
      </c>
      <c r="I63" s="3"/>
      <c r="J63" s="7">
        <f t="shared" si="9"/>
        <v>0</v>
      </c>
      <c r="K63" s="3"/>
      <c r="L63" s="6">
        <f t="shared" si="10"/>
        <v>37.629999999999995</v>
      </c>
      <c r="M63" s="3"/>
      <c r="N63" s="7">
        <f t="shared" si="11"/>
        <v>9.0170612479631929E-2</v>
      </c>
      <c r="O63" s="9"/>
      <c r="P63" s="6">
        <v>5688.77</v>
      </c>
      <c r="Q63" s="3"/>
      <c r="R63" s="7">
        <f t="shared" si="12"/>
        <v>1.3906232455322021E-3</v>
      </c>
      <c r="S63" s="3"/>
      <c r="T63" s="6">
        <v>5096.22</v>
      </c>
      <c r="U63" s="3"/>
      <c r="V63" s="7">
        <f t="shared" si="13"/>
        <v>0.21631990193015579</v>
      </c>
      <c r="W63" s="3"/>
      <c r="X63" s="6">
        <f t="shared" si="14"/>
        <v>592.55000000000018</v>
      </c>
      <c r="Y63" s="3"/>
      <c r="Z63" s="7">
        <f t="shared" si="15"/>
        <v>0.11627245291608293</v>
      </c>
    </row>
    <row r="64" spans="1:26" s="69" customFormat="1" ht="15" hidden="1" customHeight="1" outlineLevel="2" x14ac:dyDescent="0.3">
      <c r="A64" s="21"/>
      <c r="B64" s="9" t="str">
        <f>CONCATENATE("          ","6285"," - ","JANITORIAL SERVICES")</f>
        <v xml:space="preserve">          6285 - JANITORIAL SERVICES</v>
      </c>
      <c r="C64" s="9"/>
      <c r="D64" s="6">
        <v>4428.8599999999997</v>
      </c>
      <c r="E64" s="3"/>
      <c r="F64" s="7">
        <f t="shared" si="8"/>
        <v>2.674957182118641E-2</v>
      </c>
      <c r="G64" s="3"/>
      <c r="H64" s="6">
        <v>4428.8599999999997</v>
      </c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53629.32</v>
      </c>
      <c r="Q64" s="3"/>
      <c r="R64" s="7">
        <f t="shared" si="12"/>
        <v>1.3109719505988998E-2</v>
      </c>
      <c r="S64" s="3"/>
      <c r="T64" s="6">
        <v>55776.13</v>
      </c>
      <c r="U64" s="3"/>
      <c r="V64" s="7">
        <f t="shared" si="13"/>
        <v>2.3675365215088084</v>
      </c>
      <c r="W64" s="3"/>
      <c r="X64" s="6">
        <f t="shared" si="14"/>
        <v>-2146.8099999999977</v>
      </c>
      <c r="Y64" s="3"/>
      <c r="Z64" s="7">
        <f t="shared" si="15"/>
        <v>-3.8489762556132845E-2</v>
      </c>
    </row>
    <row r="65" spans="1:26" s="69" customFormat="1" ht="15" hidden="1" customHeight="1" outlineLevel="2" x14ac:dyDescent="0.3">
      <c r="A65" s="21"/>
      <c r="B65" s="9" t="str">
        <f>CONCATENATE("          ","6286"," - ","LAUNDRY EXPENSE")</f>
        <v xml:space="preserve">          6286 - LAUNDRY EXPENSE</v>
      </c>
      <c r="C65" s="9"/>
      <c r="D65" s="6">
        <v>2568.1999999999998</v>
      </c>
      <c r="E65" s="3"/>
      <c r="F65" s="7">
        <f t="shared" si="8"/>
        <v>1.5511497394627724E-2</v>
      </c>
      <c r="G65" s="3"/>
      <c r="H65" s="6"/>
      <c r="I65" s="3"/>
      <c r="J65" s="7">
        <f t="shared" si="9"/>
        <v>0</v>
      </c>
      <c r="K65" s="3"/>
      <c r="L65" s="6">
        <f t="shared" si="10"/>
        <v>2568.1999999999998</v>
      </c>
      <c r="M65" s="3"/>
      <c r="N65" s="7">
        <f t="shared" si="11"/>
        <v>0</v>
      </c>
      <c r="O65" s="9"/>
      <c r="P65" s="6">
        <v>13939.67</v>
      </c>
      <c r="Q65" s="3"/>
      <c r="R65" s="7">
        <f t="shared" si="12"/>
        <v>3.4075607094412098E-3</v>
      </c>
      <c r="S65" s="3"/>
      <c r="T65" s="6">
        <v>6254.58</v>
      </c>
      <c r="U65" s="3"/>
      <c r="V65" s="7">
        <f t="shared" si="13"/>
        <v>0.26548895695521657</v>
      </c>
      <c r="W65" s="3"/>
      <c r="X65" s="6">
        <f t="shared" si="14"/>
        <v>7685.09</v>
      </c>
      <c r="Y65" s="3"/>
      <c r="Z65" s="7">
        <f t="shared" si="15"/>
        <v>1.2287139983819857</v>
      </c>
    </row>
    <row r="66" spans="1:26" s="68" customFormat="1" ht="15" customHeight="1" outlineLevel="1" collapsed="1" x14ac:dyDescent="0.3">
      <c r="A66" s="20"/>
      <c r="B66" s="11" t="str">
        <f>CONCATENATE("     ","Supplies                                          ")</f>
        <v xml:space="preserve">     Supplies                                          </v>
      </c>
      <c r="C66" s="11"/>
      <c r="D66" s="2">
        <f>SUM(OSRRefD22_13x_0)</f>
        <v>3923.41</v>
      </c>
      <c r="E66" s="2"/>
      <c r="F66" s="5">
        <f t="shared" si="8"/>
        <v>2.3696738569058625E-2</v>
      </c>
      <c r="G66" s="2"/>
      <c r="H66" s="2">
        <f>SUM(OSRRefH22_13x_0)</f>
        <v>2186.58</v>
      </c>
      <c r="I66" s="2"/>
      <c r="J66" s="5">
        <f t="shared" si="9"/>
        <v>0</v>
      </c>
      <c r="K66" s="2"/>
      <c r="L66" s="2">
        <f t="shared" si="10"/>
        <v>1736.83</v>
      </c>
      <c r="M66" s="2"/>
      <c r="N66" s="5">
        <f t="shared" si="11"/>
        <v>0.79431349413238939</v>
      </c>
      <c r="O66" s="11"/>
      <c r="P66" s="2">
        <f>SUM(OSRRefP22_13x_0)</f>
        <v>85862.83</v>
      </c>
      <c r="Q66" s="2"/>
      <c r="R66" s="5">
        <f t="shared" si="12"/>
        <v>2.0989220398289914E-2</v>
      </c>
      <c r="S66" s="2"/>
      <c r="T66" s="2">
        <f>SUM(OSRRefT22_13x_0)</f>
        <v>12311.91</v>
      </c>
      <c r="U66" s="2"/>
      <c r="V66" s="5">
        <f t="shared" si="13"/>
        <v>0.52260521794053327</v>
      </c>
      <c r="W66" s="2"/>
      <c r="X66" s="2">
        <f t="shared" si="14"/>
        <v>73550.92</v>
      </c>
      <c r="Y66" s="2"/>
      <c r="Z66" s="5">
        <f t="shared" si="15"/>
        <v>5.9739650468530066</v>
      </c>
    </row>
    <row r="67" spans="1:26" s="69" customFormat="1" ht="15" hidden="1" customHeight="1" outlineLevel="2" x14ac:dyDescent="0.3">
      <c r="A67" s="21"/>
      <c r="B67" s="9" t="str">
        <f>CONCATENATE("          ","6234"," - ","EXPENDABLE SUPPLIES &amp; EQUIPMEN")</f>
        <v xml:space="preserve">          6234 - EXPENDABLE SUPPLIES &amp; EQUIPMEN</v>
      </c>
      <c r="C67" s="9"/>
      <c r="D67" s="6">
        <v>525.74</v>
      </c>
      <c r="E67" s="3"/>
      <c r="F67" s="7">
        <f t="shared" si="8"/>
        <v>3.1753814501407915E-3</v>
      </c>
      <c r="G67" s="3"/>
      <c r="H67" s="6"/>
      <c r="I67" s="3"/>
      <c r="J67" s="7">
        <f t="shared" si="9"/>
        <v>0</v>
      </c>
      <c r="K67" s="3"/>
      <c r="L67" s="6">
        <f t="shared" si="10"/>
        <v>525.74</v>
      </c>
      <c r="M67" s="3"/>
      <c r="N67" s="7">
        <f t="shared" si="11"/>
        <v>0</v>
      </c>
      <c r="O67" s="9"/>
      <c r="P67" s="6">
        <v>547.72</v>
      </c>
      <c r="Q67" s="3"/>
      <c r="R67" s="7">
        <f t="shared" si="12"/>
        <v>1.3389048318756036E-4</v>
      </c>
      <c r="S67" s="3"/>
      <c r="T67" s="6"/>
      <c r="U67" s="3"/>
      <c r="V67" s="7">
        <f t="shared" si="13"/>
        <v>0</v>
      </c>
      <c r="W67" s="3"/>
      <c r="X67" s="6">
        <f t="shared" si="14"/>
        <v>547.72</v>
      </c>
      <c r="Y67" s="3"/>
      <c r="Z67" s="7">
        <f t="shared" si="15"/>
        <v>0</v>
      </c>
    </row>
    <row r="68" spans="1:26" s="69" customFormat="1" ht="15" hidden="1" customHeight="1" outlineLevel="2" x14ac:dyDescent="0.3">
      <c r="A68" s="21"/>
      <c r="B68" s="9" t="str">
        <f>CONCATENATE("          ","6235"," - ","COVID-19 EXPENSES")</f>
        <v xml:space="preserve">          6235 - COVID-19 EXPENSES</v>
      </c>
      <c r="C68" s="9"/>
      <c r="D68" s="6"/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0</v>
      </c>
      <c r="M68" s="3"/>
      <c r="N68" s="7">
        <f t="shared" si="11"/>
        <v>0</v>
      </c>
      <c r="O68" s="9"/>
      <c r="P68" s="6"/>
      <c r="Q68" s="3"/>
      <c r="R68" s="7">
        <f t="shared" si="12"/>
        <v>0</v>
      </c>
      <c r="S68" s="3"/>
      <c r="T68" s="6">
        <v>1375.08</v>
      </c>
      <c r="U68" s="3"/>
      <c r="V68" s="7">
        <f t="shared" si="13"/>
        <v>5.8368196574346991E-2</v>
      </c>
      <c r="W68" s="3"/>
      <c r="X68" s="6">
        <f t="shared" si="14"/>
        <v>-1375.08</v>
      </c>
      <c r="Y68" s="3"/>
      <c r="Z68" s="7">
        <f t="shared" si="15"/>
        <v>-1</v>
      </c>
    </row>
    <row r="69" spans="1:26" s="69" customFormat="1" ht="15" hidden="1" customHeight="1" outlineLevel="2" x14ac:dyDescent="0.3">
      <c r="A69" s="21"/>
      <c r="B69" s="9" t="str">
        <f>CONCATENATE("          ","6237"," - ","JANITORIAL SUPPLIES")</f>
        <v xml:space="preserve">          6237 - JANITORIAL SUPPLIES</v>
      </c>
      <c r="C69" s="9"/>
      <c r="D69" s="6">
        <v>1474.44</v>
      </c>
      <c r="E69" s="3"/>
      <c r="F69" s="7">
        <f t="shared" si="8"/>
        <v>8.9053703833560094E-3</v>
      </c>
      <c r="G69" s="3"/>
      <c r="H69" s="6">
        <v>986.76</v>
      </c>
      <c r="I69" s="3"/>
      <c r="J69" s="7">
        <f t="shared" si="9"/>
        <v>0</v>
      </c>
      <c r="K69" s="3"/>
      <c r="L69" s="6">
        <f t="shared" si="10"/>
        <v>487.68000000000006</v>
      </c>
      <c r="M69" s="3"/>
      <c r="N69" s="7">
        <f t="shared" si="11"/>
        <v>0.49422351939681386</v>
      </c>
      <c r="O69" s="9"/>
      <c r="P69" s="6">
        <v>18126.990000000002</v>
      </c>
      <c r="Q69" s="3"/>
      <c r="R69" s="7">
        <f t="shared" si="12"/>
        <v>4.4311536000804699E-3</v>
      </c>
      <c r="S69" s="3"/>
      <c r="T69" s="6">
        <v>5676.69</v>
      </c>
      <c r="U69" s="3"/>
      <c r="V69" s="7">
        <f t="shared" si="13"/>
        <v>0.24095918623762239</v>
      </c>
      <c r="W69" s="3"/>
      <c r="X69" s="6">
        <f t="shared" si="14"/>
        <v>12450.300000000003</v>
      </c>
      <c r="Y69" s="3"/>
      <c r="Z69" s="7">
        <f t="shared" si="15"/>
        <v>2.1932323237661389</v>
      </c>
    </row>
    <row r="70" spans="1:26" s="69" customFormat="1" ht="15" hidden="1" customHeight="1" outlineLevel="2" x14ac:dyDescent="0.3">
      <c r="A70" s="21"/>
      <c r="B70" s="9" t="str">
        <f>CONCATENATE("          ","6239"," - ","KITCHEN SUPPLIES")</f>
        <v xml:space="preserve">          6239 - KITCHEN SUPPLIES</v>
      </c>
      <c r="C70" s="9"/>
      <c r="D70" s="6">
        <v>246.88</v>
      </c>
      <c r="E70" s="3"/>
      <c r="F70" s="7">
        <f t="shared" si="8"/>
        <v>1.4911138060842975E-3</v>
      </c>
      <c r="G70" s="3"/>
      <c r="H70" s="6">
        <v>1199.82</v>
      </c>
      <c r="I70" s="3"/>
      <c r="J70" s="7">
        <f t="shared" si="9"/>
        <v>0</v>
      </c>
      <c r="K70" s="3"/>
      <c r="L70" s="6">
        <f t="shared" si="10"/>
        <v>-952.93999999999994</v>
      </c>
      <c r="M70" s="3"/>
      <c r="N70" s="7">
        <f t="shared" si="11"/>
        <v>-0.79423580203697219</v>
      </c>
      <c r="O70" s="9"/>
      <c r="P70" s="6">
        <v>13823.76</v>
      </c>
      <c r="Q70" s="3"/>
      <c r="R70" s="7">
        <f t="shared" si="12"/>
        <v>3.3792264402776407E-3</v>
      </c>
      <c r="S70" s="3"/>
      <c r="T70" s="6">
        <v>2230.89</v>
      </c>
      <c r="U70" s="3"/>
      <c r="V70" s="7">
        <f t="shared" si="13"/>
        <v>9.4694873066108839E-2</v>
      </c>
      <c r="W70" s="3"/>
      <c r="X70" s="6">
        <f t="shared" si="14"/>
        <v>11592.87</v>
      </c>
      <c r="Y70" s="3"/>
      <c r="Z70" s="7">
        <f t="shared" si="15"/>
        <v>5.1965224641286669</v>
      </c>
    </row>
    <row r="71" spans="1:26" s="69" customFormat="1" ht="15" hidden="1" customHeight="1" outlineLevel="2" x14ac:dyDescent="0.3">
      <c r="A71" s="21"/>
      <c r="B71" s="9" t="str">
        <f>CONCATENATE("          ","6241"," - ","OFFICE EXPENSE")</f>
        <v xml:space="preserve">          6241 - OFFICE EXPENSE</v>
      </c>
      <c r="C71" s="9"/>
      <c r="D71" s="6">
        <v>21.99</v>
      </c>
      <c r="E71" s="3"/>
      <c r="F71" s="7">
        <f t="shared" si="8"/>
        <v>1.3281591297712938E-4</v>
      </c>
      <c r="G71" s="3"/>
      <c r="H71" s="6"/>
      <c r="I71" s="3"/>
      <c r="J71" s="7">
        <f t="shared" si="9"/>
        <v>0</v>
      </c>
      <c r="K71" s="3"/>
      <c r="L71" s="6">
        <f t="shared" si="10"/>
        <v>21.99</v>
      </c>
      <c r="M71" s="3"/>
      <c r="N71" s="7">
        <f t="shared" si="11"/>
        <v>0</v>
      </c>
      <c r="O71" s="9"/>
      <c r="P71" s="6">
        <v>4360.79</v>
      </c>
      <c r="Q71" s="3"/>
      <c r="R71" s="7">
        <f t="shared" si="12"/>
        <v>1.0659977363972127E-3</v>
      </c>
      <c r="S71" s="3"/>
      <c r="T71" s="6">
        <v>19.7</v>
      </c>
      <c r="U71" s="3"/>
      <c r="V71" s="7">
        <f t="shared" si="13"/>
        <v>8.3620841879355069E-4</v>
      </c>
      <c r="W71" s="3"/>
      <c r="X71" s="6">
        <f t="shared" si="14"/>
        <v>4341.09</v>
      </c>
      <c r="Y71" s="3"/>
      <c r="Z71" s="7">
        <f t="shared" si="15"/>
        <v>220.35989847715737</v>
      </c>
    </row>
    <row r="72" spans="1:26" s="69" customFormat="1" ht="15" hidden="1" customHeight="1" outlineLevel="2" x14ac:dyDescent="0.3">
      <c r="A72" s="21"/>
      <c r="B72" s="9" t="str">
        <f>CONCATENATE("          ","6243"," - ","PAPER SUPPLIES")</f>
        <v xml:space="preserve">          6243 - PAPER SUPPLIES</v>
      </c>
      <c r="C72" s="9"/>
      <c r="D72" s="6">
        <v>1654.36</v>
      </c>
      <c r="E72" s="3"/>
      <c r="F72" s="7">
        <f t="shared" si="8"/>
        <v>9.9920570165003986E-3</v>
      </c>
      <c r="G72" s="3"/>
      <c r="H72" s="6"/>
      <c r="I72" s="3"/>
      <c r="J72" s="7">
        <f t="shared" si="9"/>
        <v>0</v>
      </c>
      <c r="K72" s="3"/>
      <c r="L72" s="6">
        <f t="shared" si="10"/>
        <v>1654.36</v>
      </c>
      <c r="M72" s="3"/>
      <c r="N72" s="7">
        <f t="shared" si="11"/>
        <v>0</v>
      </c>
      <c r="O72" s="9"/>
      <c r="P72" s="6">
        <v>46551.75</v>
      </c>
      <c r="Q72" s="3"/>
      <c r="R72" s="7">
        <f t="shared" si="12"/>
        <v>1.1379603265768116E-2</v>
      </c>
      <c r="S72" s="3"/>
      <c r="T72" s="6">
        <v>3009.55</v>
      </c>
      <c r="U72" s="3"/>
      <c r="V72" s="7">
        <f t="shared" si="13"/>
        <v>0.12774675364366145</v>
      </c>
      <c r="W72" s="3"/>
      <c r="X72" s="6">
        <f t="shared" si="14"/>
        <v>43542.2</v>
      </c>
      <c r="Y72" s="3"/>
      <c r="Z72" s="7">
        <f t="shared" si="15"/>
        <v>14.468010167633032</v>
      </c>
    </row>
    <row r="73" spans="1:26" s="69" customFormat="1" ht="15" hidden="1" customHeight="1" outlineLevel="2" x14ac:dyDescent="0.3">
      <c r="A73" s="21"/>
      <c r="B73" s="9" t="str">
        <f>CONCATENATE("          ","6247"," - ","STORE SUPPLIES")</f>
        <v xml:space="preserve">          6247 - STORE SUPPLIES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581.41999999999996</v>
      </c>
      <c r="Q73" s="3"/>
      <c r="R73" s="7">
        <f t="shared" si="12"/>
        <v>1.4212846844174274E-4</v>
      </c>
      <c r="S73" s="3"/>
      <c r="T73" s="6"/>
      <c r="U73" s="3"/>
      <c r="V73" s="7">
        <f t="shared" si="13"/>
        <v>0</v>
      </c>
      <c r="W73" s="3"/>
      <c r="X73" s="6">
        <f t="shared" si="14"/>
        <v>581.41999999999996</v>
      </c>
      <c r="Y73" s="3"/>
      <c r="Z73" s="7">
        <f t="shared" si="15"/>
        <v>0</v>
      </c>
    </row>
    <row r="74" spans="1:26" s="69" customFormat="1" ht="15" hidden="1" customHeight="1" outlineLevel="2" x14ac:dyDescent="0.3">
      <c r="A74" s="21"/>
      <c r="B74" s="9" t="str">
        <f>CONCATENATE("          ","6248"," - ","UNIFORMS")</f>
        <v xml:space="preserve">          6248 - UNIFORMS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1870.4</v>
      </c>
      <c r="Q74" s="3"/>
      <c r="R74" s="7">
        <f t="shared" si="12"/>
        <v>4.5722040413717391E-4</v>
      </c>
      <c r="S74" s="3"/>
      <c r="T74" s="6"/>
      <c r="U74" s="3"/>
      <c r="V74" s="7">
        <f t="shared" si="13"/>
        <v>0</v>
      </c>
      <c r="W74" s="3"/>
      <c r="X74" s="6">
        <f t="shared" si="14"/>
        <v>1870.4</v>
      </c>
      <c r="Y74" s="3"/>
      <c r="Z74" s="7">
        <f t="shared" si="15"/>
        <v>0</v>
      </c>
    </row>
    <row r="75" spans="1:26" s="68" customFormat="1" ht="15" customHeight="1" outlineLevel="1" collapsed="1" x14ac:dyDescent="0.3">
      <c r="A75" s="20"/>
      <c r="B75" s="11" t="str">
        <f>CONCATENATE("     ","Telephone/Data Lines                              ")</f>
        <v xml:space="preserve">     Telephone/Data Lines                              </v>
      </c>
      <c r="C75" s="11"/>
      <c r="D75" s="2">
        <f>SUM(OSRRefD22_14x_0)</f>
        <v>89</v>
      </c>
      <c r="E75" s="2"/>
      <c r="F75" s="5">
        <f t="shared" si="8"/>
        <v>5.3754507753362964E-4</v>
      </c>
      <c r="G75" s="2"/>
      <c r="H75" s="2">
        <f>SUM(OSRRefH22_14x_0)</f>
        <v>239</v>
      </c>
      <c r="I75" s="2"/>
      <c r="J75" s="5">
        <f t="shared" si="9"/>
        <v>0</v>
      </c>
      <c r="K75" s="2"/>
      <c r="L75" s="2">
        <f t="shared" si="10"/>
        <v>-150</v>
      </c>
      <c r="M75" s="2"/>
      <c r="N75" s="5">
        <f t="shared" si="11"/>
        <v>-0.62761506276150625</v>
      </c>
      <c r="O75" s="11"/>
      <c r="P75" s="2">
        <f>SUM(OSRRefP22_14x_0)</f>
        <v>2268</v>
      </c>
      <c r="Q75" s="2"/>
      <c r="R75" s="5">
        <f t="shared" si="12"/>
        <v>5.5441396310046528E-4</v>
      </c>
      <c r="S75" s="2"/>
      <c r="T75" s="2">
        <f>SUM(OSRRefT22_14x_0)</f>
        <v>1679</v>
      </c>
      <c r="U75" s="2"/>
      <c r="V75" s="5">
        <f t="shared" si="13"/>
        <v>7.1268727672810742E-2</v>
      </c>
      <c r="W75" s="2"/>
      <c r="X75" s="2">
        <f t="shared" si="14"/>
        <v>589</v>
      </c>
      <c r="Y75" s="2"/>
      <c r="Z75" s="5">
        <f t="shared" si="15"/>
        <v>0.35080405002977966</v>
      </c>
    </row>
    <row r="76" spans="1:26" s="69" customFormat="1" ht="15" hidden="1" customHeight="1" outlineLevel="2" x14ac:dyDescent="0.3">
      <c r="A76" s="21"/>
      <c r="B76" s="9" t="str">
        <f>CONCATENATE("          ","6309"," - ","TELEPHONE")</f>
        <v xml:space="preserve">          6309 - TELEPHONE</v>
      </c>
      <c r="C76" s="9"/>
      <c r="D76" s="6">
        <v>89</v>
      </c>
      <c r="E76" s="3"/>
      <c r="F76" s="7">
        <f t="shared" si="8"/>
        <v>5.3754507753362964E-4</v>
      </c>
      <c r="G76" s="3"/>
      <c r="H76" s="6">
        <v>239</v>
      </c>
      <c r="I76" s="3"/>
      <c r="J76" s="7">
        <f t="shared" si="9"/>
        <v>0</v>
      </c>
      <c r="K76" s="3"/>
      <c r="L76" s="6">
        <f t="shared" si="10"/>
        <v>-150</v>
      </c>
      <c r="M76" s="3"/>
      <c r="N76" s="7">
        <f t="shared" si="11"/>
        <v>-0.62761506276150625</v>
      </c>
      <c r="O76" s="9"/>
      <c r="P76" s="6">
        <v>2268</v>
      </c>
      <c r="Q76" s="3"/>
      <c r="R76" s="7">
        <f t="shared" si="12"/>
        <v>5.5441396310046528E-4</v>
      </c>
      <c r="S76" s="3"/>
      <c r="T76" s="6">
        <v>1679</v>
      </c>
      <c r="U76" s="3"/>
      <c r="V76" s="7">
        <f t="shared" si="13"/>
        <v>7.1268727672810742E-2</v>
      </c>
      <c r="W76" s="3"/>
      <c r="X76" s="6">
        <f t="shared" si="14"/>
        <v>589</v>
      </c>
      <c r="Y76" s="3"/>
      <c r="Z76" s="7">
        <f t="shared" si="15"/>
        <v>0.35080405002977966</v>
      </c>
    </row>
    <row r="77" spans="1:26" s="68" customFormat="1" ht="15" customHeight="1" outlineLevel="1" collapsed="1" x14ac:dyDescent="0.3">
      <c r="A77" s="20"/>
      <c r="B77" s="11" t="str">
        <f>CONCATENATE("     ","Training                                          ")</f>
        <v xml:space="preserve">     Training                                          </v>
      </c>
      <c r="C77" s="11"/>
      <c r="D77" s="2">
        <f>SUM(OSRRefD22_15x_0)</f>
        <v>134.29</v>
      </c>
      <c r="E77" s="2"/>
      <c r="F77" s="5">
        <f t="shared" si="8"/>
        <v>8.1108908384259679E-4</v>
      </c>
      <c r="G77" s="2"/>
      <c r="H77" s="2">
        <f>SUM(OSRRefH22_15x_0)</f>
        <v>0</v>
      </c>
      <c r="I77" s="2"/>
      <c r="J77" s="5">
        <f t="shared" si="9"/>
        <v>0</v>
      </c>
      <c r="K77" s="2"/>
      <c r="L77" s="2">
        <f t="shared" si="10"/>
        <v>134.29</v>
      </c>
      <c r="M77" s="2"/>
      <c r="N77" s="5">
        <f t="shared" si="11"/>
        <v>0</v>
      </c>
      <c r="O77" s="11"/>
      <c r="P77" s="2">
        <f>SUM(OSRRefP22_15x_0)</f>
        <v>446.29</v>
      </c>
      <c r="Q77" s="2"/>
      <c r="R77" s="5">
        <f t="shared" si="12"/>
        <v>1.0909585872667843E-4</v>
      </c>
      <c r="S77" s="2"/>
      <c r="T77" s="2">
        <f>SUM(OSRRefT22_15x_0)</f>
        <v>0</v>
      </c>
      <c r="U77" s="2"/>
      <c r="V77" s="5">
        <f t="shared" si="13"/>
        <v>0</v>
      </c>
      <c r="W77" s="2"/>
      <c r="X77" s="2">
        <f t="shared" si="14"/>
        <v>446.29</v>
      </c>
      <c r="Y77" s="2"/>
      <c r="Z77" s="5">
        <f t="shared" si="15"/>
        <v>0</v>
      </c>
    </row>
    <row r="78" spans="1:26" s="69" customFormat="1" ht="15" hidden="1" customHeight="1" outlineLevel="2" x14ac:dyDescent="0.3">
      <c r="A78" s="21"/>
      <c r="B78" s="9" t="str">
        <f>CONCATENATE("          ","6376"," - ","TRAINING")</f>
        <v xml:space="preserve">          6376 - TRAINING</v>
      </c>
      <c r="C78" s="9"/>
      <c r="D78" s="6">
        <v>134.29</v>
      </c>
      <c r="E78" s="3"/>
      <c r="F78" s="7">
        <f t="shared" si="8"/>
        <v>8.1108908384259679E-4</v>
      </c>
      <c r="G78" s="3"/>
      <c r="H78" s="6"/>
      <c r="I78" s="3"/>
      <c r="J78" s="7">
        <f t="shared" si="9"/>
        <v>0</v>
      </c>
      <c r="K78" s="3"/>
      <c r="L78" s="6">
        <f t="shared" si="10"/>
        <v>134.29</v>
      </c>
      <c r="M78" s="3"/>
      <c r="N78" s="7">
        <f t="shared" si="11"/>
        <v>0</v>
      </c>
      <c r="O78" s="9"/>
      <c r="P78" s="6">
        <v>446.29</v>
      </c>
      <c r="Q78" s="3"/>
      <c r="R78" s="7">
        <f t="shared" si="12"/>
        <v>1.0909585872667843E-4</v>
      </c>
      <c r="S78" s="3"/>
      <c r="T78" s="6"/>
      <c r="U78" s="3"/>
      <c r="V78" s="7">
        <f t="shared" si="13"/>
        <v>0</v>
      </c>
      <c r="W78" s="3"/>
      <c r="X78" s="6">
        <f t="shared" si="14"/>
        <v>446.29</v>
      </c>
      <c r="Y78" s="3"/>
      <c r="Z78" s="7">
        <f t="shared" si="15"/>
        <v>0</v>
      </c>
    </row>
    <row r="79" spans="1:26" s="64" customFormat="1" ht="15" customHeight="1" x14ac:dyDescent="0.3">
      <c r="A79" s="37"/>
      <c r="B79" s="37"/>
      <c r="C79" s="37"/>
      <c r="D79" s="2"/>
      <c r="E79" s="2"/>
      <c r="F79" s="5"/>
      <c r="G79" s="2"/>
      <c r="H79" s="2"/>
      <c r="I79" s="2"/>
      <c r="J79" s="5"/>
      <c r="K79" s="2"/>
      <c r="L79" s="2"/>
      <c r="M79" s="2"/>
      <c r="N79" s="5"/>
      <c r="O79" s="37"/>
      <c r="P79" s="2"/>
      <c r="Q79" s="2"/>
      <c r="R79" s="5"/>
      <c r="S79" s="2"/>
      <c r="T79" s="2"/>
      <c r="U79" s="2"/>
      <c r="V79" s="5"/>
      <c r="W79" s="2"/>
      <c r="X79" s="2"/>
      <c r="Y79" s="2"/>
      <c r="Z79" s="5"/>
    </row>
    <row r="80" spans="1:26" s="62" customFormat="1" ht="15" customHeight="1" x14ac:dyDescent="0.3">
      <c r="A80" s="13"/>
      <c r="B80" s="27" t="s">
        <v>290</v>
      </c>
      <c r="C80" s="13"/>
      <c r="D80" s="8">
        <f>SUM(0)</f>
        <v>0</v>
      </c>
      <c r="E80" s="8"/>
      <c r="F80" s="14">
        <f>IF(D$12=0,0,D80/D$12)</f>
        <v>0</v>
      </c>
      <c r="G80" s="8"/>
      <c r="H80" s="8">
        <f>SUM(0)</f>
        <v>0</v>
      </c>
      <c r="I80" s="8"/>
      <c r="J80" s="14">
        <f>IF(H$12=0,0,H80/H$12)</f>
        <v>0</v>
      </c>
      <c r="K80" s="8"/>
      <c r="L80" s="8">
        <f>+D80-H80</f>
        <v>0</v>
      </c>
      <c r="M80" s="8"/>
      <c r="N80" s="14">
        <f>IF(H80=0,0,L80/H80)</f>
        <v>0</v>
      </c>
      <c r="O80" s="13"/>
      <c r="P80" s="8">
        <f>SUM(0)</f>
        <v>0</v>
      </c>
      <c r="Q80" s="8"/>
      <c r="R80" s="14">
        <f>IF(P$12=0,0,P80/P$12)</f>
        <v>0</v>
      </c>
      <c r="S80" s="8"/>
      <c r="T80" s="8">
        <f>SUM(0)</f>
        <v>0</v>
      </c>
      <c r="U80" s="8"/>
      <c r="V80" s="14">
        <f>IF(T$12=0,0,T80/T$12)</f>
        <v>0</v>
      </c>
      <c r="W80" s="8"/>
      <c r="X80" s="8">
        <f>+P80-T80</f>
        <v>0</v>
      </c>
      <c r="Y80" s="8"/>
      <c r="Z80" s="14">
        <f>IF(T80=0,0,X80/T80)</f>
        <v>0</v>
      </c>
    </row>
    <row r="81" spans="1:26" ht="15" customHeight="1" x14ac:dyDescent="0.3">
      <c r="A81" s="12"/>
      <c r="B81" s="13"/>
      <c r="C81" s="13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O81" s="13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2" customFormat="1" ht="15" customHeight="1" x14ac:dyDescent="0.3">
      <c r="A82" s="13"/>
      <c r="B82" s="28" t="s">
        <v>291</v>
      </c>
      <c r="C82" s="28"/>
      <c r="D82" s="22">
        <f>+D21-D23+D80</f>
        <v>41316.020000000004</v>
      </c>
      <c r="E82" s="15"/>
      <c r="F82" s="24">
        <f>IF(D$12=0,0,D82/D$12)</f>
        <v>0.24954183341888758</v>
      </c>
      <c r="G82" s="15"/>
      <c r="H82" s="22">
        <f>+H21-H23+H80</f>
        <v>-46376.02</v>
      </c>
      <c r="I82" s="15"/>
      <c r="J82" s="24">
        <f>IF(H$12=0,0,H82/H$12)</f>
        <v>0</v>
      </c>
      <c r="K82" s="17"/>
      <c r="L82" s="22">
        <f>+D82-H82</f>
        <v>87692.040000000008</v>
      </c>
      <c r="M82" s="17"/>
      <c r="N82" s="24">
        <f>IF(H82=0,0,L82/H82)</f>
        <v>-1.8908918876609078</v>
      </c>
      <c r="O82" s="27"/>
      <c r="P82" s="22">
        <f>+P21-P23+P80</f>
        <v>1420232.09</v>
      </c>
      <c r="Q82" s="15"/>
      <c r="R82" s="24">
        <f>IF(P$12=0,0,P82/P$12)</f>
        <v>0.34717658798031603</v>
      </c>
      <c r="S82" s="15"/>
      <c r="T82" s="22">
        <f>+T21-T23+T80</f>
        <v>-610923.87999999966</v>
      </c>
      <c r="U82" s="15"/>
      <c r="V82" s="24">
        <f>IF(T$12=0,0,T82/T$12)</f>
        <v>-25.931964045584802</v>
      </c>
      <c r="W82" s="17"/>
      <c r="X82" s="22">
        <f>+P82-T82</f>
        <v>2031155.9699999997</v>
      </c>
      <c r="Y82" s="17"/>
      <c r="Z82" s="24">
        <f>IF(T82=0,0,X82/T82)</f>
        <v>-3.3247283933310987</v>
      </c>
    </row>
    <row r="83" spans="1:26" ht="15" customHeight="1" x14ac:dyDescent="0.3">
      <c r="A83" s="12"/>
      <c r="B83" s="13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2" customFormat="1" ht="15" customHeight="1" x14ac:dyDescent="0.3">
      <c r="A84" s="48"/>
      <c r="B84" s="13" t="s">
        <v>292</v>
      </c>
      <c r="C84" s="13"/>
      <c r="D84" s="8">
        <v>-912920.16</v>
      </c>
      <c r="E84" s="8"/>
      <c r="F84" s="14">
        <f>IF(D$12=0,0,D84/D$12)</f>
        <v>-5.5138846987552084</v>
      </c>
      <c r="G84" s="8"/>
      <c r="H84" s="8">
        <v>1486.65</v>
      </c>
      <c r="I84" s="8"/>
      <c r="J84" s="14">
        <f>IF(H$12=0,0,H84/H$12)</f>
        <v>0</v>
      </c>
      <c r="K84" s="8"/>
      <c r="L84" s="8">
        <f>+D84-H84</f>
        <v>-914406.81</v>
      </c>
      <c r="M84" s="8"/>
      <c r="N84" s="14">
        <f>IF(H84=0,0,L84/H84)</f>
        <v>-615.07874079305827</v>
      </c>
      <c r="O84" s="13"/>
      <c r="P84" s="8">
        <v>-471623.82</v>
      </c>
      <c r="Q84" s="8"/>
      <c r="R84" s="14">
        <f>IF(P$12=0,0,P84/P$12)</f>
        <v>-0.11528872625166689</v>
      </c>
      <c r="S84" s="8"/>
      <c r="T84" s="8">
        <v>6520.93</v>
      </c>
      <c r="U84" s="8"/>
      <c r="V84" s="14">
        <f>IF(T$12=0,0,T84/T$12)</f>
        <v>0.27679474946007254</v>
      </c>
      <c r="W84" s="8"/>
      <c r="X84" s="8">
        <f>+P84-T84</f>
        <v>-478144.75</v>
      </c>
      <c r="Y84" s="8"/>
      <c r="Z84" s="14">
        <f>IF(T84=0,0,X84/T84)</f>
        <v>-73.324625475200619</v>
      </c>
    </row>
    <row r="85" spans="1:26" ht="15" customHeight="1" x14ac:dyDescent="0.3">
      <c r="A85" s="12"/>
      <c r="B85" s="13"/>
      <c r="C85" s="13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O85" s="13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2" customFormat="1" ht="15" customHeight="1" x14ac:dyDescent="0.3">
      <c r="A86" s="13"/>
      <c r="B86" s="28" t="s">
        <v>293</v>
      </c>
      <c r="C86" s="28"/>
      <c r="D86" s="29">
        <f>+D82-D84</f>
        <v>954236.18</v>
      </c>
      <c r="E86" s="15"/>
      <c r="F86" s="31">
        <f>IF(D$12=0,0,D86/D$12)</f>
        <v>5.7634265321740958</v>
      </c>
      <c r="G86" s="15"/>
      <c r="H86" s="29">
        <f>+H82-H84</f>
        <v>-47862.67</v>
      </c>
      <c r="I86" s="15"/>
      <c r="J86" s="31">
        <f>IF(H$12=0,0,H86/H$12)</f>
        <v>0</v>
      </c>
      <c r="K86" s="17"/>
      <c r="L86" s="29">
        <f>D86-H86</f>
        <v>1002098.8500000001</v>
      </c>
      <c r="M86" s="17"/>
      <c r="N86" s="31">
        <f>IF(H86=0,0,L86/H86)</f>
        <v>-20.936960892486777</v>
      </c>
      <c r="O86" s="27"/>
      <c r="P86" s="29">
        <f>+P82-P84</f>
        <v>1891855.9100000001</v>
      </c>
      <c r="Q86" s="15"/>
      <c r="R86" s="31">
        <f>IF(P$12=0,0,P86/P$12)</f>
        <v>0.46246531423198295</v>
      </c>
      <c r="S86" s="15"/>
      <c r="T86" s="29">
        <f>+T82-T84</f>
        <v>-617444.80999999971</v>
      </c>
      <c r="U86" s="15"/>
      <c r="V86" s="31">
        <f>IF(T$12=0,0,T86/T$12)</f>
        <v>-26.208758795044879</v>
      </c>
      <c r="W86" s="17"/>
      <c r="X86" s="29">
        <f>P86-T86</f>
        <v>2509300.7199999997</v>
      </c>
      <c r="Y86" s="17"/>
      <c r="Z86" s="31">
        <f>IF(T86=0,0,X86/T86)</f>
        <v>-4.0640081175838221</v>
      </c>
    </row>
    <row r="87" spans="1:26" ht="15" customHeight="1" x14ac:dyDescent="0.3">
      <c r="A87" s="12"/>
      <c r="B87" s="12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ht="15" customHeight="1" x14ac:dyDescent="0.3">
      <c r="A88" s="12"/>
      <c r="B88" s="12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2" customFormat="1" ht="15" customHeight="1" x14ac:dyDescent="0.3">
      <c r="A89" s="13"/>
      <c r="B89" s="28" t="s">
        <v>296</v>
      </c>
      <c r="C89" s="28"/>
      <c r="D89" s="30">
        <f>SUM(D86:D88)</f>
        <v>954236.18</v>
      </c>
      <c r="E89" s="15"/>
      <c r="F89" s="35">
        <f>IF(D$12=0,0,D89/D$12)</f>
        <v>5.7634265321740958</v>
      </c>
      <c r="G89" s="15"/>
      <c r="H89" s="30">
        <f>SUM(H86:H88)</f>
        <v>-47862.67</v>
      </c>
      <c r="I89" s="15"/>
      <c r="J89" s="35">
        <f>IF(H$12=0,0,H89/H$12)</f>
        <v>0</v>
      </c>
      <c r="K89" s="17"/>
      <c r="L89" s="30">
        <f>+D89-H89</f>
        <v>1002098.8500000001</v>
      </c>
      <c r="M89" s="17"/>
      <c r="N89" s="35">
        <f>IF(H89=0,0,L89/H89)</f>
        <v>-20.936960892486777</v>
      </c>
      <c r="O89" s="27"/>
      <c r="P89" s="30">
        <f>SUM(P86:P88)</f>
        <v>1891855.9100000001</v>
      </c>
      <c r="Q89" s="15"/>
      <c r="R89" s="35">
        <f>IF(P$12=0,0,P89/P$12)</f>
        <v>0.46246531423198295</v>
      </c>
      <c r="S89" s="15"/>
      <c r="T89" s="30">
        <f>SUM(T86:T88)</f>
        <v>-617444.80999999971</v>
      </c>
      <c r="U89" s="15"/>
      <c r="V89" s="35">
        <f>IF(T$12=0,0,T89/T$12)</f>
        <v>-26.208758795044879</v>
      </c>
      <c r="W89" s="17"/>
      <c r="X89" s="30">
        <f>+P89-T89</f>
        <v>2509300.7199999997</v>
      </c>
      <c r="Y89" s="17"/>
      <c r="Z89" s="35">
        <f>IF(T89=0,0,X89/T89)</f>
        <v>-4.0640081175838221</v>
      </c>
    </row>
    <row r="90" spans="1:26" ht="15" customHeight="1" x14ac:dyDescent="0.3">
      <c r="A90" s="12"/>
      <c r="C90" s="12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4">
        <v>44767.815885219905</v>
      </c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3" t="s">
        <v>297</v>
      </c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A93" s="12"/>
      <c r="B93" s="51"/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CBF19-6D55-1803-B0F8-4DB1E26D29D4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","435"," - ","Ground Floor Coffee House")</f>
        <v>Department 435 - Ground Floor Coffee House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6754.04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6754.04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","4055"," - ","TAXABLE SALES-FOOD")</f>
        <v xml:space="preserve">          4055 - TAXABLE SALES-FOOD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--2070.63</f>
        <v>2070.63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2070.63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","4155"," - ","NON-TAXABLE SALES-FOOD")</f>
        <v xml:space="preserve">          4155 - NON-TAXABLE SALES-FOOD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--4683.41</f>
        <v>4683.41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4683.41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collapsed="1" x14ac:dyDescent="0.3">
      <c r="A16" s="13"/>
      <c r="B16" s="27" t="s">
        <v>287</v>
      </c>
      <c r="C16" s="13"/>
      <c r="D16" s="8">
        <f>SUM(OSRRefD16x_0)</f>
        <v>0</v>
      </c>
      <c r="E16" s="8"/>
      <c r="F16" s="14">
        <f>IF(D$12=0,0,D16/D$12)</f>
        <v>0</v>
      </c>
      <c r="G16" s="8"/>
      <c r="H16" s="8">
        <f>SUM(OSRRefH16x_0)</f>
        <v>0</v>
      </c>
      <c r="I16" s="8"/>
      <c r="J16" s="14">
        <f>IF(H$12=0,0,H16/H$12)</f>
        <v>0</v>
      </c>
      <c r="K16" s="8"/>
      <c r="L16" s="8">
        <f>+D16-H16</f>
        <v>0</v>
      </c>
      <c r="M16" s="8"/>
      <c r="N16" s="14">
        <f>IF(H16=0,0,L16/H16)</f>
        <v>0</v>
      </c>
      <c r="O16" s="13"/>
      <c r="P16" s="8">
        <f>SUM(OSRRefP16x_0)</f>
        <v>1232.01</v>
      </c>
      <c r="Q16" s="8"/>
      <c r="R16" s="14">
        <f>IF(P$12=0,0,P16/P$12)</f>
        <v>0.18241082374401099</v>
      </c>
      <c r="S16" s="8"/>
      <c r="T16" s="8">
        <f>SUM(OSRRefT16x_0)</f>
        <v>0</v>
      </c>
      <c r="U16" s="8"/>
      <c r="V16" s="14">
        <f>IF(T$12=0,0,T16/T$12)</f>
        <v>0</v>
      </c>
      <c r="W16" s="8"/>
      <c r="X16" s="8">
        <f>+P16-T16</f>
        <v>1232.01</v>
      </c>
      <c r="Y16" s="8"/>
      <c r="Z16" s="14">
        <f>IF(T16=0,0,X16/T16)</f>
        <v>0</v>
      </c>
    </row>
    <row r="17" spans="1:26" s="69" customFormat="1" ht="15" hidden="1" customHeight="1" outlineLevel="1" x14ac:dyDescent="0.3">
      <c r="A17" s="47"/>
      <c r="B17" s="9" t="str">
        <f>CONCATENATE("          ","5053"," - ","PURCHASES @ COST-FOOD")</f>
        <v xml:space="preserve">          5053 - PURCHASES @ COST-FOOD</v>
      </c>
      <c r="C17" s="9"/>
      <c r="D17" s="3"/>
      <c r="E17" s="3"/>
      <c r="F17" s="26">
        <f>IF(D$12=0,0,D17/D$12)</f>
        <v>0</v>
      </c>
      <c r="G17" s="3"/>
      <c r="H17" s="3"/>
      <c r="I17" s="3"/>
      <c r="J17" s="26">
        <f>IF(H$12=0,0,H17/H$12)</f>
        <v>0</v>
      </c>
      <c r="K17" s="3"/>
      <c r="L17" s="3">
        <f>+D17-H17</f>
        <v>0</v>
      </c>
      <c r="M17" s="3"/>
      <c r="N17" s="26">
        <f>IF(H17=0,0,L17/H17)</f>
        <v>0</v>
      </c>
      <c r="O17" s="9"/>
      <c r="P17" s="3">
        <v>1232.01</v>
      </c>
      <c r="Q17" s="3"/>
      <c r="R17" s="26">
        <f>IF(P$12=0,0,P17/P$12)</f>
        <v>0.18241082374401099</v>
      </c>
      <c r="S17" s="3"/>
      <c r="T17" s="3"/>
      <c r="U17" s="3"/>
      <c r="V17" s="26">
        <f>IF(T$12=0,0,T17/T$12)</f>
        <v>0</v>
      </c>
      <c r="W17" s="3"/>
      <c r="X17" s="3">
        <f>+P17-T17</f>
        <v>1232.01</v>
      </c>
      <c r="Y17" s="3"/>
      <c r="Z17" s="26">
        <f>IF(T17=0,0,X17/T17)</f>
        <v>0</v>
      </c>
    </row>
    <row r="18" spans="1:26" ht="15" customHeight="1" x14ac:dyDescent="0.3">
      <c r="A18" s="12"/>
      <c r="B18" s="13"/>
      <c r="C18" s="13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O18" s="13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2" customFormat="1" ht="15" customHeight="1" x14ac:dyDescent="0.3">
      <c r="A19" s="13"/>
      <c r="B19" s="28" t="s">
        <v>288</v>
      </c>
      <c r="C19" s="28"/>
      <c r="D19" s="22">
        <f>D12-D16</f>
        <v>0</v>
      </c>
      <c r="E19" s="15"/>
      <c r="F19" s="24">
        <f>IF(D$12=0,0,D19/D$12)</f>
        <v>0</v>
      </c>
      <c r="G19" s="15"/>
      <c r="H19" s="22">
        <f>H12-H16</f>
        <v>0</v>
      </c>
      <c r="I19" s="15"/>
      <c r="J19" s="24">
        <f>IF(H$12=0,0,H19/H$12)</f>
        <v>0</v>
      </c>
      <c r="K19" s="17"/>
      <c r="L19" s="22">
        <f>+D19-H19</f>
        <v>0</v>
      </c>
      <c r="M19" s="17"/>
      <c r="N19" s="24">
        <f>IF(H19=0,0,L19/H19)</f>
        <v>0</v>
      </c>
      <c r="O19" s="27"/>
      <c r="P19" s="22">
        <f>P12-P16</f>
        <v>5522.03</v>
      </c>
      <c r="Q19" s="15"/>
      <c r="R19" s="24">
        <f>IF(P$12=0,0,P19/P$12)</f>
        <v>0.81758917625598893</v>
      </c>
      <c r="S19" s="15"/>
      <c r="T19" s="22">
        <f>T12-T16</f>
        <v>0</v>
      </c>
      <c r="U19" s="15"/>
      <c r="V19" s="24">
        <f>IF(T$12=0,0,T19/T$12)</f>
        <v>0</v>
      </c>
      <c r="W19" s="17"/>
      <c r="X19" s="22">
        <f>+P19-T19</f>
        <v>5522.03</v>
      </c>
      <c r="Y19" s="17"/>
      <c r="Z19" s="24">
        <f>IF(T19=0,0,X19/T19)</f>
        <v>0</v>
      </c>
    </row>
    <row r="20" spans="1:26" ht="15" customHeight="1" x14ac:dyDescent="0.3">
      <c r="A20" s="12"/>
      <c r="B20" s="13"/>
      <c r="C20" s="12"/>
      <c r="D20" s="2"/>
      <c r="E20" s="2"/>
      <c r="F20" s="5"/>
      <c r="G20" s="2"/>
      <c r="H20" s="2"/>
      <c r="I20" s="2"/>
      <c r="J20" s="5"/>
      <c r="K20" s="2"/>
      <c r="L20" s="2"/>
      <c r="M20" s="2"/>
      <c r="N20" s="5"/>
      <c r="O20" s="37"/>
      <c r="P20" s="2"/>
      <c r="Q20" s="2"/>
      <c r="R20" s="5"/>
      <c r="S20" s="2"/>
      <c r="T20" s="2"/>
      <c r="U20" s="2"/>
      <c r="V20" s="5"/>
      <c r="W20" s="2"/>
      <c r="X20" s="2"/>
      <c r="Y20" s="2"/>
      <c r="Z20" s="5"/>
    </row>
    <row r="21" spans="1:26" s="62" customFormat="1" ht="15" customHeight="1" x14ac:dyDescent="0.3">
      <c r="A21" s="13"/>
      <c r="B21" s="27" t="s">
        <v>289</v>
      </c>
      <c r="C21" s="13"/>
      <c r="D21" s="23" cm="1">
        <f t="array" ref="D21">SUM(OSRRefD22x_0)</f>
        <v>0</v>
      </c>
      <c r="E21" s="23"/>
      <c r="F21" s="34">
        <f t="shared" ref="F21:F34" si="0">IF(D$12=0,0,D21/D$12)</f>
        <v>0</v>
      </c>
      <c r="G21" s="23"/>
      <c r="H21" s="23" cm="1">
        <f t="array" ref="H21">SUM(OSRRefH22x_0)</f>
        <v>0</v>
      </c>
      <c r="I21" s="23"/>
      <c r="J21" s="34">
        <f t="shared" ref="J21:J34" si="1">IF(H$12=0,0,H21/H$12)</f>
        <v>0</v>
      </c>
      <c r="K21" s="8"/>
      <c r="L21" s="23">
        <f t="shared" ref="L21:L34" si="2">+D21-H21</f>
        <v>0</v>
      </c>
      <c r="M21" s="8"/>
      <c r="N21" s="34">
        <f t="shared" ref="N21:N34" si="3">IF(H21=0,0,L21/H21)</f>
        <v>0</v>
      </c>
      <c r="O21" s="13"/>
      <c r="P21" s="23" cm="1">
        <f t="array" ref="P21">SUM(OSRRefP22x_0)</f>
        <v>5930.6699999999983</v>
      </c>
      <c r="Q21" s="23"/>
      <c r="R21" s="34">
        <f t="shared" ref="R21:R34" si="4">IF(P$12=0,0,P21/P$12)</f>
        <v>0.87809222332115267</v>
      </c>
      <c r="S21" s="23"/>
      <c r="T21" s="23" cm="1">
        <f t="array" ref="T21">SUM(OSRRefT22x_0)</f>
        <v>178.69</v>
      </c>
      <c r="U21" s="23"/>
      <c r="V21" s="34">
        <f t="shared" ref="V21:V34" si="5">IF(T$12=0,0,T21/T$12)</f>
        <v>0</v>
      </c>
      <c r="W21" s="8"/>
      <c r="X21" s="23">
        <f t="shared" ref="X21:X34" si="6">+P21-T21</f>
        <v>5751.9799999999987</v>
      </c>
      <c r="Y21" s="8"/>
      <c r="Z21" s="34">
        <f t="shared" ref="Z21:Z34" si="7">IF(T21=0,0,X21/T21)</f>
        <v>32.189714029884151</v>
      </c>
    </row>
    <row r="22" spans="1:26" s="68" customFormat="1" ht="15" customHeight="1" outlineLevel="1" collapsed="1" x14ac:dyDescent="0.3">
      <c r="A22" s="20"/>
      <c r="B22" s="11" t="str">
        <f>CONCATENATE("     ","*Benefits                                         ")</f>
        <v xml:space="preserve">     *Benefits                                         </v>
      </c>
      <c r="C22" s="11"/>
      <c r="D22" s="2">
        <f>SUM(OSRRefD22_0x_0)</f>
        <v>0</v>
      </c>
      <c r="E22" s="2"/>
      <c r="F22" s="5">
        <f t="shared" si="0"/>
        <v>0</v>
      </c>
      <c r="G22" s="2"/>
      <c r="H22" s="2">
        <f>SUM(OSRRefH22_0x_0)</f>
        <v>0</v>
      </c>
      <c r="I22" s="2"/>
      <c r="J22" s="5">
        <f t="shared" si="1"/>
        <v>0</v>
      </c>
      <c r="K22" s="2"/>
      <c r="L22" s="2">
        <f t="shared" si="2"/>
        <v>0</v>
      </c>
      <c r="M22" s="2"/>
      <c r="N22" s="5">
        <f t="shared" si="3"/>
        <v>0</v>
      </c>
      <c r="O22" s="11"/>
      <c r="P22" s="2">
        <f>SUM(OSRRefP22_0x_0)</f>
        <v>274.69</v>
      </c>
      <c r="Q22" s="2"/>
      <c r="R22" s="5">
        <f t="shared" si="4"/>
        <v>4.067047278369687E-2</v>
      </c>
      <c r="S22" s="2"/>
      <c r="T22" s="2">
        <f>SUM(OSRRefT22_0x_0)</f>
        <v>0</v>
      </c>
      <c r="U22" s="2"/>
      <c r="V22" s="5">
        <f t="shared" si="5"/>
        <v>0</v>
      </c>
      <c r="W22" s="2"/>
      <c r="X22" s="2">
        <f t="shared" si="6"/>
        <v>274.69</v>
      </c>
      <c r="Y22" s="2"/>
      <c r="Z22" s="5">
        <f t="shared" si="7"/>
        <v>0</v>
      </c>
    </row>
    <row r="23" spans="1:26" s="69" customFormat="1" ht="15" hidden="1" customHeight="1" outlineLevel="2" x14ac:dyDescent="0.3">
      <c r="A23" s="21"/>
      <c r="B23" s="9" t="str">
        <f>CONCATENATE("          ","6112"," - ","COMPENSATION INSURANCE")</f>
        <v xml:space="preserve">          6112 - COMPENSATION INSURANCE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>
        <v>256.18</v>
      </c>
      <c r="Q23" s="3"/>
      <c r="R23" s="7">
        <f t="shared" si="4"/>
        <v>3.7929890850513175E-2</v>
      </c>
      <c r="S23" s="3"/>
      <c r="T23" s="6"/>
      <c r="U23" s="3"/>
      <c r="V23" s="7">
        <f t="shared" si="5"/>
        <v>0</v>
      </c>
      <c r="W23" s="3"/>
      <c r="X23" s="6">
        <f t="shared" si="6"/>
        <v>256.18</v>
      </c>
      <c r="Y23" s="3"/>
      <c r="Z23" s="7">
        <f t="shared" si="7"/>
        <v>0</v>
      </c>
    </row>
    <row r="24" spans="1:26" s="69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>
        <v>18.510000000000002</v>
      </c>
      <c r="Q24" s="3"/>
      <c r="R24" s="7">
        <f t="shared" si="4"/>
        <v>2.7405819331836946E-3</v>
      </c>
      <c r="S24" s="3"/>
      <c r="T24" s="6"/>
      <c r="U24" s="3"/>
      <c r="V24" s="7">
        <f t="shared" si="5"/>
        <v>0</v>
      </c>
      <c r="W24" s="3"/>
      <c r="X24" s="6">
        <f t="shared" si="6"/>
        <v>18.510000000000002</v>
      </c>
      <c r="Y24" s="3"/>
      <c r="Z24" s="7">
        <f t="shared" si="7"/>
        <v>0</v>
      </c>
    </row>
    <row r="25" spans="1:26" s="68" customFormat="1" ht="15" customHeight="1" outlineLevel="1" collapsed="1" x14ac:dyDescent="0.3">
      <c r="A25" s="20"/>
      <c r="B25" s="11" t="str">
        <f>CONCATENATE("     ","*Payroll                                          ")</f>
        <v xml:space="preserve">     *Payroll                                          </v>
      </c>
      <c r="C25" s="11"/>
      <c r="D25" s="2">
        <f>SUM(OSRRefD22_1x_0)</f>
        <v>0</v>
      </c>
      <c r="E25" s="2"/>
      <c r="F25" s="5">
        <f t="shared" si="0"/>
        <v>0</v>
      </c>
      <c r="G25" s="2"/>
      <c r="H25" s="2">
        <f>SUM(OSRRefH22_1x_0)</f>
        <v>0</v>
      </c>
      <c r="I25" s="2"/>
      <c r="J25" s="5">
        <f t="shared" si="1"/>
        <v>0</v>
      </c>
      <c r="K25" s="2"/>
      <c r="L25" s="2">
        <f t="shared" si="2"/>
        <v>0</v>
      </c>
      <c r="M25" s="2"/>
      <c r="N25" s="5">
        <f t="shared" si="3"/>
        <v>0</v>
      </c>
      <c r="O25" s="11"/>
      <c r="P25" s="2">
        <f>SUM(OSRRefP22_1x_0)</f>
        <v>5125.3999999999996</v>
      </c>
      <c r="Q25" s="2"/>
      <c r="R25" s="5">
        <f t="shared" si="4"/>
        <v>0.75886432416746119</v>
      </c>
      <c r="S25" s="2"/>
      <c r="T25" s="2">
        <f>SUM(OSRRefT22_1x_0)</f>
        <v>0</v>
      </c>
      <c r="U25" s="2"/>
      <c r="V25" s="5">
        <f t="shared" si="5"/>
        <v>0</v>
      </c>
      <c r="W25" s="2"/>
      <c r="X25" s="2">
        <f t="shared" si="6"/>
        <v>5125.3999999999996</v>
      </c>
      <c r="Y25" s="2"/>
      <c r="Z25" s="5">
        <f t="shared" si="7"/>
        <v>0</v>
      </c>
    </row>
    <row r="26" spans="1:26" s="69" customFormat="1" ht="15" hidden="1" customHeight="1" outlineLevel="2" x14ac:dyDescent="0.3">
      <c r="A26" s="21"/>
      <c r="B26" s="9" t="str">
        <f>CONCATENATE("          ","6007"," - ","STUDENT HOURLY")</f>
        <v xml:space="preserve">          6007 - STUDENT HOURLY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>
        <v>5125.3999999999996</v>
      </c>
      <c r="Q26" s="3"/>
      <c r="R26" s="7">
        <f t="shared" si="4"/>
        <v>0.75886432416746119</v>
      </c>
      <c r="S26" s="3"/>
      <c r="T26" s="6"/>
      <c r="U26" s="3"/>
      <c r="V26" s="7">
        <f t="shared" si="5"/>
        <v>0</v>
      </c>
      <c r="W26" s="3"/>
      <c r="X26" s="6">
        <f t="shared" si="6"/>
        <v>5125.3999999999996</v>
      </c>
      <c r="Y26" s="3"/>
      <c r="Z26" s="7">
        <f t="shared" si="7"/>
        <v>0</v>
      </c>
    </row>
    <row r="27" spans="1:26" s="68" customFormat="1" ht="15" customHeight="1" outlineLevel="1" collapsed="1" x14ac:dyDescent="0.3">
      <c r="A27" s="20"/>
      <c r="B27" s="11" t="str">
        <f>CONCATENATE("     ","Bad Debts/Over/Short                              ")</f>
        <v xml:space="preserve">     Bad Debts/Over/Short                              </v>
      </c>
      <c r="C27" s="11"/>
      <c r="D27" s="2">
        <f>SUM(OSRRefD22_2x_0)</f>
        <v>0</v>
      </c>
      <c r="E27" s="2"/>
      <c r="F27" s="5">
        <f t="shared" si="0"/>
        <v>0</v>
      </c>
      <c r="G27" s="2"/>
      <c r="H27" s="2">
        <f>SUM(OSRRefH22_2x_0)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SUM(OSRRefP22_2x_0)</f>
        <v>-0.1</v>
      </c>
      <c r="Q27" s="2"/>
      <c r="R27" s="5">
        <f t="shared" si="4"/>
        <v>-1.4805953177653671E-5</v>
      </c>
      <c r="S27" s="2"/>
      <c r="T27" s="2">
        <f>SUM(OSRRefT22_2x_0)</f>
        <v>0</v>
      </c>
      <c r="U27" s="2"/>
      <c r="V27" s="5">
        <f t="shared" si="5"/>
        <v>0</v>
      </c>
      <c r="W27" s="2"/>
      <c r="X27" s="2">
        <f t="shared" si="6"/>
        <v>-0.1</v>
      </c>
      <c r="Y27" s="2"/>
      <c r="Z27" s="5">
        <f t="shared" si="7"/>
        <v>0</v>
      </c>
    </row>
    <row r="28" spans="1:26" s="69" customFormat="1" ht="15" hidden="1" customHeight="1" outlineLevel="2" x14ac:dyDescent="0.3">
      <c r="A28" s="21"/>
      <c r="B28" s="9" t="str">
        <f>CONCATENATE("          ","6272"," - ","CASH (OVER/SHORT)")</f>
        <v xml:space="preserve">          6272 - CASH (OVER/SHORT)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>
        <v>-0.1</v>
      </c>
      <c r="Q28" s="3"/>
      <c r="R28" s="7">
        <f t="shared" si="4"/>
        <v>-1.4805953177653671E-5</v>
      </c>
      <c r="S28" s="3"/>
      <c r="T28" s="6"/>
      <c r="U28" s="3"/>
      <c r="V28" s="7">
        <f t="shared" si="5"/>
        <v>0</v>
      </c>
      <c r="W28" s="3"/>
      <c r="X28" s="6">
        <f t="shared" si="6"/>
        <v>-0.1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0"/>
      <c r="B29" s="11" t="str">
        <f>CONCATENATE("     ","Bank/card Fees                                    ")</f>
        <v xml:space="preserve">     Bank/card Fees                                    </v>
      </c>
      <c r="C29" s="11"/>
      <c r="D29" s="2">
        <f>SUM(OSRRefD22_3x_0)</f>
        <v>0</v>
      </c>
      <c r="E29" s="2"/>
      <c r="F29" s="5">
        <f t="shared" si="0"/>
        <v>0</v>
      </c>
      <c r="G29" s="2"/>
      <c r="H29" s="2">
        <f>SUM(OSRRefH22_3x_0)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SUM(OSRRefP22_3x_0)</f>
        <v>0.28000000000000003</v>
      </c>
      <c r="Q29" s="2"/>
      <c r="R29" s="5">
        <f t="shared" si="4"/>
        <v>4.1456668897430281E-5</v>
      </c>
      <c r="S29" s="2"/>
      <c r="T29" s="2">
        <f>SUM(OSRRefT22_3x_0)</f>
        <v>0</v>
      </c>
      <c r="U29" s="2"/>
      <c r="V29" s="5">
        <f t="shared" si="5"/>
        <v>0</v>
      </c>
      <c r="W29" s="2"/>
      <c r="X29" s="2">
        <f t="shared" si="6"/>
        <v>0.28000000000000003</v>
      </c>
      <c r="Y29" s="2"/>
      <c r="Z29" s="5">
        <f t="shared" si="7"/>
        <v>0</v>
      </c>
    </row>
    <row r="30" spans="1:26" s="69" customFormat="1" ht="15" hidden="1" customHeight="1" outlineLevel="2" x14ac:dyDescent="0.3">
      <c r="A30" s="21"/>
      <c r="B30" s="9" t="str">
        <f>CONCATENATE("          ","6381"," - ","BANK/CREDIT CARD FEES")</f>
        <v xml:space="preserve">          6381 - BANK/CREDIT CARD FEES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>
        <v>0.28000000000000003</v>
      </c>
      <c r="Q30" s="3"/>
      <c r="R30" s="7">
        <f t="shared" si="4"/>
        <v>4.1456668897430281E-5</v>
      </c>
      <c r="S30" s="3"/>
      <c r="T30" s="6"/>
      <c r="U30" s="3"/>
      <c r="V30" s="7">
        <f t="shared" si="5"/>
        <v>0</v>
      </c>
      <c r="W30" s="3"/>
      <c r="X30" s="6">
        <f t="shared" si="6"/>
        <v>0.28000000000000003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0"/>
      <c r="B31" s="11" t="str">
        <f>CONCATENATE("     ","General                                           ")</f>
        <v xml:space="preserve">     General                                           </v>
      </c>
      <c r="C31" s="11"/>
      <c r="D31" s="2">
        <f>SUM(OSRRefD22_4x_0)</f>
        <v>0</v>
      </c>
      <c r="E31" s="2"/>
      <c r="F31" s="5">
        <f t="shared" si="0"/>
        <v>0</v>
      </c>
      <c r="G31" s="2"/>
      <c r="H31" s="2">
        <f>SUM(OSRRefH22_4x_0)</f>
        <v>0</v>
      </c>
      <c r="I31" s="2"/>
      <c r="J31" s="5">
        <f t="shared" si="1"/>
        <v>0</v>
      </c>
      <c r="K31" s="2"/>
      <c r="L31" s="2">
        <f t="shared" si="2"/>
        <v>0</v>
      </c>
      <c r="M31" s="2"/>
      <c r="N31" s="5">
        <f t="shared" si="3"/>
        <v>0</v>
      </c>
      <c r="O31" s="11"/>
      <c r="P31" s="2">
        <f>SUM(OSRRefP22_4x_0)</f>
        <v>530.4</v>
      </c>
      <c r="Q31" s="2"/>
      <c r="R31" s="5">
        <f t="shared" si="4"/>
        <v>7.8530775654275062E-2</v>
      </c>
      <c r="S31" s="2"/>
      <c r="T31" s="2">
        <f>SUM(OSRRefT22_4x_0)</f>
        <v>0</v>
      </c>
      <c r="U31" s="2"/>
      <c r="V31" s="5">
        <f t="shared" si="5"/>
        <v>0</v>
      </c>
      <c r="W31" s="2"/>
      <c r="X31" s="2">
        <f t="shared" si="6"/>
        <v>530.4</v>
      </c>
      <c r="Y31" s="2"/>
      <c r="Z31" s="5">
        <f t="shared" si="7"/>
        <v>0</v>
      </c>
    </row>
    <row r="32" spans="1:26" s="69" customFormat="1" ht="15" hidden="1" customHeight="1" outlineLevel="2" x14ac:dyDescent="0.3">
      <c r="A32" s="21"/>
      <c r="B32" s="9" t="str">
        <f>CONCATENATE("          ","6279"," - ","GENERAL EXPENSE")</f>
        <v xml:space="preserve">          6279 - GENERAL EXPENSE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530.4</v>
      </c>
      <c r="Q32" s="3"/>
      <c r="R32" s="7">
        <f t="shared" si="4"/>
        <v>7.8530775654275062E-2</v>
      </c>
      <c r="S32" s="3"/>
      <c r="T32" s="6"/>
      <c r="U32" s="3"/>
      <c r="V32" s="7">
        <f t="shared" si="5"/>
        <v>0</v>
      </c>
      <c r="W32" s="3"/>
      <c r="X32" s="6">
        <f t="shared" si="6"/>
        <v>530.4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0"/>
      <c r="B33" s="11" t="str">
        <f>CONCATENATE("     ","Telephone/Data Lines                              ")</f>
        <v xml:space="preserve">     Telephone/Data Lines                              </v>
      </c>
      <c r="C33" s="11"/>
      <c r="D33" s="2">
        <f>SUM(OSRRefD22_5x_0)</f>
        <v>0</v>
      </c>
      <c r="E33" s="2"/>
      <c r="F33" s="5">
        <f t="shared" si="0"/>
        <v>0</v>
      </c>
      <c r="G33" s="2"/>
      <c r="H33" s="2">
        <f>SUM(OSRRefH22_5x_0)</f>
        <v>0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SUM(OSRRefP22_5x_0)</f>
        <v>0</v>
      </c>
      <c r="Q33" s="2"/>
      <c r="R33" s="5">
        <f t="shared" si="4"/>
        <v>0</v>
      </c>
      <c r="S33" s="2"/>
      <c r="T33" s="2">
        <f>SUM(OSRRefT22_5x_0)</f>
        <v>178.69</v>
      </c>
      <c r="U33" s="2"/>
      <c r="V33" s="5">
        <f t="shared" si="5"/>
        <v>0</v>
      </c>
      <c r="W33" s="2"/>
      <c r="X33" s="2">
        <f t="shared" si="6"/>
        <v>-178.69</v>
      </c>
      <c r="Y33" s="2"/>
      <c r="Z33" s="5">
        <f t="shared" si="7"/>
        <v>-1</v>
      </c>
    </row>
    <row r="34" spans="1:26" s="69" customFormat="1" ht="15" hidden="1" customHeight="1" outlineLevel="2" x14ac:dyDescent="0.3">
      <c r="A34" s="21"/>
      <c r="B34" s="9" t="str">
        <f>CONCATENATE("          ","6309"," - ","TELEPHONE")</f>
        <v xml:space="preserve">          6309 - TELEPHONE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178.69</v>
      </c>
      <c r="U34" s="3"/>
      <c r="V34" s="7">
        <f t="shared" si="5"/>
        <v>0</v>
      </c>
      <c r="W34" s="3"/>
      <c r="X34" s="6">
        <f t="shared" si="6"/>
        <v>-178.69</v>
      </c>
      <c r="Y34" s="3"/>
      <c r="Z34" s="7">
        <f t="shared" si="7"/>
        <v>-1</v>
      </c>
    </row>
    <row r="35" spans="1:26" s="64" customFormat="1" ht="15" customHeight="1" x14ac:dyDescent="0.3">
      <c r="A35" s="37"/>
      <c r="B35" s="37"/>
      <c r="C35" s="37"/>
      <c r="D35" s="2"/>
      <c r="E35" s="2"/>
      <c r="F35" s="5"/>
      <c r="G35" s="2"/>
      <c r="H35" s="2"/>
      <c r="I35" s="2"/>
      <c r="J35" s="5"/>
      <c r="K35" s="2"/>
      <c r="L35" s="2"/>
      <c r="M35" s="2"/>
      <c r="N35" s="5"/>
      <c r="O35" s="37"/>
      <c r="P35" s="2"/>
      <c r="Q35" s="2"/>
      <c r="R35" s="5"/>
      <c r="S35" s="2"/>
      <c r="T35" s="2"/>
      <c r="U35" s="2"/>
      <c r="V35" s="5"/>
      <c r="W35" s="2"/>
      <c r="X35" s="2"/>
      <c r="Y35" s="2"/>
      <c r="Z35" s="5"/>
    </row>
    <row r="36" spans="1:26" s="62" customFormat="1" ht="15" customHeight="1" x14ac:dyDescent="0.3">
      <c r="A36" s="13"/>
      <c r="B36" s="27" t="s">
        <v>290</v>
      </c>
      <c r="C36" s="13"/>
      <c r="D36" s="8">
        <f>SUM(0)</f>
        <v>0</v>
      </c>
      <c r="E36" s="8"/>
      <c r="F36" s="14">
        <f>IF(D$12=0,0,D36/D$12)</f>
        <v>0</v>
      </c>
      <c r="G36" s="8"/>
      <c r="H36" s="8">
        <f>SUM(0)</f>
        <v>0</v>
      </c>
      <c r="I36" s="8"/>
      <c r="J36" s="14">
        <f>IF(H$12=0,0,H36/H$12)</f>
        <v>0</v>
      </c>
      <c r="K36" s="8"/>
      <c r="L36" s="8">
        <f>+D36-H36</f>
        <v>0</v>
      </c>
      <c r="M36" s="8"/>
      <c r="N36" s="14">
        <f>IF(H36=0,0,L36/H36)</f>
        <v>0</v>
      </c>
      <c r="O36" s="13"/>
      <c r="P36" s="8">
        <f>SUM(0)</f>
        <v>0</v>
      </c>
      <c r="Q36" s="8"/>
      <c r="R36" s="14">
        <f>IF(P$12=0,0,P36/P$12)</f>
        <v>0</v>
      </c>
      <c r="S36" s="8"/>
      <c r="T36" s="8">
        <f>SUM(0)</f>
        <v>0</v>
      </c>
      <c r="U36" s="8"/>
      <c r="V36" s="14">
        <f>IF(T$12=0,0,T36/T$12)</f>
        <v>0</v>
      </c>
      <c r="W36" s="8"/>
      <c r="X36" s="8">
        <f>+P36-T36</f>
        <v>0</v>
      </c>
      <c r="Y36" s="8"/>
      <c r="Z36" s="14">
        <f>IF(T36=0,0,X36/T36)</f>
        <v>0</v>
      </c>
    </row>
    <row r="37" spans="1:26" ht="15" customHeight="1" x14ac:dyDescent="0.3">
      <c r="A37" s="12"/>
      <c r="B37" s="13"/>
      <c r="C37" s="13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O37" s="13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x14ac:dyDescent="0.3">
      <c r="A38" s="13"/>
      <c r="B38" s="28" t="s">
        <v>291</v>
      </c>
      <c r="C38" s="28"/>
      <c r="D38" s="22">
        <f>+D19-D21+D36</f>
        <v>0</v>
      </c>
      <c r="E38" s="15"/>
      <c r="F38" s="24">
        <f>IF(D$12=0,0,D38/D$12)</f>
        <v>0</v>
      </c>
      <c r="G38" s="15"/>
      <c r="H38" s="22">
        <f>+H19-H21+H36</f>
        <v>0</v>
      </c>
      <c r="I38" s="15"/>
      <c r="J38" s="24">
        <f>IF(H$12=0,0,H38/H$12)</f>
        <v>0</v>
      </c>
      <c r="K38" s="17"/>
      <c r="L38" s="22">
        <f>+D38-H38</f>
        <v>0</v>
      </c>
      <c r="M38" s="17"/>
      <c r="N38" s="24">
        <f>IF(H38=0,0,L38/H38)</f>
        <v>0</v>
      </c>
      <c r="O38" s="27"/>
      <c r="P38" s="22">
        <f>+P19-P21+P36</f>
        <v>-408.63999999999851</v>
      </c>
      <c r="Q38" s="15"/>
      <c r="R38" s="24">
        <f>IF(P$12=0,0,P38/P$12)</f>
        <v>-6.050304706516374E-2</v>
      </c>
      <c r="S38" s="15"/>
      <c r="T38" s="22">
        <f>+T19-T21+T36</f>
        <v>-178.69</v>
      </c>
      <c r="U38" s="15"/>
      <c r="V38" s="24">
        <f>IF(T$12=0,0,T38/T$12)</f>
        <v>0</v>
      </c>
      <c r="W38" s="17"/>
      <c r="X38" s="22">
        <f>+P38-T38</f>
        <v>-229.94999999999851</v>
      </c>
      <c r="Y38" s="17"/>
      <c r="Z38" s="24">
        <f>IF(T38=0,0,X38/T38)</f>
        <v>1.2868655212938525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2" customFormat="1" ht="15" customHeight="1" x14ac:dyDescent="0.3">
      <c r="A40" s="48"/>
      <c r="B40" s="13" t="s">
        <v>292</v>
      </c>
      <c r="C40" s="13"/>
      <c r="D40" s="8">
        <v>-1537.99</v>
      </c>
      <c r="E40" s="8"/>
      <c r="F40" s="14">
        <f>IF(D$12=0,0,D40/D$12)</f>
        <v>0</v>
      </c>
      <c r="G40" s="8"/>
      <c r="H40" s="8"/>
      <c r="I40" s="8"/>
      <c r="J40" s="14">
        <f>IF(H$12=0,0,H40/H$12)</f>
        <v>0</v>
      </c>
      <c r="K40" s="8"/>
      <c r="L40" s="8">
        <f>+D40-H40</f>
        <v>-1537.99</v>
      </c>
      <c r="M40" s="8"/>
      <c r="N40" s="14">
        <f>IF(H40=0,0,L40/H40)</f>
        <v>0</v>
      </c>
      <c r="O40" s="13"/>
      <c r="P40" s="8">
        <v>-778.66</v>
      </c>
      <c r="Q40" s="8"/>
      <c r="R40" s="14">
        <f>IF(P$12=0,0,P40/P$12)</f>
        <v>-0.11528803501311807</v>
      </c>
      <c r="S40" s="8"/>
      <c r="T40" s="8"/>
      <c r="U40" s="8"/>
      <c r="V40" s="14">
        <f>IF(T$12=0,0,T40/T$12)</f>
        <v>0</v>
      </c>
      <c r="W40" s="8"/>
      <c r="X40" s="8">
        <f>+P40-T40</f>
        <v>-778.66</v>
      </c>
      <c r="Y40" s="8"/>
      <c r="Z40" s="14">
        <f>IF(T40=0,0,X40/T40)</f>
        <v>0</v>
      </c>
    </row>
    <row r="41" spans="1:26" ht="15" customHeight="1" x14ac:dyDescent="0.3">
      <c r="A41" s="12"/>
      <c r="B41" s="13"/>
      <c r="C41" s="13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O41" s="13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s="62" customFormat="1" ht="15" customHeight="1" x14ac:dyDescent="0.3">
      <c r="A42" s="13"/>
      <c r="B42" s="28" t="s">
        <v>293</v>
      </c>
      <c r="C42" s="28"/>
      <c r="D42" s="29">
        <f>+D38-D40</f>
        <v>1537.99</v>
      </c>
      <c r="E42" s="15"/>
      <c r="F42" s="31">
        <f>IF(D$12=0,0,D42/D$12)</f>
        <v>0</v>
      </c>
      <c r="G42" s="15"/>
      <c r="H42" s="29">
        <f>+H38-H40</f>
        <v>0</v>
      </c>
      <c r="I42" s="15"/>
      <c r="J42" s="31">
        <f>IF(H$12=0,0,H42/H$12)</f>
        <v>0</v>
      </c>
      <c r="K42" s="17"/>
      <c r="L42" s="29">
        <f>D42-H42</f>
        <v>1537.99</v>
      </c>
      <c r="M42" s="17"/>
      <c r="N42" s="31">
        <f>IF(H42=0,0,L42/H42)</f>
        <v>0</v>
      </c>
      <c r="O42" s="27"/>
      <c r="P42" s="29">
        <f>+P38-P40</f>
        <v>370.02000000000146</v>
      </c>
      <c r="Q42" s="15"/>
      <c r="R42" s="31">
        <f>IF(P$12=0,0,P42/P$12)</f>
        <v>5.4784987947954326E-2</v>
      </c>
      <c r="S42" s="15"/>
      <c r="T42" s="29">
        <f>+T38-T40</f>
        <v>-178.69</v>
      </c>
      <c r="U42" s="15"/>
      <c r="V42" s="31">
        <f>IF(T$12=0,0,T42/T$12)</f>
        <v>0</v>
      </c>
      <c r="W42" s="17"/>
      <c r="X42" s="29">
        <f>P42-T42</f>
        <v>548.7100000000014</v>
      </c>
      <c r="Y42" s="17"/>
      <c r="Z42" s="31">
        <f>IF(T42=0,0,X42/T42)</f>
        <v>-3.0707370306116819</v>
      </c>
    </row>
    <row r="43" spans="1:26" ht="15" customHeight="1" x14ac:dyDescent="0.3">
      <c r="A43" s="12"/>
      <c r="B43" s="12"/>
      <c r="C43" s="12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ht="15" customHeight="1" x14ac:dyDescent="0.3">
      <c r="A44" s="12"/>
      <c r="B44" s="12"/>
      <c r="C44" s="12"/>
      <c r="D44" s="4"/>
      <c r="E44" s="4"/>
      <c r="F44" s="10"/>
      <c r="G44" s="4"/>
      <c r="H44" s="4"/>
      <c r="I44" s="4"/>
      <c r="J44" s="10"/>
      <c r="K44" s="4"/>
      <c r="L44" s="4"/>
      <c r="M44" s="4"/>
      <c r="N44" s="10"/>
      <c r="P44" s="4"/>
      <c r="Q44" s="4"/>
      <c r="R44" s="10"/>
      <c r="S44" s="4"/>
      <c r="T44" s="4"/>
      <c r="U44" s="4"/>
      <c r="V44" s="10"/>
      <c r="W44" s="4"/>
      <c r="X44" s="4"/>
      <c r="Y44" s="4"/>
      <c r="Z44" s="10"/>
    </row>
    <row r="45" spans="1:26" s="62" customFormat="1" ht="15" customHeight="1" x14ac:dyDescent="0.3">
      <c r="A45" s="13"/>
      <c r="B45" s="28" t="s">
        <v>296</v>
      </c>
      <c r="C45" s="28"/>
      <c r="D45" s="30">
        <f>SUM(D42:D44)</f>
        <v>1537.99</v>
      </c>
      <c r="E45" s="15"/>
      <c r="F45" s="35">
        <f>IF(D$12=0,0,D45/D$12)</f>
        <v>0</v>
      </c>
      <c r="G45" s="15"/>
      <c r="H45" s="30">
        <f>SUM(H42:H44)</f>
        <v>0</v>
      </c>
      <c r="I45" s="15"/>
      <c r="J45" s="35">
        <f>IF(H$12=0,0,H45/H$12)</f>
        <v>0</v>
      </c>
      <c r="K45" s="17"/>
      <c r="L45" s="30">
        <f>+D45-H45</f>
        <v>1537.99</v>
      </c>
      <c r="M45" s="17"/>
      <c r="N45" s="35">
        <f>IF(H45=0,0,L45/H45)</f>
        <v>0</v>
      </c>
      <c r="O45" s="27"/>
      <c r="P45" s="30">
        <f>SUM(P42:P44)</f>
        <v>370.02000000000146</v>
      </c>
      <c r="Q45" s="15"/>
      <c r="R45" s="35">
        <f>IF(P$12=0,0,P45/P$12)</f>
        <v>5.4784987947954326E-2</v>
      </c>
      <c r="S45" s="15"/>
      <c r="T45" s="30">
        <f>SUM(T42:T44)</f>
        <v>-178.69</v>
      </c>
      <c r="U45" s="15"/>
      <c r="V45" s="35">
        <f>IF(T$12=0,0,T45/T$12)</f>
        <v>0</v>
      </c>
      <c r="W45" s="17"/>
      <c r="X45" s="30">
        <f>+P45-T45</f>
        <v>548.7100000000014</v>
      </c>
      <c r="Y45" s="17"/>
      <c r="Z45" s="35">
        <f>IF(T45=0,0,X45/T45)</f>
        <v>-3.0707370306116819</v>
      </c>
    </row>
    <row r="46" spans="1:26" ht="15" customHeight="1" x14ac:dyDescent="0.3">
      <c r="A46" s="12"/>
      <c r="C46" s="12"/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4">
        <v>44767.815885219905</v>
      </c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3" t="s">
        <v>297</v>
      </c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1:24" ht="15" customHeight="1" x14ac:dyDescent="0.3">
      <c r="A49" s="12"/>
      <c r="B49" s="51"/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  <row r="50" spans="1:24" ht="15" customHeight="1" x14ac:dyDescent="0.3">
      <c r="D50" s="19"/>
      <c r="E50" s="19"/>
      <c r="G50" s="19"/>
      <c r="H50" s="19"/>
      <c r="I50" s="19"/>
      <c r="J50" s="41"/>
      <c r="K50" s="19"/>
      <c r="L50" s="19"/>
      <c r="M50" s="19"/>
      <c r="P50" s="19"/>
      <c r="Q50" s="19"/>
      <c r="R50" s="41"/>
      <c r="S50" s="19"/>
      <c r="T50" s="19"/>
      <c r="U50" s="19"/>
      <c r="V50" s="41"/>
      <c r="W50" s="19"/>
      <c r="X5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4EC8-BAB9-2035-9D4E-5E7AE5F98375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","444"," - ","Parkside Dining Hall")</f>
        <v>Department 444 - Parkside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-5492.92</v>
      </c>
      <c r="E12" s="8"/>
      <c r="F12" s="14"/>
      <c r="G12" s="8"/>
      <c r="H12" s="8">
        <f>SUM(OSRRefH13x_0)</f>
        <v>30111.4</v>
      </c>
      <c r="I12" s="8"/>
      <c r="J12" s="14"/>
      <c r="K12" s="8"/>
      <c r="L12" s="8">
        <f>+D12-H12</f>
        <v>-35604.32</v>
      </c>
      <c r="M12" s="8"/>
      <c r="N12" s="14">
        <f>IF(H12=0,0,L12/H12)</f>
        <v>-1.1824199472624985</v>
      </c>
      <c r="O12" s="13"/>
      <c r="P12" s="8">
        <f>SUM(OSRRefP13x_0)</f>
        <v>5700958.5899999999</v>
      </c>
      <c r="Q12" s="8"/>
      <c r="R12" s="14"/>
      <c r="S12" s="8"/>
      <c r="T12" s="8">
        <f>SUM(OSRRefT13x_0)</f>
        <v>998437.27999999991</v>
      </c>
      <c r="U12" s="8"/>
      <c r="V12" s="14"/>
      <c r="W12" s="8"/>
      <c r="X12" s="8">
        <f>+P12-T12</f>
        <v>4702521.3099999996</v>
      </c>
      <c r="Y12" s="8"/>
      <c r="Z12" s="14">
        <f>IF(T12=0,0,X12/T12)</f>
        <v>4.7098815360740538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0</f>
        <v>0</v>
      </c>
      <c r="E13" s="3"/>
      <c r="F13" s="26"/>
      <c r="G13" s="3"/>
      <c r="H13" s="3">
        <f>--10.83</f>
        <v>10.83</v>
      </c>
      <c r="I13" s="3"/>
      <c r="J13" s="26"/>
      <c r="K13" s="3"/>
      <c r="L13" s="3">
        <f>+D13-H13</f>
        <v>-10.83</v>
      </c>
      <c r="M13" s="3"/>
      <c r="N13" s="26">
        <f>IF(H13=0,0,L13/H13)</f>
        <v>-1</v>
      </c>
      <c r="O13" s="9"/>
      <c r="P13" s="3">
        <f>--1284.65</f>
        <v>1284.6500000000001</v>
      </c>
      <c r="Q13" s="3"/>
      <c r="R13" s="26"/>
      <c r="S13" s="3"/>
      <c r="T13" s="3">
        <f>--899.74</f>
        <v>899.74</v>
      </c>
      <c r="U13" s="3"/>
      <c r="V13" s="26"/>
      <c r="W13" s="3"/>
      <c r="X13" s="3">
        <f>+P13-T13</f>
        <v>384.91000000000008</v>
      </c>
      <c r="Y13" s="3"/>
      <c r="Z13" s="26">
        <f>IF(T13=0,0,X13/T13)</f>
        <v>0.42780136483873127</v>
      </c>
    </row>
    <row r="14" spans="1:26" s="69" customFormat="1" ht="15" hidden="1" customHeight="1" outlineLevel="1" x14ac:dyDescent="0.3">
      <c r="A14" s="47"/>
      <c r="B14" s="9" t="str">
        <f>CONCATENATE("          ","4151"," - ","NON-TAXABLE SALES-FOOD")</f>
        <v xml:space="preserve">          4151 - NON-TAXABLE SALES-FOOD</v>
      </c>
      <c r="C14" s="9"/>
      <c r="D14" s="3">
        <f>-4584.58</f>
        <v>-4584.58</v>
      </c>
      <c r="E14" s="3"/>
      <c r="F14" s="26"/>
      <c r="G14" s="3"/>
      <c r="H14" s="3">
        <f>--27599</f>
        <v>27599</v>
      </c>
      <c r="I14" s="3"/>
      <c r="J14" s="26"/>
      <c r="K14" s="3"/>
      <c r="L14" s="3">
        <f>+D14-H14</f>
        <v>-32183.58</v>
      </c>
      <c r="M14" s="3"/>
      <c r="N14" s="26">
        <f>IF(H14=0,0,L14/H14)</f>
        <v>-1.1661139896373058</v>
      </c>
      <c r="O14" s="9"/>
      <c r="P14" s="3">
        <f>--5671873.39</f>
        <v>5671873.3899999997</v>
      </c>
      <c r="Q14" s="3"/>
      <c r="R14" s="26"/>
      <c r="S14" s="3"/>
      <c r="T14" s="3">
        <f>--951946.72</f>
        <v>951946.72</v>
      </c>
      <c r="U14" s="3"/>
      <c r="V14" s="26"/>
      <c r="W14" s="3"/>
      <c r="X14" s="3">
        <f>+P14-T14</f>
        <v>4719926.67</v>
      </c>
      <c r="Y14" s="3"/>
      <c r="Z14" s="26">
        <f>IF(T14=0,0,X14/T14)</f>
        <v>4.9581836575895757</v>
      </c>
    </row>
    <row r="15" spans="1:26" s="69" customFormat="1" ht="15" hidden="1" customHeight="1" outlineLevel="1" x14ac:dyDescent="0.3">
      <c r="A15" s="47"/>
      <c r="B15" s="9" t="str">
        <f>CONCATENATE("          ","4153"," - ","NON-TAXABLE SALES-FOOD")</f>
        <v xml:space="preserve">          4153 - NON-TAXABLE SALES-FOOD</v>
      </c>
      <c r="C15" s="9"/>
      <c r="D15" s="3">
        <f>-908.34</f>
        <v>-908.34</v>
      </c>
      <c r="E15" s="3"/>
      <c r="F15" s="26"/>
      <c r="G15" s="3"/>
      <c r="H15" s="3">
        <f>--2501.57</f>
        <v>2501.5700000000002</v>
      </c>
      <c r="I15" s="3"/>
      <c r="J15" s="26"/>
      <c r="K15" s="3"/>
      <c r="L15" s="3">
        <f>+D15-H15</f>
        <v>-3409.9100000000003</v>
      </c>
      <c r="M15" s="3"/>
      <c r="N15" s="26">
        <f>IF(H15=0,0,L15/H15)</f>
        <v>-1.363107968195973</v>
      </c>
      <c r="O15" s="9"/>
      <c r="P15" s="3">
        <f>--27800.55</f>
        <v>27800.55</v>
      </c>
      <c r="Q15" s="3"/>
      <c r="R15" s="26"/>
      <c r="S15" s="3"/>
      <c r="T15" s="3">
        <f>--45590.82</f>
        <v>45590.82</v>
      </c>
      <c r="U15" s="3"/>
      <c r="V15" s="26"/>
      <c r="W15" s="3"/>
      <c r="X15" s="3">
        <f>+P15-T15</f>
        <v>-17790.27</v>
      </c>
      <c r="Y15" s="3"/>
      <c r="Z15" s="26">
        <f>IF(T15=0,0,X15/T15)</f>
        <v>-0.3902160566535105</v>
      </c>
    </row>
    <row r="16" spans="1:26" ht="15" customHeight="1" x14ac:dyDescent="0.3">
      <c r="A16" s="12"/>
      <c r="B16" s="13"/>
      <c r="C16" s="12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collapsed="1" x14ac:dyDescent="0.3">
      <c r="A17" s="13"/>
      <c r="B17" s="27" t="s">
        <v>287</v>
      </c>
      <c r="C17" s="13"/>
      <c r="D17" s="8">
        <f>SUM(OSRRefD16x_0)</f>
        <v>2412.15</v>
      </c>
      <c r="E17" s="8"/>
      <c r="F17" s="14">
        <f>IF(D$12=0,0,D17/D$12)</f>
        <v>-0.43913801766637783</v>
      </c>
      <c r="G17" s="8"/>
      <c r="H17" s="8">
        <f>SUM(OSRRefH16x_0)</f>
        <v>19817.82</v>
      </c>
      <c r="I17" s="8"/>
      <c r="J17" s="14">
        <f>IF(H$12=0,0,H17/H$12)</f>
        <v>0.65815006940892817</v>
      </c>
      <c r="K17" s="8"/>
      <c r="L17" s="8">
        <f>+D17-H17</f>
        <v>-17405.669999999998</v>
      </c>
      <c r="M17" s="8"/>
      <c r="N17" s="14">
        <f>IF(H17=0,0,L17/H17)</f>
        <v>-0.87828378701592802</v>
      </c>
      <c r="O17" s="13"/>
      <c r="P17" s="8">
        <f>SUM(OSRRefP16x_0)</f>
        <v>1313849.27</v>
      </c>
      <c r="Q17" s="8"/>
      <c r="R17" s="14">
        <f>IF(P$12=0,0,P17/P$12)</f>
        <v>0.23046111443514275</v>
      </c>
      <c r="S17" s="8"/>
      <c r="T17" s="8">
        <f>SUM(OSRRefT16x_0)</f>
        <v>435566.87</v>
      </c>
      <c r="U17" s="8"/>
      <c r="V17" s="14">
        <f>IF(T$12=0,0,T17/T$12)</f>
        <v>0.43624860441909785</v>
      </c>
      <c r="W17" s="8"/>
      <c r="X17" s="8">
        <f>+P17-T17</f>
        <v>878282.4</v>
      </c>
      <c r="Y17" s="8"/>
      <c r="Z17" s="14">
        <f>IF(T17=0,0,X17/T17)</f>
        <v>2.016412313452582</v>
      </c>
    </row>
    <row r="18" spans="1:26" s="69" customFormat="1" ht="15" hidden="1" customHeight="1" outlineLevel="1" x14ac:dyDescent="0.3">
      <c r="A18" s="47"/>
      <c r="B18" s="9" t="str">
        <f>CONCATENATE("          ","5053"," - ","PURCHASES @ COST-FOOD")</f>
        <v xml:space="preserve">          5053 - PURCHASES @ COST-FOOD</v>
      </c>
      <c r="C18" s="9"/>
      <c r="D18" s="3">
        <v>2412.15</v>
      </c>
      <c r="E18" s="3"/>
      <c r="F18" s="26">
        <f>IF(D$12=0,0,D18/D$12)</f>
        <v>-0.43913801766637783</v>
      </c>
      <c r="G18" s="3"/>
      <c r="H18" s="3">
        <v>14888.82</v>
      </c>
      <c r="I18" s="3"/>
      <c r="J18" s="26">
        <f>IF(H$12=0,0,H18/H$12)</f>
        <v>0.49445791294991265</v>
      </c>
      <c r="K18" s="3"/>
      <c r="L18" s="3">
        <f>+D18-H18</f>
        <v>-12476.67</v>
      </c>
      <c r="M18" s="3"/>
      <c r="N18" s="26">
        <f>IF(H18=0,0,L18/H18)</f>
        <v>-0.83798917577081333</v>
      </c>
      <c r="O18" s="9"/>
      <c r="P18" s="3">
        <v>1303417.27</v>
      </c>
      <c r="Q18" s="3"/>
      <c r="R18" s="26">
        <f>IF(P$12=0,0,P18/P$12)</f>
        <v>0.2286312467321395</v>
      </c>
      <c r="S18" s="3"/>
      <c r="T18" s="3">
        <v>444226.57</v>
      </c>
      <c r="U18" s="3"/>
      <c r="V18" s="26">
        <f>IF(T$12=0,0,T18/T$12)</f>
        <v>0.44492185828638137</v>
      </c>
      <c r="W18" s="3"/>
      <c r="X18" s="3">
        <f>+P18-T18</f>
        <v>859190.7</v>
      </c>
      <c r="Y18" s="3"/>
      <c r="Z18" s="26">
        <f>IF(T18=0,0,X18/T18)</f>
        <v>1.9341272180094944</v>
      </c>
    </row>
    <row r="19" spans="1:26" s="69" customFormat="1" ht="15" hidden="1" customHeight="1" outlineLevel="1" x14ac:dyDescent="0.3">
      <c r="A19" s="47"/>
      <c r="B19" s="9" t="str">
        <f>CONCATENATE("          ","5059"," - ","PURCHASES @ COST-FOOD")</f>
        <v xml:space="preserve">          5059 - PURCHASES @ COST-FOOD</v>
      </c>
      <c r="C19" s="9"/>
      <c r="D19" s="3"/>
      <c r="E19" s="3"/>
      <c r="F19" s="26">
        <f>IF(D$12=0,0,D19/D$12)</f>
        <v>0</v>
      </c>
      <c r="G19" s="3"/>
      <c r="H19" s="3">
        <v>4929</v>
      </c>
      <c r="I19" s="3"/>
      <c r="J19" s="26">
        <f>IF(H$12=0,0,H19/H$12)</f>
        <v>0.16369215645901553</v>
      </c>
      <c r="K19" s="3"/>
      <c r="L19" s="3">
        <f>+D19-H19</f>
        <v>-4929</v>
      </c>
      <c r="M19" s="3"/>
      <c r="N19" s="26">
        <f>IF(H19=0,0,L19/H19)</f>
        <v>-1</v>
      </c>
      <c r="O19" s="9"/>
      <c r="P19" s="3">
        <v>10432</v>
      </c>
      <c r="Q19" s="3"/>
      <c r="R19" s="26">
        <f>IF(P$12=0,0,P19/P$12)</f>
        <v>1.8298677030032593E-3</v>
      </c>
      <c r="S19" s="3"/>
      <c r="T19" s="3">
        <v>-8659.7000000000007</v>
      </c>
      <c r="U19" s="3"/>
      <c r="V19" s="26">
        <f>IF(T$12=0,0,T19/T$12)</f>
        <v>-8.6732538672834834E-3</v>
      </c>
      <c r="W19" s="3"/>
      <c r="X19" s="3">
        <f>+P19-T19</f>
        <v>19091.7</v>
      </c>
      <c r="Y19" s="3"/>
      <c r="Z19" s="26">
        <f>IF(T19=0,0,X19/T19)</f>
        <v>-2.2046606695382058</v>
      </c>
    </row>
    <row r="20" spans="1:26" ht="15" customHeight="1" x14ac:dyDescent="0.3">
      <c r="A20" s="12"/>
      <c r="B20" s="13"/>
      <c r="C20" s="13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O20" s="13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2" customFormat="1" ht="15" customHeight="1" x14ac:dyDescent="0.3">
      <c r="A21" s="13"/>
      <c r="B21" s="28" t="s">
        <v>288</v>
      </c>
      <c r="C21" s="28"/>
      <c r="D21" s="22">
        <f>D12-D17</f>
        <v>-7905.07</v>
      </c>
      <c r="E21" s="15"/>
      <c r="F21" s="24">
        <f>IF(D$12=0,0,D21/D$12)</f>
        <v>1.4391380176663777</v>
      </c>
      <c r="G21" s="15"/>
      <c r="H21" s="22">
        <f>H12-H17</f>
        <v>10293.580000000002</v>
      </c>
      <c r="I21" s="15"/>
      <c r="J21" s="24">
        <f>IF(H$12=0,0,H21/H$12)</f>
        <v>0.34184993059107188</v>
      </c>
      <c r="K21" s="17"/>
      <c r="L21" s="22">
        <f>+D21-H21</f>
        <v>-18198.650000000001</v>
      </c>
      <c r="M21" s="17"/>
      <c r="N21" s="24">
        <f>IF(H21=0,0,L21/H21)</f>
        <v>-1.7679611952304251</v>
      </c>
      <c r="O21" s="27"/>
      <c r="P21" s="22">
        <f>P12-P17</f>
        <v>4387109.32</v>
      </c>
      <c r="Q21" s="15"/>
      <c r="R21" s="24">
        <f>IF(P$12=0,0,P21/P$12)</f>
        <v>0.76953888556485728</v>
      </c>
      <c r="S21" s="15"/>
      <c r="T21" s="22">
        <f>T12-T17</f>
        <v>562870.40999999992</v>
      </c>
      <c r="U21" s="15"/>
      <c r="V21" s="24">
        <f>IF(T$12=0,0,T21/T$12)</f>
        <v>0.56375139558090215</v>
      </c>
      <c r="W21" s="17"/>
      <c r="X21" s="22">
        <f>+P21-T21</f>
        <v>3824238.91</v>
      </c>
      <c r="Y21" s="17"/>
      <c r="Z21" s="24">
        <f>IF(T21=0,0,X21/T21)</f>
        <v>6.7941729429337041</v>
      </c>
    </row>
    <row r="22" spans="1:26" ht="15" customHeight="1" x14ac:dyDescent="0.3">
      <c r="A22" s="12"/>
      <c r="B22" s="13"/>
      <c r="C22" s="12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7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2" customFormat="1" ht="15" customHeight="1" x14ac:dyDescent="0.3">
      <c r="A23" s="13"/>
      <c r="B23" s="27" t="s">
        <v>289</v>
      </c>
      <c r="C23" s="13"/>
      <c r="D23" s="23" cm="1">
        <f t="array" ref="D23">SUM(OSRRefD22x_0)</f>
        <v>45659.18</v>
      </c>
      <c r="E23" s="23"/>
      <c r="F23" s="34">
        <f t="shared" ref="F23:F54" si="0">IF(D$12=0,0,D23/D$12)</f>
        <v>-8.3123693773075154</v>
      </c>
      <c r="G23" s="23"/>
      <c r="H23" s="23" cm="1">
        <f t="array" ref="H23">SUM(OSRRefH22x_0)</f>
        <v>85246.849999999991</v>
      </c>
      <c r="I23" s="23"/>
      <c r="J23" s="34">
        <f t="shared" ref="J23:J54" si="1">IF(H$12=0,0,H23/H$12)</f>
        <v>2.8310490379059088</v>
      </c>
      <c r="K23" s="8"/>
      <c r="L23" s="23">
        <f t="shared" ref="L23:L54" si="2">+D23-H23</f>
        <v>-39587.669999999991</v>
      </c>
      <c r="M23" s="8"/>
      <c r="N23" s="34">
        <f t="shared" ref="N23:N54" si="3">IF(H23=0,0,L23/H23)</f>
        <v>-0.46438865483006109</v>
      </c>
      <c r="O23" s="13"/>
      <c r="P23" s="23" cm="1">
        <f t="array" ref="P23">SUM(OSRRefP22x_0)</f>
        <v>2110969.0199999996</v>
      </c>
      <c r="Q23" s="23"/>
      <c r="R23" s="34">
        <f t="shared" ref="R23:R54" si="4">IF(P$12=0,0,P23/P$12)</f>
        <v>0.37028317022032597</v>
      </c>
      <c r="S23" s="23"/>
      <c r="T23" s="23" cm="1">
        <f t="array" ref="T23">SUM(OSRRefT22x_0)</f>
        <v>1350484.1800000004</v>
      </c>
      <c r="U23" s="23"/>
      <c r="V23" s="34">
        <f t="shared" ref="V23:V54" si="5">IF(T$12=0,0,T23/T$12)</f>
        <v>1.3525979118087423</v>
      </c>
      <c r="W23" s="8"/>
      <c r="X23" s="23">
        <f t="shared" ref="X23:X54" si="6">+P23-T23</f>
        <v>760484.83999999915</v>
      </c>
      <c r="Y23" s="8"/>
      <c r="Z23" s="34">
        <f t="shared" ref="Z23:Z54" si="7">IF(T23=0,0,X23/T23)</f>
        <v>0.56312013962281215</v>
      </c>
    </row>
    <row r="24" spans="1:26" s="68" customFormat="1" ht="15" customHeight="1" outlineLevel="1" collapsed="1" x14ac:dyDescent="0.3">
      <c r="A24" s="20"/>
      <c r="B24" s="11" t="str">
        <f>CONCATENATE("     ","*Benefits                                         ")</f>
        <v xml:space="preserve">     *Benefits                                         </v>
      </c>
      <c r="C24" s="11"/>
      <c r="D24" s="2">
        <f>SUM(OSRRefD22_0x_0)</f>
        <v>5745.5300000000016</v>
      </c>
      <c r="E24" s="2"/>
      <c r="F24" s="5">
        <f t="shared" si="0"/>
        <v>-1.0459882903810727</v>
      </c>
      <c r="G24" s="2"/>
      <c r="H24" s="2">
        <f>SUM(OSRRefH22_0x_0)</f>
        <v>29706.059999999998</v>
      </c>
      <c r="I24" s="2"/>
      <c r="J24" s="5">
        <f t="shared" si="1"/>
        <v>0.98653865313469302</v>
      </c>
      <c r="K24" s="2"/>
      <c r="L24" s="2">
        <f t="shared" si="2"/>
        <v>-23960.529999999995</v>
      </c>
      <c r="M24" s="2"/>
      <c r="N24" s="5">
        <f t="shared" si="3"/>
        <v>-0.80658727545827336</v>
      </c>
      <c r="O24" s="11"/>
      <c r="P24" s="2">
        <f>SUM(OSRRefP22_0x_0)</f>
        <v>338129.38999999996</v>
      </c>
      <c r="Q24" s="2"/>
      <c r="R24" s="5">
        <f t="shared" si="4"/>
        <v>5.9310971069516216E-2</v>
      </c>
      <c r="S24" s="2"/>
      <c r="T24" s="2">
        <f>SUM(OSRRefT22_0x_0)</f>
        <v>370676.99</v>
      </c>
      <c r="U24" s="2"/>
      <c r="V24" s="5">
        <f t="shared" si="5"/>
        <v>0.37125716099062328</v>
      </c>
      <c r="W24" s="2"/>
      <c r="X24" s="2">
        <f t="shared" si="6"/>
        <v>-32547.600000000035</v>
      </c>
      <c r="Y24" s="2"/>
      <c r="Z24" s="5">
        <f t="shared" si="7"/>
        <v>-8.7805827925817662E-2</v>
      </c>
    </row>
    <row r="25" spans="1:26" s="69" customFormat="1" ht="15" hidden="1" customHeight="1" outlineLevel="2" x14ac:dyDescent="0.3">
      <c r="A25" s="21"/>
      <c r="B25" s="9" t="str">
        <f>CONCATENATE("          ","6111"," - ","F.I.C.A.")</f>
        <v xml:space="preserve">          6111 - F.I.C.A.</v>
      </c>
      <c r="C25" s="9"/>
      <c r="D25" s="6">
        <v>3047.73</v>
      </c>
      <c r="E25" s="3"/>
      <c r="F25" s="7">
        <f t="shared" si="0"/>
        <v>-0.55484696664069388</v>
      </c>
      <c r="G25" s="3"/>
      <c r="H25" s="6">
        <v>2872.21</v>
      </c>
      <c r="I25" s="3"/>
      <c r="J25" s="7">
        <f t="shared" si="1"/>
        <v>9.5386132826769929E-2</v>
      </c>
      <c r="K25" s="3"/>
      <c r="L25" s="6">
        <f t="shared" si="2"/>
        <v>175.51999999999998</v>
      </c>
      <c r="M25" s="3"/>
      <c r="N25" s="7">
        <f t="shared" si="3"/>
        <v>6.1109737797723697E-2</v>
      </c>
      <c r="O25" s="9"/>
      <c r="P25" s="6">
        <v>54462.28</v>
      </c>
      <c r="Q25" s="3"/>
      <c r="R25" s="7">
        <f t="shared" si="4"/>
        <v>9.5531793715414454E-3</v>
      </c>
      <c r="S25" s="3"/>
      <c r="T25" s="6">
        <v>42401.58</v>
      </c>
      <c r="U25" s="3"/>
      <c r="V25" s="7">
        <f t="shared" si="5"/>
        <v>4.2467945507803959E-2</v>
      </c>
      <c r="W25" s="3"/>
      <c r="X25" s="6">
        <f t="shared" si="6"/>
        <v>12060.699999999997</v>
      </c>
      <c r="Y25" s="3"/>
      <c r="Z25" s="7">
        <f t="shared" si="7"/>
        <v>0.2844398722877779</v>
      </c>
    </row>
    <row r="26" spans="1:26" s="69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>
        <v>-18235.689999999999</v>
      </c>
      <c r="E26" s="3"/>
      <c r="F26" s="7">
        <f t="shared" si="0"/>
        <v>3.319853556942391</v>
      </c>
      <c r="G26" s="3"/>
      <c r="H26" s="6">
        <v>1602.42</v>
      </c>
      <c r="I26" s="3"/>
      <c r="J26" s="7">
        <f t="shared" si="1"/>
        <v>5.3216389805854261E-2</v>
      </c>
      <c r="K26" s="3"/>
      <c r="L26" s="6">
        <f t="shared" si="2"/>
        <v>-19838.11</v>
      </c>
      <c r="M26" s="3"/>
      <c r="N26" s="7">
        <f t="shared" si="3"/>
        <v>-12.380093858039714</v>
      </c>
      <c r="O26" s="9"/>
      <c r="P26" s="6">
        <v>17283.669999999998</v>
      </c>
      <c r="Q26" s="3"/>
      <c r="R26" s="7">
        <f t="shared" si="4"/>
        <v>3.0317129526808225E-3</v>
      </c>
      <c r="S26" s="3"/>
      <c r="T26" s="6">
        <v>28973.33</v>
      </c>
      <c r="U26" s="3"/>
      <c r="V26" s="7">
        <f t="shared" si="5"/>
        <v>2.9018678068591354E-2</v>
      </c>
      <c r="W26" s="3"/>
      <c r="X26" s="6">
        <f t="shared" si="6"/>
        <v>-11689.660000000003</v>
      </c>
      <c r="Y26" s="3"/>
      <c r="Z26" s="7">
        <f t="shared" si="7"/>
        <v>-0.40346277076193876</v>
      </c>
    </row>
    <row r="27" spans="1:26" s="69" customFormat="1" ht="15" hidden="1" customHeight="1" outlineLevel="2" x14ac:dyDescent="0.3">
      <c r="A27" s="21"/>
      <c r="B27" s="9" t="str">
        <f>CONCATENATE("          ","6113"," - ","GROUP INSURANCE")</f>
        <v xml:space="preserve">          6113 - GROUP INSURANCE</v>
      </c>
      <c r="C27" s="9"/>
      <c r="D27" s="6">
        <v>14203.11</v>
      </c>
      <c r="E27" s="3"/>
      <c r="F27" s="7">
        <f t="shared" si="0"/>
        <v>-2.5857121530988985</v>
      </c>
      <c r="G27" s="3"/>
      <c r="H27" s="6">
        <v>17664.759999999998</v>
      </c>
      <c r="I27" s="3"/>
      <c r="J27" s="7">
        <f t="shared" si="1"/>
        <v>0.58664691777864852</v>
      </c>
      <c r="K27" s="3"/>
      <c r="L27" s="6">
        <f t="shared" si="2"/>
        <v>-3461.6499999999978</v>
      </c>
      <c r="M27" s="3"/>
      <c r="N27" s="7">
        <f t="shared" si="3"/>
        <v>-0.19596360210951058</v>
      </c>
      <c r="O27" s="9"/>
      <c r="P27" s="6">
        <v>172531.18</v>
      </c>
      <c r="Q27" s="3"/>
      <c r="R27" s="7">
        <f t="shared" si="4"/>
        <v>3.0263538539402019E-2</v>
      </c>
      <c r="S27" s="3"/>
      <c r="T27" s="6">
        <v>209103.39</v>
      </c>
      <c r="U27" s="3"/>
      <c r="V27" s="7">
        <f t="shared" si="5"/>
        <v>0.20943067149896488</v>
      </c>
      <c r="W27" s="3"/>
      <c r="X27" s="6">
        <f t="shared" si="6"/>
        <v>-36572.210000000021</v>
      </c>
      <c r="Y27" s="3"/>
      <c r="Z27" s="7">
        <f t="shared" si="7"/>
        <v>-0.17490012954835413</v>
      </c>
    </row>
    <row r="28" spans="1:26" s="69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>
        <v>97.1</v>
      </c>
      <c r="I28" s="3"/>
      <c r="J28" s="7">
        <f t="shared" si="1"/>
        <v>3.2246923092250773E-3</v>
      </c>
      <c r="K28" s="3"/>
      <c r="L28" s="6">
        <f t="shared" si="2"/>
        <v>-97.1</v>
      </c>
      <c r="M28" s="3"/>
      <c r="N28" s="7">
        <f t="shared" si="3"/>
        <v>-1</v>
      </c>
      <c r="O28" s="9"/>
      <c r="P28" s="6">
        <v>2565.27</v>
      </c>
      <c r="Q28" s="3"/>
      <c r="R28" s="7">
        <f t="shared" si="4"/>
        <v>4.4997169502331014E-4</v>
      </c>
      <c r="S28" s="3"/>
      <c r="T28" s="6">
        <v>1835.72</v>
      </c>
      <c r="U28" s="3"/>
      <c r="V28" s="7">
        <f t="shared" si="5"/>
        <v>1.8385932063754672E-3</v>
      </c>
      <c r="W28" s="3"/>
      <c r="X28" s="6">
        <f t="shared" si="6"/>
        <v>729.55</v>
      </c>
      <c r="Y28" s="3"/>
      <c r="Z28" s="7">
        <f t="shared" si="7"/>
        <v>0.39741899636110078</v>
      </c>
    </row>
    <row r="29" spans="1:26" s="69" customFormat="1" ht="15" hidden="1" customHeight="1" outlineLevel="2" x14ac:dyDescent="0.3">
      <c r="A29" s="21"/>
      <c r="B29" s="9" t="str">
        <f>CONCATENATE("          ","6115"," - ","P.E.R.S.")</f>
        <v xml:space="preserve">          6115 - P.E.R.S.</v>
      </c>
      <c r="C29" s="9"/>
      <c r="D29" s="6">
        <v>1067.81</v>
      </c>
      <c r="E29" s="3"/>
      <c r="F29" s="7">
        <f t="shared" si="0"/>
        <v>-0.19439751534702854</v>
      </c>
      <c r="G29" s="3"/>
      <c r="H29" s="6">
        <v>2186.25</v>
      </c>
      <c r="I29" s="3"/>
      <c r="J29" s="7">
        <f t="shared" si="1"/>
        <v>7.2605391977789133E-2</v>
      </c>
      <c r="K29" s="3"/>
      <c r="L29" s="6">
        <f t="shared" si="2"/>
        <v>-1118.44</v>
      </c>
      <c r="M29" s="3"/>
      <c r="N29" s="7">
        <f t="shared" si="3"/>
        <v>-0.51157918810749003</v>
      </c>
      <c r="O29" s="9"/>
      <c r="P29" s="6">
        <v>16657.169999999998</v>
      </c>
      <c r="Q29" s="3"/>
      <c r="R29" s="7">
        <f t="shared" si="4"/>
        <v>2.9218191532241946E-3</v>
      </c>
      <c r="S29" s="3"/>
      <c r="T29" s="6">
        <v>19742.84</v>
      </c>
      <c r="U29" s="3"/>
      <c r="V29" s="7">
        <f t="shared" si="5"/>
        <v>1.977374082025463E-2</v>
      </c>
      <c r="W29" s="3"/>
      <c r="X29" s="6">
        <f t="shared" si="6"/>
        <v>-3085.6700000000019</v>
      </c>
      <c r="Y29" s="3"/>
      <c r="Z29" s="7">
        <f t="shared" si="7"/>
        <v>-0.15629311689706252</v>
      </c>
    </row>
    <row r="30" spans="1:26" s="69" customFormat="1" ht="15" hidden="1" customHeight="1" outlineLevel="2" x14ac:dyDescent="0.3">
      <c r="A30" s="21"/>
      <c r="B30" s="9" t="str">
        <f>CONCATENATE("          ","6117"," - ","RETIREMENT STAFF HOURLY")</f>
        <v xml:space="preserve">          6117 - RETIREMENT STAFF HOURLY</v>
      </c>
      <c r="C30" s="9"/>
      <c r="D30" s="6">
        <v>444.77</v>
      </c>
      <c r="E30" s="3"/>
      <c r="F30" s="7">
        <f t="shared" si="0"/>
        <v>-8.0971505137522479E-2</v>
      </c>
      <c r="G30" s="3"/>
      <c r="H30" s="6">
        <v>414.95</v>
      </c>
      <c r="I30" s="3"/>
      <c r="J30" s="7">
        <f t="shared" si="1"/>
        <v>1.3780495094881008E-2</v>
      </c>
      <c r="K30" s="3"/>
      <c r="L30" s="6">
        <f t="shared" si="2"/>
        <v>29.819999999999993</v>
      </c>
      <c r="M30" s="3"/>
      <c r="N30" s="7">
        <f t="shared" si="3"/>
        <v>7.1864080009639703E-2</v>
      </c>
      <c r="O30" s="9"/>
      <c r="P30" s="6">
        <v>6156.97</v>
      </c>
      <c r="Q30" s="3"/>
      <c r="R30" s="7">
        <f t="shared" si="4"/>
        <v>1.079988549785274E-3</v>
      </c>
      <c r="S30" s="3"/>
      <c r="T30" s="6">
        <v>6442.62</v>
      </c>
      <c r="U30" s="3"/>
      <c r="V30" s="7">
        <f t="shared" si="5"/>
        <v>6.4527037692342585E-3</v>
      </c>
      <c r="W30" s="3"/>
      <c r="X30" s="6">
        <f t="shared" si="6"/>
        <v>-285.64999999999964</v>
      </c>
      <c r="Y30" s="3"/>
      <c r="Z30" s="7">
        <f t="shared" si="7"/>
        <v>-4.4337552113891496E-2</v>
      </c>
    </row>
    <row r="31" spans="1:26" s="69" customFormat="1" ht="15" hidden="1" customHeight="1" outlineLevel="2" x14ac:dyDescent="0.3">
      <c r="A31" s="21"/>
      <c r="B31" s="9" t="str">
        <f>CONCATENATE("          ","6118"," - ","VACATION")</f>
        <v xml:space="preserve">          6118 - VACATION</v>
      </c>
      <c r="C31" s="9"/>
      <c r="D31" s="6">
        <v>2400.62</v>
      </c>
      <c r="E31" s="3"/>
      <c r="F31" s="7">
        <f t="shared" si="0"/>
        <v>-0.43703895195997755</v>
      </c>
      <c r="G31" s="3"/>
      <c r="H31" s="6">
        <v>2365.8000000000002</v>
      </c>
      <c r="I31" s="3"/>
      <c r="J31" s="7">
        <f t="shared" si="1"/>
        <v>7.8568249898709461E-2</v>
      </c>
      <c r="K31" s="3"/>
      <c r="L31" s="6">
        <f t="shared" si="2"/>
        <v>34.819999999999709</v>
      </c>
      <c r="M31" s="3"/>
      <c r="N31" s="7">
        <f t="shared" si="3"/>
        <v>1.4718065770563744E-2</v>
      </c>
      <c r="O31" s="9"/>
      <c r="P31" s="6">
        <v>33271.9</v>
      </c>
      <c r="Q31" s="3"/>
      <c r="R31" s="7">
        <f t="shared" si="4"/>
        <v>5.8361939443591013E-3</v>
      </c>
      <c r="S31" s="3"/>
      <c r="T31" s="6">
        <v>32470.38</v>
      </c>
      <c r="U31" s="3"/>
      <c r="V31" s="7">
        <f t="shared" si="5"/>
        <v>3.2521201532058182E-2</v>
      </c>
      <c r="W31" s="3"/>
      <c r="X31" s="6">
        <f t="shared" si="6"/>
        <v>801.52000000000044</v>
      </c>
      <c r="Y31" s="3"/>
      <c r="Z31" s="7">
        <f t="shared" si="7"/>
        <v>2.4684651057363678E-2</v>
      </c>
    </row>
    <row r="32" spans="1:26" s="69" customFormat="1" ht="15" hidden="1" customHeight="1" outlineLevel="2" x14ac:dyDescent="0.3">
      <c r="A32" s="21"/>
      <c r="B32" s="9" t="str">
        <f>CONCATENATE("          ","6119"," - ","SICK LEAVE")</f>
        <v xml:space="preserve">          6119 - SICK LEAVE</v>
      </c>
      <c r="C32" s="9"/>
      <c r="D32" s="6">
        <v>1790.48</v>
      </c>
      <c r="E32" s="3"/>
      <c r="F32" s="7">
        <f t="shared" si="0"/>
        <v>-0.32596141942718992</v>
      </c>
      <c r="G32" s="3"/>
      <c r="H32" s="6">
        <v>1562.7</v>
      </c>
      <c r="I32" s="3"/>
      <c r="J32" s="7">
        <f t="shared" si="1"/>
        <v>5.1897288070298954E-2</v>
      </c>
      <c r="K32" s="3"/>
      <c r="L32" s="6">
        <f t="shared" si="2"/>
        <v>227.77999999999997</v>
      </c>
      <c r="M32" s="3"/>
      <c r="N32" s="7">
        <f t="shared" si="3"/>
        <v>0.1457605426505407</v>
      </c>
      <c r="O32" s="9"/>
      <c r="P32" s="6">
        <v>23544.1</v>
      </c>
      <c r="Q32" s="3"/>
      <c r="R32" s="7">
        <f t="shared" si="4"/>
        <v>4.1298493276724539E-3</v>
      </c>
      <c r="S32" s="3"/>
      <c r="T32" s="6">
        <v>20478.03</v>
      </c>
      <c r="U32" s="3"/>
      <c r="V32" s="7">
        <f t="shared" si="5"/>
        <v>2.0510081514584472E-2</v>
      </c>
      <c r="W32" s="3"/>
      <c r="X32" s="6">
        <f t="shared" si="6"/>
        <v>3066.0699999999997</v>
      </c>
      <c r="Y32" s="3"/>
      <c r="Z32" s="7">
        <f t="shared" si="7"/>
        <v>0.14972485146276276</v>
      </c>
    </row>
    <row r="33" spans="1:26" s="69" customFormat="1" ht="15" hidden="1" customHeight="1" outlineLevel="2" x14ac:dyDescent="0.3">
      <c r="A33" s="21"/>
      <c r="B33" s="9" t="str">
        <f>CONCATENATE("          ","6156"," - ","EMPLOYEE MEALS")</f>
        <v xml:space="preserve">          6156 - EMPLOYEE MEALS</v>
      </c>
      <c r="C33" s="9"/>
      <c r="D33" s="6">
        <v>1026.7</v>
      </c>
      <c r="E33" s="3"/>
      <c r="F33" s="7">
        <f t="shared" si="0"/>
        <v>-0.1869133357121531</v>
      </c>
      <c r="G33" s="3"/>
      <c r="H33" s="6">
        <v>939.87</v>
      </c>
      <c r="I33" s="3"/>
      <c r="J33" s="7">
        <f t="shared" si="1"/>
        <v>3.1213095372516719E-2</v>
      </c>
      <c r="K33" s="3"/>
      <c r="L33" s="6">
        <f t="shared" si="2"/>
        <v>86.830000000000041</v>
      </c>
      <c r="M33" s="3"/>
      <c r="N33" s="7">
        <f t="shared" si="3"/>
        <v>9.2385117090661523E-2</v>
      </c>
      <c r="O33" s="9"/>
      <c r="P33" s="6">
        <v>11656.85</v>
      </c>
      <c r="Q33" s="3"/>
      <c r="R33" s="7">
        <f t="shared" si="4"/>
        <v>2.0447175358276021E-3</v>
      </c>
      <c r="S33" s="3"/>
      <c r="T33" s="6">
        <v>9229.1</v>
      </c>
      <c r="U33" s="3"/>
      <c r="V33" s="7">
        <f t="shared" si="5"/>
        <v>9.2435450727560986E-3</v>
      </c>
      <c r="W33" s="3"/>
      <c r="X33" s="6">
        <f t="shared" si="6"/>
        <v>2427.75</v>
      </c>
      <c r="Y33" s="3"/>
      <c r="Z33" s="7">
        <f t="shared" si="7"/>
        <v>0.26305381889891755</v>
      </c>
    </row>
    <row r="34" spans="1:26" s="68" customFormat="1" ht="15" customHeight="1" outlineLevel="1" collapsed="1" x14ac:dyDescent="0.3">
      <c r="A34" s="20"/>
      <c r="B34" s="11" t="str">
        <f>CONCATENATE("     ","*Payroll                                          ")</f>
        <v xml:space="preserve">     *Payroll                                          </v>
      </c>
      <c r="C34" s="11"/>
      <c r="D34" s="2">
        <f>SUM(OSRRefD22_1x_0)</f>
        <v>37790.210000000006</v>
      </c>
      <c r="E34" s="2"/>
      <c r="F34" s="5">
        <f t="shared" si="0"/>
        <v>-6.8798034560852894</v>
      </c>
      <c r="G34" s="2"/>
      <c r="H34" s="2">
        <f>SUM(OSRRefH22_1x_0)</f>
        <v>32534.199999999997</v>
      </c>
      <c r="I34" s="2"/>
      <c r="J34" s="5">
        <f t="shared" si="1"/>
        <v>1.0804612206672555</v>
      </c>
      <c r="K34" s="2"/>
      <c r="L34" s="2">
        <f t="shared" si="2"/>
        <v>5256.0100000000093</v>
      </c>
      <c r="M34" s="2"/>
      <c r="N34" s="5">
        <f t="shared" si="3"/>
        <v>0.16155338075010328</v>
      </c>
      <c r="O34" s="11"/>
      <c r="P34" s="2">
        <f>SUM(OSRRefP22_1x_0)</f>
        <v>1056682.29</v>
      </c>
      <c r="Q34" s="2"/>
      <c r="R34" s="5">
        <f t="shared" si="4"/>
        <v>0.18535168661872356</v>
      </c>
      <c r="S34" s="2"/>
      <c r="T34" s="2">
        <f>SUM(OSRRefT22_1x_0)</f>
        <v>622177.75</v>
      </c>
      <c r="U34" s="2"/>
      <c r="V34" s="5">
        <f t="shared" si="5"/>
        <v>0.62315156140804362</v>
      </c>
      <c r="W34" s="2"/>
      <c r="X34" s="2">
        <f t="shared" si="6"/>
        <v>434504.54000000004</v>
      </c>
      <c r="Y34" s="2"/>
      <c r="Z34" s="5">
        <f t="shared" si="7"/>
        <v>0.69836078194695972</v>
      </c>
    </row>
    <row r="35" spans="1:26" s="69" customFormat="1" ht="15" hidden="1" customHeight="1" outlineLevel="2" x14ac:dyDescent="0.3">
      <c r="A35" s="21"/>
      <c r="B35" s="9" t="str">
        <f>CONCATENATE("          ","6002"," - ","STAFF SALARIES")</f>
        <v xml:space="preserve">          6002 - STAFF SALARIES</v>
      </c>
      <c r="C35" s="9"/>
      <c r="D35" s="6">
        <v>9883.4</v>
      </c>
      <c r="E35" s="3"/>
      <c r="F35" s="7">
        <f t="shared" si="0"/>
        <v>-1.7992980054324474</v>
      </c>
      <c r="G35" s="3"/>
      <c r="H35" s="6">
        <v>14070.96</v>
      </c>
      <c r="I35" s="3"/>
      <c r="J35" s="7">
        <f t="shared" si="1"/>
        <v>0.46729677132248909</v>
      </c>
      <c r="K35" s="3"/>
      <c r="L35" s="6">
        <f t="shared" si="2"/>
        <v>-4187.5599999999995</v>
      </c>
      <c r="M35" s="3"/>
      <c r="N35" s="7">
        <f t="shared" si="3"/>
        <v>-0.29760300647574861</v>
      </c>
      <c r="O35" s="9"/>
      <c r="P35" s="6">
        <v>173144.54</v>
      </c>
      <c r="Q35" s="3"/>
      <c r="R35" s="7">
        <f t="shared" si="4"/>
        <v>3.0371127463320165E-2</v>
      </c>
      <c r="S35" s="3"/>
      <c r="T35" s="6">
        <v>182917.75</v>
      </c>
      <c r="U35" s="3"/>
      <c r="V35" s="7">
        <f t="shared" si="5"/>
        <v>0.18320404662774611</v>
      </c>
      <c r="W35" s="3"/>
      <c r="X35" s="6">
        <f t="shared" si="6"/>
        <v>-9773.2099999999919</v>
      </c>
      <c r="Y35" s="3"/>
      <c r="Z35" s="7">
        <f t="shared" si="7"/>
        <v>-5.3429533219165402E-2</v>
      </c>
    </row>
    <row r="36" spans="1:26" s="69" customFormat="1" ht="15" hidden="1" customHeight="1" outlineLevel="2" x14ac:dyDescent="0.3">
      <c r="A36" s="21"/>
      <c r="B36" s="9" t="str">
        <f>CONCATENATE("          ","6004"," - ","STAFF HOURLY")</f>
        <v xml:space="preserve">          6004 - STAFF HOURLY</v>
      </c>
      <c r="C36" s="9"/>
      <c r="D36" s="6">
        <v>23404.25</v>
      </c>
      <c r="E36" s="3"/>
      <c r="F36" s="7">
        <f t="shared" si="0"/>
        <v>-4.2608029973129042</v>
      </c>
      <c r="G36" s="3"/>
      <c r="H36" s="6">
        <v>14129.25</v>
      </c>
      <c r="I36" s="3"/>
      <c r="J36" s="7">
        <f t="shared" si="1"/>
        <v>0.46923258300842868</v>
      </c>
      <c r="K36" s="3"/>
      <c r="L36" s="6">
        <f t="shared" si="2"/>
        <v>9275</v>
      </c>
      <c r="M36" s="3"/>
      <c r="N36" s="7">
        <f t="shared" si="3"/>
        <v>0.65643965532494652</v>
      </c>
      <c r="O36" s="9"/>
      <c r="P36" s="6">
        <v>340658.59</v>
      </c>
      <c r="Q36" s="3"/>
      <c r="R36" s="7">
        <f t="shared" si="4"/>
        <v>5.9754615758400034E-2</v>
      </c>
      <c r="S36" s="3"/>
      <c r="T36" s="6">
        <v>198765.06</v>
      </c>
      <c r="U36" s="3"/>
      <c r="V36" s="7">
        <f t="shared" si="5"/>
        <v>0.1990761602972197</v>
      </c>
      <c r="W36" s="3"/>
      <c r="X36" s="6">
        <f t="shared" si="6"/>
        <v>141893.53000000003</v>
      </c>
      <c r="Y36" s="3"/>
      <c r="Z36" s="7">
        <f t="shared" si="7"/>
        <v>0.7138756177770883</v>
      </c>
    </row>
    <row r="37" spans="1:26" s="69" customFormat="1" ht="15" hidden="1" customHeight="1" outlineLevel="2" x14ac:dyDescent="0.3">
      <c r="A37" s="21"/>
      <c r="B37" s="9" t="str">
        <f>CONCATENATE("          ","6005"," - ","TEMPORARY WAGES-HOURLY")</f>
        <v xml:space="preserve">          6005 - TEMPORARY WAGES-HOURLY</v>
      </c>
      <c r="C37" s="9"/>
      <c r="D37" s="6">
        <v>3123.34</v>
      </c>
      <c r="E37" s="3"/>
      <c r="F37" s="7">
        <f t="shared" si="0"/>
        <v>-0.56861195866679293</v>
      </c>
      <c r="G37" s="3"/>
      <c r="H37" s="6">
        <v>4305.99</v>
      </c>
      <c r="I37" s="3"/>
      <c r="J37" s="7">
        <f t="shared" si="1"/>
        <v>0.14300198595880628</v>
      </c>
      <c r="K37" s="3"/>
      <c r="L37" s="6">
        <f t="shared" si="2"/>
        <v>-1182.6499999999996</v>
      </c>
      <c r="M37" s="3"/>
      <c r="N37" s="7">
        <f t="shared" si="3"/>
        <v>-0.27465228669829694</v>
      </c>
      <c r="O37" s="9"/>
      <c r="P37" s="6">
        <v>180916.63</v>
      </c>
      <c r="Q37" s="3"/>
      <c r="R37" s="7">
        <f t="shared" si="4"/>
        <v>3.1734422754331922E-2</v>
      </c>
      <c r="S37" s="3"/>
      <c r="T37" s="6">
        <v>110372.98</v>
      </c>
      <c r="U37" s="3"/>
      <c r="V37" s="7">
        <f t="shared" si="5"/>
        <v>0.11054573202635223</v>
      </c>
      <c r="W37" s="3"/>
      <c r="X37" s="6">
        <f t="shared" si="6"/>
        <v>70543.650000000009</v>
      </c>
      <c r="Y37" s="3"/>
      <c r="Z37" s="7">
        <f t="shared" si="7"/>
        <v>0.63913876385325474</v>
      </c>
    </row>
    <row r="38" spans="1:26" s="69" customFormat="1" ht="15" hidden="1" customHeight="1" outlineLevel="2" x14ac:dyDescent="0.3">
      <c r="A38" s="21"/>
      <c r="B38" s="9" t="str">
        <f>CONCATENATE("          ","6006"," - ","TEMPORARY PART TIME")</f>
        <v xml:space="preserve">          6006 - TEMPORARY PART TIME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>
        <v>4022.72</v>
      </c>
      <c r="Q38" s="3"/>
      <c r="R38" s="7">
        <f t="shared" si="4"/>
        <v>7.056216838789562E-4</v>
      </c>
      <c r="S38" s="3"/>
      <c r="T38" s="6">
        <v>2427.2199999999998</v>
      </c>
      <c r="U38" s="3"/>
      <c r="V38" s="7">
        <f t="shared" si="5"/>
        <v>2.4310190020148288E-3</v>
      </c>
      <c r="W38" s="3"/>
      <c r="X38" s="6">
        <f t="shared" si="6"/>
        <v>1595.5</v>
      </c>
      <c r="Y38" s="3"/>
      <c r="Z38" s="7">
        <f t="shared" si="7"/>
        <v>0.65733637659544675</v>
      </c>
    </row>
    <row r="39" spans="1:26" s="69" customFormat="1" ht="15" hidden="1" customHeight="1" outlineLevel="2" x14ac:dyDescent="0.3">
      <c r="A39" s="21"/>
      <c r="B39" s="9" t="str">
        <f>CONCATENATE("          ","6007"," - ","STUDENT HOURLY")</f>
        <v xml:space="preserve">          6007 - STUDENT HOURLY</v>
      </c>
      <c r="C39" s="9"/>
      <c r="D39" s="6">
        <v>735.12</v>
      </c>
      <c r="E39" s="3"/>
      <c r="F39" s="7">
        <f t="shared" si="0"/>
        <v>-0.13383045811699423</v>
      </c>
      <c r="G39" s="3"/>
      <c r="H39" s="6">
        <v>28</v>
      </c>
      <c r="I39" s="3"/>
      <c r="J39" s="7">
        <f t="shared" si="1"/>
        <v>9.2988037753143321E-4</v>
      </c>
      <c r="K39" s="3"/>
      <c r="L39" s="6">
        <f t="shared" si="2"/>
        <v>707.12</v>
      </c>
      <c r="M39" s="3"/>
      <c r="N39" s="7">
        <f t="shared" si="3"/>
        <v>25.254285714285714</v>
      </c>
      <c r="O39" s="9"/>
      <c r="P39" s="6">
        <v>248533.53</v>
      </c>
      <c r="Q39" s="3"/>
      <c r="R39" s="7">
        <f t="shared" si="4"/>
        <v>4.3595042145359628E-2</v>
      </c>
      <c r="S39" s="3"/>
      <c r="T39" s="6">
        <v>117063.86</v>
      </c>
      <c r="U39" s="3"/>
      <c r="V39" s="7">
        <f t="shared" si="5"/>
        <v>0.11724708436367681</v>
      </c>
      <c r="W39" s="3"/>
      <c r="X39" s="6">
        <f t="shared" si="6"/>
        <v>131469.66999999998</v>
      </c>
      <c r="Y39" s="3"/>
      <c r="Z39" s="7">
        <f t="shared" si="7"/>
        <v>1.1230594138959709</v>
      </c>
    </row>
    <row r="40" spans="1:26" s="69" customFormat="1" ht="15" hidden="1" customHeight="1" outlineLevel="2" x14ac:dyDescent="0.3">
      <c r="A40" s="21"/>
      <c r="B40" s="9" t="str">
        <f>CONCATENATE("          ","6008"," - ","STUDENT HOURLY-FICA EXEMPT")</f>
        <v xml:space="preserve">          6008 - STUDENT HOURLY-FICA EXEMPT</v>
      </c>
      <c r="C40" s="9"/>
      <c r="D40" s="6">
        <v>644.1</v>
      </c>
      <c r="E40" s="3"/>
      <c r="F40" s="7">
        <f t="shared" si="0"/>
        <v>-0.11726003655614864</v>
      </c>
      <c r="G40" s="3"/>
      <c r="H40" s="6"/>
      <c r="I40" s="3"/>
      <c r="J40" s="7">
        <f t="shared" si="1"/>
        <v>0</v>
      </c>
      <c r="K40" s="3"/>
      <c r="L40" s="6">
        <f t="shared" si="2"/>
        <v>644.1</v>
      </c>
      <c r="M40" s="3"/>
      <c r="N40" s="7">
        <f t="shared" si="3"/>
        <v>0</v>
      </c>
      <c r="O40" s="9"/>
      <c r="P40" s="6">
        <v>109406.28</v>
      </c>
      <c r="Q40" s="3"/>
      <c r="R40" s="7">
        <f t="shared" si="4"/>
        <v>1.9190856813432845E-2</v>
      </c>
      <c r="S40" s="3"/>
      <c r="T40" s="6">
        <v>10630.88</v>
      </c>
      <c r="U40" s="3"/>
      <c r="V40" s="7">
        <f t="shared" si="5"/>
        <v>1.064751909103394E-2</v>
      </c>
      <c r="W40" s="3"/>
      <c r="X40" s="6">
        <f t="shared" si="6"/>
        <v>98775.4</v>
      </c>
      <c r="Y40" s="3"/>
      <c r="Z40" s="7">
        <f t="shared" si="7"/>
        <v>9.2913662838824251</v>
      </c>
    </row>
    <row r="41" spans="1:26" s="68" customFormat="1" ht="15" customHeight="1" outlineLevel="1" collapsed="1" x14ac:dyDescent="0.3">
      <c r="A41" s="20"/>
      <c r="B41" s="11" t="str">
        <f>CONCATENATE("     ","Advertising/Promo                                 ")</f>
        <v xml:space="preserve">     Advertising/Promo                                 </v>
      </c>
      <c r="C41" s="11"/>
      <c r="D41" s="2">
        <f>SUM(OSRRefD22_2x_0)</f>
        <v>0</v>
      </c>
      <c r="E41" s="2"/>
      <c r="F41" s="5">
        <f t="shared" si="0"/>
        <v>0</v>
      </c>
      <c r="G41" s="2"/>
      <c r="H41" s="2">
        <f>SUM(OSRRefH22_2x_0)</f>
        <v>12.3</v>
      </c>
      <c r="I41" s="2"/>
      <c r="J41" s="5">
        <f t="shared" si="1"/>
        <v>4.0848316584416534E-4</v>
      </c>
      <c r="K41" s="2"/>
      <c r="L41" s="2">
        <f t="shared" si="2"/>
        <v>-12.3</v>
      </c>
      <c r="M41" s="2"/>
      <c r="N41" s="5">
        <f t="shared" si="3"/>
        <v>-1</v>
      </c>
      <c r="O41" s="11"/>
      <c r="P41" s="2">
        <f>SUM(OSRRefP22_2x_0)</f>
        <v>1538.89</v>
      </c>
      <c r="Q41" s="2"/>
      <c r="R41" s="5">
        <f t="shared" si="4"/>
        <v>2.6993530573952128E-4</v>
      </c>
      <c r="S41" s="2"/>
      <c r="T41" s="2">
        <f>SUM(OSRRefT22_2x_0)</f>
        <v>1375.48</v>
      </c>
      <c r="U41" s="2"/>
      <c r="V41" s="5">
        <f t="shared" si="5"/>
        <v>1.3776328544142505E-3</v>
      </c>
      <c r="W41" s="2"/>
      <c r="X41" s="2">
        <f t="shared" si="6"/>
        <v>163.41000000000008</v>
      </c>
      <c r="Y41" s="2"/>
      <c r="Z41" s="5">
        <f t="shared" si="7"/>
        <v>0.11880216360834042</v>
      </c>
    </row>
    <row r="42" spans="1:26" s="69" customFormat="1" ht="15" hidden="1" customHeight="1" outlineLevel="2" x14ac:dyDescent="0.3">
      <c r="A42" s="21"/>
      <c r="B42" s="9" t="str">
        <f>CONCATENATE("          ","6362"," - ","ADVERTISING EXPENSE")</f>
        <v xml:space="preserve">          6362 - ADVERTISING EXPENSE</v>
      </c>
      <c r="C42" s="9"/>
      <c r="D42" s="6"/>
      <c r="E42" s="3"/>
      <c r="F42" s="7">
        <f t="shared" si="0"/>
        <v>0</v>
      </c>
      <c r="G42" s="3"/>
      <c r="H42" s="6">
        <v>12.3</v>
      </c>
      <c r="I42" s="3"/>
      <c r="J42" s="7">
        <f t="shared" si="1"/>
        <v>4.0848316584416534E-4</v>
      </c>
      <c r="K42" s="3"/>
      <c r="L42" s="6">
        <f t="shared" si="2"/>
        <v>-12.3</v>
      </c>
      <c r="M42" s="3"/>
      <c r="N42" s="7">
        <f t="shared" si="3"/>
        <v>-1</v>
      </c>
      <c r="O42" s="9"/>
      <c r="P42" s="6">
        <v>1538.89</v>
      </c>
      <c r="Q42" s="3"/>
      <c r="R42" s="7">
        <f t="shared" si="4"/>
        <v>2.6993530573952128E-4</v>
      </c>
      <c r="S42" s="3"/>
      <c r="T42" s="6">
        <v>1375.48</v>
      </c>
      <c r="U42" s="3"/>
      <c r="V42" s="7">
        <f t="shared" si="5"/>
        <v>1.3776328544142505E-3</v>
      </c>
      <c r="W42" s="3"/>
      <c r="X42" s="6">
        <f t="shared" si="6"/>
        <v>163.41000000000008</v>
      </c>
      <c r="Y42" s="3"/>
      <c r="Z42" s="7">
        <f t="shared" si="7"/>
        <v>0.11880216360834042</v>
      </c>
    </row>
    <row r="43" spans="1:26" s="68" customFormat="1" ht="15" customHeight="1" outlineLevel="1" collapsed="1" x14ac:dyDescent="0.3">
      <c r="A43" s="20"/>
      <c r="B43" s="11" t="str">
        <f>CONCATENATE("     ","Bad Debts/Over/Short                              ")</f>
        <v xml:space="preserve">     Bad Debts/Over/Short                              </v>
      </c>
      <c r="C43" s="11"/>
      <c r="D43" s="2">
        <f>SUM(OSRRefD22_3x_0)</f>
        <v>4.24</v>
      </c>
      <c r="E43" s="2"/>
      <c r="F43" s="5">
        <f t="shared" si="0"/>
        <v>-7.7190274025472794E-4</v>
      </c>
      <c r="G43" s="2"/>
      <c r="H43" s="2">
        <f>SUM(OSRRefH22_3x_0)</f>
        <v>-0.02</v>
      </c>
      <c r="I43" s="2"/>
      <c r="J43" s="5">
        <f t="shared" si="1"/>
        <v>-6.6420026966530949E-7</v>
      </c>
      <c r="K43" s="2"/>
      <c r="L43" s="2">
        <f t="shared" si="2"/>
        <v>4.26</v>
      </c>
      <c r="M43" s="2"/>
      <c r="N43" s="5">
        <f t="shared" si="3"/>
        <v>-212.99999999999997</v>
      </c>
      <c r="O43" s="11"/>
      <c r="P43" s="2">
        <f>SUM(OSRRefP22_3x_0)</f>
        <v>4.24</v>
      </c>
      <c r="Q43" s="2"/>
      <c r="R43" s="5">
        <f t="shared" si="4"/>
        <v>7.4373457253966832E-7</v>
      </c>
      <c r="S43" s="2"/>
      <c r="T43" s="2">
        <f>SUM(OSRRefT22_3x_0)</f>
        <v>23.78</v>
      </c>
      <c r="U43" s="2"/>
      <c r="V43" s="5">
        <f t="shared" si="5"/>
        <v>2.3817219645484393E-5</v>
      </c>
      <c r="W43" s="2"/>
      <c r="X43" s="2">
        <f t="shared" si="6"/>
        <v>-19.54</v>
      </c>
      <c r="Y43" s="2"/>
      <c r="Z43" s="5">
        <f t="shared" si="7"/>
        <v>-0.82169890664423884</v>
      </c>
    </row>
    <row r="44" spans="1:26" s="69" customFormat="1" ht="15" hidden="1" customHeight="1" outlineLevel="2" x14ac:dyDescent="0.3">
      <c r="A44" s="21"/>
      <c r="B44" s="9" t="str">
        <f>CONCATENATE("          ","6272"," - ","CASH (OVER/SHORT)")</f>
        <v xml:space="preserve">          6272 - CASH (OVER/SHORT)</v>
      </c>
      <c r="C44" s="9"/>
      <c r="D44" s="6">
        <v>4.24</v>
      </c>
      <c r="E44" s="3"/>
      <c r="F44" s="7">
        <f t="shared" si="0"/>
        <v>-7.7190274025472794E-4</v>
      </c>
      <c r="G44" s="3"/>
      <c r="H44" s="6">
        <v>-0.02</v>
      </c>
      <c r="I44" s="3"/>
      <c r="J44" s="7">
        <f t="shared" si="1"/>
        <v>-6.6420026966530949E-7</v>
      </c>
      <c r="K44" s="3"/>
      <c r="L44" s="6">
        <f t="shared" si="2"/>
        <v>4.26</v>
      </c>
      <c r="M44" s="3"/>
      <c r="N44" s="7">
        <f t="shared" si="3"/>
        <v>-212.99999999999997</v>
      </c>
      <c r="O44" s="9"/>
      <c r="P44" s="6">
        <v>4.24</v>
      </c>
      <c r="Q44" s="3"/>
      <c r="R44" s="7">
        <f t="shared" si="4"/>
        <v>7.4373457253966832E-7</v>
      </c>
      <c r="S44" s="3"/>
      <c r="T44" s="6">
        <v>23.78</v>
      </c>
      <c r="U44" s="3"/>
      <c r="V44" s="7">
        <f t="shared" si="5"/>
        <v>2.3817219645484393E-5</v>
      </c>
      <c r="W44" s="3"/>
      <c r="X44" s="6">
        <f t="shared" si="6"/>
        <v>-19.54</v>
      </c>
      <c r="Y44" s="3"/>
      <c r="Z44" s="7">
        <f t="shared" si="7"/>
        <v>-0.82169890664423884</v>
      </c>
    </row>
    <row r="45" spans="1:26" s="68" customFormat="1" ht="15" customHeight="1" outlineLevel="1" collapsed="1" x14ac:dyDescent="0.3">
      <c r="A45" s="20"/>
      <c r="B45" s="11" t="str">
        <f>CONCATENATE("     ","Bank/card Fees                                    ")</f>
        <v xml:space="preserve">     Bank/card Fees                                    </v>
      </c>
      <c r="C45" s="11"/>
      <c r="D45" s="2">
        <f>SUM(OSRRefD22_4x_0)</f>
        <v>42.7</v>
      </c>
      <c r="E45" s="2"/>
      <c r="F45" s="5">
        <f t="shared" si="0"/>
        <v>-7.7736431624709631E-3</v>
      </c>
      <c r="G45" s="2"/>
      <c r="H45" s="2">
        <f>SUM(OSRRefH22_4x_0)</f>
        <v>0</v>
      </c>
      <c r="I45" s="2"/>
      <c r="J45" s="5">
        <f t="shared" si="1"/>
        <v>0</v>
      </c>
      <c r="K45" s="2"/>
      <c r="L45" s="2">
        <f t="shared" si="2"/>
        <v>42.7</v>
      </c>
      <c r="M45" s="2"/>
      <c r="N45" s="5">
        <f t="shared" si="3"/>
        <v>0</v>
      </c>
      <c r="O45" s="11"/>
      <c r="P45" s="2">
        <f>SUM(OSRRefP22_4x_0)</f>
        <v>653.66</v>
      </c>
      <c r="Q45" s="2"/>
      <c r="R45" s="5">
        <f t="shared" si="4"/>
        <v>1.1465791053921687E-4</v>
      </c>
      <c r="S45" s="2"/>
      <c r="T45" s="2">
        <f>SUM(OSRRefT22_4x_0)</f>
        <v>423.53</v>
      </c>
      <c r="U45" s="2"/>
      <c r="V45" s="5">
        <f t="shared" si="5"/>
        <v>4.2419289472043754E-4</v>
      </c>
      <c r="W45" s="2"/>
      <c r="X45" s="2">
        <f t="shared" si="6"/>
        <v>230.13</v>
      </c>
      <c r="Y45" s="2"/>
      <c r="Z45" s="5">
        <f t="shared" si="7"/>
        <v>0.54336174533090931</v>
      </c>
    </row>
    <row r="46" spans="1:26" s="69" customFormat="1" ht="15" hidden="1" customHeight="1" outlineLevel="2" x14ac:dyDescent="0.3">
      <c r="A46" s="21"/>
      <c r="B46" s="9" t="str">
        <f>CONCATENATE("          ","6381"," - ","BANK/CREDIT CARD FEES")</f>
        <v xml:space="preserve">          6381 - BANK/CREDIT CARD FEES</v>
      </c>
      <c r="C46" s="9"/>
      <c r="D46" s="6">
        <v>42.7</v>
      </c>
      <c r="E46" s="3"/>
      <c r="F46" s="7">
        <f t="shared" si="0"/>
        <v>-7.7736431624709631E-3</v>
      </c>
      <c r="G46" s="3"/>
      <c r="H46" s="6"/>
      <c r="I46" s="3"/>
      <c r="J46" s="7">
        <f t="shared" si="1"/>
        <v>0</v>
      </c>
      <c r="K46" s="3"/>
      <c r="L46" s="6">
        <f t="shared" si="2"/>
        <v>42.7</v>
      </c>
      <c r="M46" s="3"/>
      <c r="N46" s="7">
        <f t="shared" si="3"/>
        <v>0</v>
      </c>
      <c r="O46" s="9"/>
      <c r="P46" s="6">
        <v>653.66</v>
      </c>
      <c r="Q46" s="3"/>
      <c r="R46" s="7">
        <f t="shared" si="4"/>
        <v>1.1465791053921687E-4</v>
      </c>
      <c r="S46" s="3"/>
      <c r="T46" s="6">
        <v>423.53</v>
      </c>
      <c r="U46" s="3"/>
      <c r="V46" s="7">
        <f t="shared" si="5"/>
        <v>4.2419289472043754E-4</v>
      </c>
      <c r="W46" s="3"/>
      <c r="X46" s="6">
        <f t="shared" si="6"/>
        <v>230.13</v>
      </c>
      <c r="Y46" s="3"/>
      <c r="Z46" s="7">
        <f t="shared" si="7"/>
        <v>0.54336174533090931</v>
      </c>
    </row>
    <row r="47" spans="1:26" s="68" customFormat="1" ht="15" customHeight="1" outlineLevel="1" collapsed="1" x14ac:dyDescent="0.3">
      <c r="A47" s="20"/>
      <c r="B47" s="11" t="str">
        <f>CONCATENATE("     ","Depreciation                                      ")</f>
        <v xml:space="preserve">     Depreciation                                      </v>
      </c>
      <c r="C47" s="11"/>
      <c r="D47" s="2">
        <f>SUM(OSRRefD22_5x_0)</f>
        <v>273.52999999999997</v>
      </c>
      <c r="E47" s="2"/>
      <c r="F47" s="5">
        <f t="shared" si="0"/>
        <v>-4.9796829373083891E-2</v>
      </c>
      <c r="G47" s="2"/>
      <c r="H47" s="2">
        <f>SUM(OSRRefH22_5x_0)</f>
        <v>272.70999999999998</v>
      </c>
      <c r="I47" s="2"/>
      <c r="J47" s="5">
        <f t="shared" si="1"/>
        <v>9.0567027770213256E-3</v>
      </c>
      <c r="K47" s="2"/>
      <c r="L47" s="2">
        <f t="shared" si="2"/>
        <v>0.81999999999999318</v>
      </c>
      <c r="M47" s="2"/>
      <c r="N47" s="5">
        <f t="shared" si="3"/>
        <v>3.0068571009497021E-3</v>
      </c>
      <c r="O47" s="11"/>
      <c r="P47" s="2">
        <f>SUM(OSRRefP22_5x_0)</f>
        <v>3282.14</v>
      </c>
      <c r="Q47" s="2"/>
      <c r="R47" s="5">
        <f t="shared" si="4"/>
        <v>5.7571721460267613E-4</v>
      </c>
      <c r="S47" s="2"/>
      <c r="T47" s="2">
        <f>SUM(OSRRefT22_5x_0)</f>
        <v>3008.63</v>
      </c>
      <c r="U47" s="2"/>
      <c r="V47" s="5">
        <f t="shared" si="5"/>
        <v>3.0133390051300972E-3</v>
      </c>
      <c r="W47" s="2"/>
      <c r="X47" s="2">
        <f t="shared" si="6"/>
        <v>273.50999999999976</v>
      </c>
      <c r="Y47" s="2"/>
      <c r="Z47" s="5">
        <f t="shared" si="7"/>
        <v>9.0908486586918219E-2</v>
      </c>
    </row>
    <row r="48" spans="1:26" s="69" customFormat="1" ht="15" hidden="1" customHeight="1" outlineLevel="2" x14ac:dyDescent="0.3">
      <c r="A48" s="21"/>
      <c r="B48" s="9" t="str">
        <f>CONCATENATE("          ","6322"," - ","EQUIPMENT DEPRECIATION EXPENSE")</f>
        <v xml:space="preserve">          6322 - EQUIPMENT DEPRECIATION EXPENSE</v>
      </c>
      <c r="C48" s="9"/>
      <c r="D48" s="6">
        <v>273.52999999999997</v>
      </c>
      <c r="E48" s="3"/>
      <c r="F48" s="7">
        <f t="shared" si="0"/>
        <v>-4.9796829373083891E-2</v>
      </c>
      <c r="G48" s="3"/>
      <c r="H48" s="6">
        <v>272.70999999999998</v>
      </c>
      <c r="I48" s="3"/>
      <c r="J48" s="7">
        <f t="shared" si="1"/>
        <v>9.0567027770213256E-3</v>
      </c>
      <c r="K48" s="3"/>
      <c r="L48" s="6">
        <f t="shared" si="2"/>
        <v>0.81999999999999318</v>
      </c>
      <c r="M48" s="3"/>
      <c r="N48" s="7">
        <f t="shared" si="3"/>
        <v>3.0068571009497021E-3</v>
      </c>
      <c r="O48" s="9"/>
      <c r="P48" s="6">
        <v>3282.14</v>
      </c>
      <c r="Q48" s="3"/>
      <c r="R48" s="7">
        <f t="shared" si="4"/>
        <v>5.7571721460267613E-4</v>
      </c>
      <c r="S48" s="3"/>
      <c r="T48" s="6">
        <v>3008.63</v>
      </c>
      <c r="U48" s="3"/>
      <c r="V48" s="7">
        <f t="shared" si="5"/>
        <v>3.0133390051300972E-3</v>
      </c>
      <c r="W48" s="3"/>
      <c r="X48" s="6">
        <f t="shared" si="6"/>
        <v>273.50999999999976</v>
      </c>
      <c r="Y48" s="3"/>
      <c r="Z48" s="7">
        <f t="shared" si="7"/>
        <v>9.0908486586918219E-2</v>
      </c>
    </row>
    <row r="49" spans="1:26" s="68" customFormat="1" ht="15" customHeight="1" outlineLevel="1" collapsed="1" x14ac:dyDescent="0.3">
      <c r="A49" s="20"/>
      <c r="B49" s="11" t="str">
        <f>CONCATENATE("     ","Donations                                         ")</f>
        <v xml:space="preserve">     Donations                                         </v>
      </c>
      <c r="C49" s="11"/>
      <c r="D49" s="2">
        <f>SUM(OSRRefD22_6x_0)</f>
        <v>337.65</v>
      </c>
      <c r="E49" s="2"/>
      <c r="F49" s="5">
        <f t="shared" si="0"/>
        <v>-6.1470037794105863E-2</v>
      </c>
      <c r="G49" s="2"/>
      <c r="H49" s="2">
        <f>SUM(OSRRefH22_6x_0)</f>
        <v>0</v>
      </c>
      <c r="I49" s="2"/>
      <c r="J49" s="5">
        <f t="shared" si="1"/>
        <v>0</v>
      </c>
      <c r="K49" s="2"/>
      <c r="L49" s="2">
        <f t="shared" si="2"/>
        <v>337.65</v>
      </c>
      <c r="M49" s="2"/>
      <c r="N49" s="5">
        <f t="shared" si="3"/>
        <v>0</v>
      </c>
      <c r="O49" s="11"/>
      <c r="P49" s="2">
        <f>SUM(OSRRefP22_6x_0)</f>
        <v>23259.51</v>
      </c>
      <c r="Q49" s="2"/>
      <c r="R49" s="5">
        <f t="shared" si="4"/>
        <v>4.0799296526726741E-3</v>
      </c>
      <c r="S49" s="2"/>
      <c r="T49" s="2">
        <f>SUM(OSRRefT22_6x_0)</f>
        <v>61909.05</v>
      </c>
      <c r="U49" s="2"/>
      <c r="V49" s="5">
        <f t="shared" si="5"/>
        <v>6.2005947934956923E-2</v>
      </c>
      <c r="W49" s="2"/>
      <c r="X49" s="2">
        <f t="shared" si="6"/>
        <v>-38649.540000000008</v>
      </c>
      <c r="Y49" s="2"/>
      <c r="Z49" s="5">
        <f t="shared" si="7"/>
        <v>-0.6242954786093472</v>
      </c>
    </row>
    <row r="50" spans="1:26" s="69" customFormat="1" ht="15" hidden="1" customHeight="1" outlineLevel="2" x14ac:dyDescent="0.3">
      <c r="A50" s="21"/>
      <c r="B50" s="9" t="str">
        <f>CONCATENATE("          ","6399"," - ","DONATION-ON CAMPUS")</f>
        <v xml:space="preserve">          6399 - DONATION-ON CAMPUS</v>
      </c>
      <c r="C50" s="9"/>
      <c r="D50" s="6">
        <v>337.65</v>
      </c>
      <c r="E50" s="3"/>
      <c r="F50" s="7">
        <f t="shared" si="0"/>
        <v>-6.1470037794105863E-2</v>
      </c>
      <c r="G50" s="3"/>
      <c r="H50" s="6"/>
      <c r="I50" s="3"/>
      <c r="J50" s="7">
        <f t="shared" si="1"/>
        <v>0</v>
      </c>
      <c r="K50" s="3"/>
      <c r="L50" s="6">
        <f t="shared" si="2"/>
        <v>337.65</v>
      </c>
      <c r="M50" s="3"/>
      <c r="N50" s="7">
        <f t="shared" si="3"/>
        <v>0</v>
      </c>
      <c r="O50" s="9"/>
      <c r="P50" s="6">
        <v>23259.51</v>
      </c>
      <c r="Q50" s="3"/>
      <c r="R50" s="7">
        <f t="shared" si="4"/>
        <v>4.0799296526726741E-3</v>
      </c>
      <c r="S50" s="3"/>
      <c r="T50" s="6">
        <v>61909.05</v>
      </c>
      <c r="U50" s="3"/>
      <c r="V50" s="7">
        <f t="shared" si="5"/>
        <v>6.2005947934956923E-2</v>
      </c>
      <c r="W50" s="3"/>
      <c r="X50" s="6">
        <f t="shared" si="6"/>
        <v>-38649.540000000008</v>
      </c>
      <c r="Y50" s="3"/>
      <c r="Z50" s="7">
        <f t="shared" si="7"/>
        <v>-0.6242954786093472</v>
      </c>
    </row>
    <row r="51" spans="1:26" s="68" customFormat="1" ht="15" customHeight="1" outlineLevel="1" collapsed="1" x14ac:dyDescent="0.3">
      <c r="A51" s="20"/>
      <c r="B51" s="11" t="str">
        <f>CONCATENATE("     ","Employees' Appreciation                           ")</f>
        <v xml:space="preserve">     Employees' Appreciation                           </v>
      </c>
      <c r="C51" s="11"/>
      <c r="D51" s="2">
        <f>SUM(OSRRefD22_7x_0)</f>
        <v>0</v>
      </c>
      <c r="E51" s="2"/>
      <c r="F51" s="5">
        <f t="shared" si="0"/>
        <v>0</v>
      </c>
      <c r="G51" s="2"/>
      <c r="H51" s="2">
        <f>SUM(OSRRefH22_7x_0)</f>
        <v>25</v>
      </c>
      <c r="I51" s="2"/>
      <c r="J51" s="5">
        <f t="shared" si="1"/>
        <v>8.3025033708163684E-4</v>
      </c>
      <c r="K51" s="2"/>
      <c r="L51" s="2">
        <f t="shared" si="2"/>
        <v>-25</v>
      </c>
      <c r="M51" s="2"/>
      <c r="N51" s="5">
        <f t="shared" si="3"/>
        <v>-1</v>
      </c>
      <c r="O51" s="11"/>
      <c r="P51" s="2">
        <f>SUM(OSRRefP22_7x_0)</f>
        <v>200.77</v>
      </c>
      <c r="Q51" s="2"/>
      <c r="R51" s="5">
        <f t="shared" si="4"/>
        <v>3.521688446433708E-5</v>
      </c>
      <c r="S51" s="2"/>
      <c r="T51" s="2">
        <f>SUM(OSRRefT22_7x_0)</f>
        <v>25</v>
      </c>
      <c r="U51" s="2"/>
      <c r="V51" s="5">
        <f t="shared" si="5"/>
        <v>2.503912914790201E-5</v>
      </c>
      <c r="W51" s="2"/>
      <c r="X51" s="2">
        <f t="shared" si="6"/>
        <v>175.77</v>
      </c>
      <c r="Y51" s="2"/>
      <c r="Z51" s="5">
        <f t="shared" si="7"/>
        <v>7.0308000000000002</v>
      </c>
    </row>
    <row r="52" spans="1:26" s="69" customFormat="1" ht="15" hidden="1" customHeight="1" outlineLevel="2" x14ac:dyDescent="0.3">
      <c r="A52" s="21"/>
      <c r="B52" s="9" t="str">
        <f>CONCATENATE("          ","6277"," - ","EMPLOYEE APPRECIATION")</f>
        <v xml:space="preserve">          6277 - EMPLOYEE APPRECIATION</v>
      </c>
      <c r="C52" s="9"/>
      <c r="D52" s="6"/>
      <c r="E52" s="3"/>
      <c r="F52" s="7">
        <f t="shared" si="0"/>
        <v>0</v>
      </c>
      <c r="G52" s="3"/>
      <c r="H52" s="6">
        <v>25</v>
      </c>
      <c r="I52" s="3"/>
      <c r="J52" s="7">
        <f t="shared" si="1"/>
        <v>8.3025033708163684E-4</v>
      </c>
      <c r="K52" s="3"/>
      <c r="L52" s="6">
        <f t="shared" si="2"/>
        <v>-25</v>
      </c>
      <c r="M52" s="3"/>
      <c r="N52" s="7">
        <f t="shared" si="3"/>
        <v>-1</v>
      </c>
      <c r="O52" s="9"/>
      <c r="P52" s="6">
        <v>200.77</v>
      </c>
      <c r="Q52" s="3"/>
      <c r="R52" s="7">
        <f t="shared" si="4"/>
        <v>3.521688446433708E-5</v>
      </c>
      <c r="S52" s="3"/>
      <c r="T52" s="6">
        <v>25</v>
      </c>
      <c r="U52" s="3"/>
      <c r="V52" s="7">
        <f t="shared" si="5"/>
        <v>2.503912914790201E-5</v>
      </c>
      <c r="W52" s="3"/>
      <c r="X52" s="6">
        <f t="shared" si="6"/>
        <v>175.77</v>
      </c>
      <c r="Y52" s="3"/>
      <c r="Z52" s="7">
        <f t="shared" si="7"/>
        <v>7.0308000000000002</v>
      </c>
    </row>
    <row r="53" spans="1:26" s="68" customFormat="1" ht="15" customHeight="1" outlineLevel="1" collapsed="1" x14ac:dyDescent="0.3">
      <c r="A53" s="20"/>
      <c r="B53" s="11" t="str">
        <f>CONCATENATE("     ","Equipment Rental                                  ")</f>
        <v xml:space="preserve">     Equipment Rental                                  </v>
      </c>
      <c r="C53" s="11"/>
      <c r="D53" s="2">
        <f>SUM(OSRRefD22_8x_0)</f>
        <v>7.08</v>
      </c>
      <c r="E53" s="2"/>
      <c r="F53" s="5">
        <f t="shared" si="0"/>
        <v>-1.2889319341989325E-3</v>
      </c>
      <c r="G53" s="2"/>
      <c r="H53" s="2">
        <f>SUM(OSRRefH22_8x_0)</f>
        <v>497.28</v>
      </c>
      <c r="I53" s="2"/>
      <c r="J53" s="5">
        <f t="shared" si="1"/>
        <v>1.6514675504958252E-2</v>
      </c>
      <c r="K53" s="2"/>
      <c r="L53" s="2">
        <f t="shared" si="2"/>
        <v>-490.2</v>
      </c>
      <c r="M53" s="2"/>
      <c r="N53" s="5">
        <f t="shared" si="3"/>
        <v>-0.98576254826254828</v>
      </c>
      <c r="O53" s="11"/>
      <c r="P53" s="2">
        <f>SUM(OSRRefP22_8x_0)</f>
        <v>3631.56</v>
      </c>
      <c r="Q53" s="2"/>
      <c r="R53" s="5">
        <f t="shared" si="4"/>
        <v>6.3700866138022587E-4</v>
      </c>
      <c r="S53" s="2"/>
      <c r="T53" s="2">
        <f>SUM(OSRRefT22_8x_0)</f>
        <v>4072.13</v>
      </c>
      <c r="U53" s="2"/>
      <c r="V53" s="5">
        <f t="shared" si="5"/>
        <v>4.0785035590818492E-3</v>
      </c>
      <c r="W53" s="2"/>
      <c r="X53" s="2">
        <f t="shared" si="6"/>
        <v>-440.57000000000016</v>
      </c>
      <c r="Y53" s="2"/>
      <c r="Z53" s="5">
        <f t="shared" si="7"/>
        <v>-0.10819153612482905</v>
      </c>
    </row>
    <row r="54" spans="1:26" s="69" customFormat="1" ht="15" hidden="1" customHeight="1" outlineLevel="2" x14ac:dyDescent="0.3">
      <c r="A54" s="21"/>
      <c r="B54" s="9" t="str">
        <f>CONCATENATE("          ","6351"," - ","EQUIPMENT RENTAL")</f>
        <v xml:space="preserve">          6351 - EQUIPMENT RENTAL</v>
      </c>
      <c r="C54" s="9"/>
      <c r="D54" s="6">
        <v>7.08</v>
      </c>
      <c r="E54" s="3"/>
      <c r="F54" s="7">
        <f t="shared" si="0"/>
        <v>-1.2889319341989325E-3</v>
      </c>
      <c r="G54" s="3"/>
      <c r="H54" s="6">
        <v>497.28</v>
      </c>
      <c r="I54" s="3"/>
      <c r="J54" s="7">
        <f t="shared" si="1"/>
        <v>1.6514675504958252E-2</v>
      </c>
      <c r="K54" s="3"/>
      <c r="L54" s="6">
        <f t="shared" si="2"/>
        <v>-490.2</v>
      </c>
      <c r="M54" s="3"/>
      <c r="N54" s="7">
        <f t="shared" si="3"/>
        <v>-0.98576254826254828</v>
      </c>
      <c r="O54" s="9"/>
      <c r="P54" s="6">
        <v>3631.56</v>
      </c>
      <c r="Q54" s="3"/>
      <c r="R54" s="7">
        <f t="shared" si="4"/>
        <v>6.3700866138022587E-4</v>
      </c>
      <c r="S54" s="3"/>
      <c r="T54" s="6">
        <v>4072.13</v>
      </c>
      <c r="U54" s="3"/>
      <c r="V54" s="7">
        <f t="shared" si="5"/>
        <v>4.0785035590818492E-3</v>
      </c>
      <c r="W54" s="3"/>
      <c r="X54" s="6">
        <f t="shared" si="6"/>
        <v>-440.57000000000016</v>
      </c>
      <c r="Y54" s="3"/>
      <c r="Z54" s="7">
        <f t="shared" si="7"/>
        <v>-0.10819153612482905</v>
      </c>
    </row>
    <row r="55" spans="1:26" s="68" customFormat="1" ht="15" customHeight="1" outlineLevel="1" collapsed="1" x14ac:dyDescent="0.3">
      <c r="A55" s="20"/>
      <c r="B55" s="11" t="str">
        <f>CONCATENATE("     ","General                                           ")</f>
        <v xml:space="preserve">     General                                           </v>
      </c>
      <c r="C55" s="11"/>
      <c r="D55" s="2">
        <f>SUM(OSRRefD22_9x_0)</f>
        <v>78.97</v>
      </c>
      <c r="E55" s="2"/>
      <c r="F55" s="5">
        <f t="shared" ref="F55:F83" si="8">IF(D$12=0,0,D55/D$12)</f>
        <v>-1.4376688537244307E-2</v>
      </c>
      <c r="G55" s="2"/>
      <c r="H55" s="2">
        <f>SUM(OSRRefH22_9x_0)</f>
        <v>2520</v>
      </c>
      <c r="I55" s="2"/>
      <c r="J55" s="5">
        <f t="shared" ref="J55:J83" si="9">IF(H$12=0,0,H55/H$12)</f>
        <v>8.3689233977828986E-2</v>
      </c>
      <c r="K55" s="2"/>
      <c r="L55" s="2">
        <f t="shared" ref="L55:L83" si="10">+D55-H55</f>
        <v>-2441.0300000000002</v>
      </c>
      <c r="M55" s="2"/>
      <c r="N55" s="5">
        <f t="shared" ref="N55:N83" si="11">IF(H55=0,0,L55/H55)</f>
        <v>-0.96866269841269848</v>
      </c>
      <c r="O55" s="11"/>
      <c r="P55" s="2">
        <f>SUM(OSRRefP22_9x_0)</f>
        <v>4139.59</v>
      </c>
      <c r="Q55" s="2"/>
      <c r="R55" s="5">
        <f t="shared" ref="R55:R83" si="12">IF(P$12=0,0,P55/P$12)</f>
        <v>7.2612174508006734E-4</v>
      </c>
      <c r="S55" s="2"/>
      <c r="T55" s="2">
        <f>SUM(OSRRefT22_9x_0)</f>
        <v>4408.78</v>
      </c>
      <c r="U55" s="2"/>
      <c r="V55" s="5">
        <f t="shared" ref="V55:V83" si="13">IF(T$12=0,0,T55/T$12)</f>
        <v>4.4156804721874974E-3</v>
      </c>
      <c r="W55" s="2"/>
      <c r="X55" s="2">
        <f t="shared" ref="X55:X83" si="14">+P55-T55</f>
        <v>-269.1899999999996</v>
      </c>
      <c r="Y55" s="2"/>
      <c r="Z55" s="5">
        <f t="shared" ref="Z55:Z83" si="15">IF(T55=0,0,X55/T55)</f>
        <v>-6.1057707574430936E-2</v>
      </c>
    </row>
    <row r="56" spans="1:26" s="69" customFormat="1" ht="15" hidden="1" customHeight="1" outlineLevel="2" x14ac:dyDescent="0.3">
      <c r="A56" s="21"/>
      <c r="B56" s="9" t="str">
        <f>CONCATENATE("          ","6279"," - ","GENERAL EXPENSE")</f>
        <v xml:space="preserve">          6279 - GENERAL EXPENSE</v>
      </c>
      <c r="C56" s="9"/>
      <c r="D56" s="6">
        <v>78.97</v>
      </c>
      <c r="E56" s="3"/>
      <c r="F56" s="7">
        <f t="shared" si="8"/>
        <v>-1.4376688537244307E-2</v>
      </c>
      <c r="G56" s="3"/>
      <c r="H56" s="6">
        <v>2520</v>
      </c>
      <c r="I56" s="3"/>
      <c r="J56" s="7">
        <f t="shared" si="9"/>
        <v>8.3689233977828986E-2</v>
      </c>
      <c r="K56" s="3"/>
      <c r="L56" s="6">
        <f t="shared" si="10"/>
        <v>-2441.0300000000002</v>
      </c>
      <c r="M56" s="3"/>
      <c r="N56" s="7">
        <f t="shared" si="11"/>
        <v>-0.96866269841269848</v>
      </c>
      <c r="O56" s="9"/>
      <c r="P56" s="6">
        <v>4139.59</v>
      </c>
      <c r="Q56" s="3"/>
      <c r="R56" s="7">
        <f t="shared" si="12"/>
        <v>7.2612174508006734E-4</v>
      </c>
      <c r="S56" s="3"/>
      <c r="T56" s="6">
        <v>4408.78</v>
      </c>
      <c r="U56" s="3"/>
      <c r="V56" s="7">
        <f t="shared" si="13"/>
        <v>4.4156804721874974E-3</v>
      </c>
      <c r="W56" s="3"/>
      <c r="X56" s="6">
        <f t="shared" si="14"/>
        <v>-269.1899999999996</v>
      </c>
      <c r="Y56" s="3"/>
      <c r="Z56" s="7">
        <f t="shared" si="15"/>
        <v>-6.1057707574430936E-2</v>
      </c>
    </row>
    <row r="57" spans="1:26" s="68" customFormat="1" ht="15" customHeight="1" outlineLevel="1" collapsed="1" x14ac:dyDescent="0.3">
      <c r="A57" s="20"/>
      <c r="B57" s="11" t="str">
        <f>CONCATENATE("     ","R/H Commissions                                   ")</f>
        <v xml:space="preserve">     R/H Commissions                                   </v>
      </c>
      <c r="C57" s="11"/>
      <c r="D57" s="2">
        <f>SUM(OSRRefD22_10x_0)</f>
        <v>-393.78</v>
      </c>
      <c r="E57" s="2"/>
      <c r="F57" s="5">
        <f t="shared" si="8"/>
        <v>7.1688646475827053E-2</v>
      </c>
      <c r="G57" s="2"/>
      <c r="H57" s="2">
        <f>SUM(OSRRefH22_10x_0)</f>
        <v>2207.92</v>
      </c>
      <c r="I57" s="2"/>
      <c r="J57" s="5">
        <f t="shared" si="9"/>
        <v>7.3325052969971508E-2</v>
      </c>
      <c r="K57" s="2"/>
      <c r="L57" s="2">
        <f t="shared" si="10"/>
        <v>-2601.6999999999998</v>
      </c>
      <c r="M57" s="2"/>
      <c r="N57" s="5">
        <f t="shared" si="11"/>
        <v>-1.1783488532193194</v>
      </c>
      <c r="O57" s="11"/>
      <c r="P57" s="2">
        <f>SUM(OSRRefP22_10x_0)</f>
        <v>450668.86</v>
      </c>
      <c r="Q57" s="2"/>
      <c r="R57" s="5">
        <f t="shared" si="12"/>
        <v>7.9051417912509345E-2</v>
      </c>
      <c r="S57" s="2"/>
      <c r="T57" s="2">
        <f>SUM(OSRRefT22_10x_0)</f>
        <v>69709.039999999994</v>
      </c>
      <c r="U57" s="2"/>
      <c r="V57" s="5">
        <f t="shared" si="13"/>
        <v>6.9818146213450685E-2</v>
      </c>
      <c r="W57" s="2"/>
      <c r="X57" s="2">
        <f t="shared" si="14"/>
        <v>380959.82</v>
      </c>
      <c r="Y57" s="2"/>
      <c r="Z57" s="5">
        <f t="shared" si="15"/>
        <v>5.4649988007294326</v>
      </c>
    </row>
    <row r="58" spans="1:26" s="69" customFormat="1" ht="15" hidden="1" customHeight="1" outlineLevel="2" x14ac:dyDescent="0.3">
      <c r="A58" s="21"/>
      <c r="B58" s="9" t="str">
        <f>CONCATENATE("          ","6387"," - ","COMMISSION DUE HOUSING")</f>
        <v xml:space="preserve">          6387 - COMMISSION DUE HOUSING</v>
      </c>
      <c r="C58" s="9"/>
      <c r="D58" s="6">
        <v>-393.78</v>
      </c>
      <c r="E58" s="3"/>
      <c r="F58" s="7">
        <f t="shared" si="8"/>
        <v>7.1688646475827053E-2</v>
      </c>
      <c r="G58" s="3"/>
      <c r="H58" s="6">
        <v>2207.92</v>
      </c>
      <c r="I58" s="3"/>
      <c r="J58" s="7">
        <f t="shared" si="9"/>
        <v>7.3325052969971508E-2</v>
      </c>
      <c r="K58" s="3"/>
      <c r="L58" s="6">
        <f t="shared" si="10"/>
        <v>-2601.6999999999998</v>
      </c>
      <c r="M58" s="3"/>
      <c r="N58" s="7">
        <f t="shared" si="11"/>
        <v>-1.1783488532193194</v>
      </c>
      <c r="O58" s="9"/>
      <c r="P58" s="6">
        <v>450668.86</v>
      </c>
      <c r="Q58" s="3"/>
      <c r="R58" s="7">
        <f t="shared" si="12"/>
        <v>7.9051417912509345E-2</v>
      </c>
      <c r="S58" s="3"/>
      <c r="T58" s="6">
        <v>69709.039999999994</v>
      </c>
      <c r="U58" s="3"/>
      <c r="V58" s="7">
        <f t="shared" si="13"/>
        <v>6.9818146213450685E-2</v>
      </c>
      <c r="W58" s="3"/>
      <c r="X58" s="6">
        <f t="shared" si="14"/>
        <v>380959.82</v>
      </c>
      <c r="Y58" s="3"/>
      <c r="Z58" s="7">
        <f t="shared" si="15"/>
        <v>5.4649988007294326</v>
      </c>
    </row>
    <row r="59" spans="1:26" s="68" customFormat="1" ht="15" customHeight="1" outlineLevel="1" collapsed="1" x14ac:dyDescent="0.3">
      <c r="A59" s="20"/>
      <c r="B59" s="11" t="str">
        <f>CONCATENATE("     ","Repair and Maintenance                            ")</f>
        <v xml:space="preserve">     Repair and Maintenance                            </v>
      </c>
      <c r="C59" s="11"/>
      <c r="D59" s="2">
        <f>SUM(OSRRefD22_11x_0)</f>
        <v>84.84</v>
      </c>
      <c r="E59" s="2"/>
      <c r="F59" s="5">
        <f t="shared" si="8"/>
        <v>-1.5445336906417716E-2</v>
      </c>
      <c r="G59" s="2"/>
      <c r="H59" s="2">
        <f>SUM(OSRRefH22_11x_0)</f>
        <v>268.06</v>
      </c>
      <c r="I59" s="2"/>
      <c r="J59" s="5">
        <f t="shared" si="9"/>
        <v>8.9022762143241424E-3</v>
      </c>
      <c r="K59" s="2"/>
      <c r="L59" s="2">
        <f t="shared" si="10"/>
        <v>-183.22</v>
      </c>
      <c r="M59" s="2"/>
      <c r="N59" s="5">
        <f t="shared" si="11"/>
        <v>-0.6835036932030143</v>
      </c>
      <c r="O59" s="11"/>
      <c r="P59" s="2">
        <f>SUM(OSRRefP22_11x_0)</f>
        <v>6175.2800000000007</v>
      </c>
      <c r="Q59" s="2"/>
      <c r="R59" s="5">
        <f t="shared" si="12"/>
        <v>1.0832002903567838E-3</v>
      </c>
      <c r="S59" s="2"/>
      <c r="T59" s="2">
        <f>SUM(OSRRefT22_11x_0)</f>
        <v>3783.09</v>
      </c>
      <c r="U59" s="2"/>
      <c r="V59" s="5">
        <f t="shared" si="13"/>
        <v>3.789011163525465E-3</v>
      </c>
      <c r="W59" s="2"/>
      <c r="X59" s="2">
        <f t="shared" si="14"/>
        <v>2392.1900000000005</v>
      </c>
      <c r="Y59" s="2"/>
      <c r="Z59" s="5">
        <f t="shared" si="15"/>
        <v>0.63233758647031935</v>
      </c>
    </row>
    <row r="60" spans="1:26" s="69" customFormat="1" ht="15" hidden="1" customHeight="1" outlineLevel="2" x14ac:dyDescent="0.3">
      <c r="A60" s="21"/>
      <c r="B60" s="9" t="str">
        <f>CONCATENATE("          ","6373"," - ","MAINTENANCE CONTRACTS")</f>
        <v xml:space="preserve">          6373 - MAINTENANCE CONTRACTS</v>
      </c>
      <c r="C60" s="9"/>
      <c r="D60" s="6">
        <v>84.84</v>
      </c>
      <c r="E60" s="3"/>
      <c r="F60" s="7">
        <f t="shared" si="8"/>
        <v>-1.5445336906417716E-2</v>
      </c>
      <c r="G60" s="3"/>
      <c r="H60" s="6">
        <v>98.06</v>
      </c>
      <c r="I60" s="3"/>
      <c r="J60" s="7">
        <f t="shared" si="9"/>
        <v>3.2565739221690122E-3</v>
      </c>
      <c r="K60" s="3"/>
      <c r="L60" s="6">
        <f t="shared" si="10"/>
        <v>-13.219999999999999</v>
      </c>
      <c r="M60" s="3"/>
      <c r="N60" s="7">
        <f t="shared" si="11"/>
        <v>-0.13481541913114417</v>
      </c>
      <c r="O60" s="9"/>
      <c r="P60" s="6">
        <v>4077.25</v>
      </c>
      <c r="Q60" s="3"/>
      <c r="R60" s="7">
        <f t="shared" si="12"/>
        <v>7.1518674195456661E-4</v>
      </c>
      <c r="S60" s="3"/>
      <c r="T60" s="6">
        <v>1805.12</v>
      </c>
      <c r="U60" s="3"/>
      <c r="V60" s="7">
        <f t="shared" si="13"/>
        <v>1.807945312298435E-3</v>
      </c>
      <c r="W60" s="3"/>
      <c r="X60" s="6">
        <f t="shared" si="14"/>
        <v>2272.13</v>
      </c>
      <c r="Y60" s="3"/>
      <c r="Z60" s="7">
        <f t="shared" si="15"/>
        <v>1.2587141021095551</v>
      </c>
    </row>
    <row r="61" spans="1:26" s="69" customFormat="1" ht="15" hidden="1" customHeight="1" outlineLevel="2" x14ac:dyDescent="0.3">
      <c r="A61" s="21"/>
      <c r="B61" s="9" t="str">
        <f>CONCATENATE("          ","6375"," - ","OUTSIDE REPAIRS &amp; MAINTENANCE")</f>
        <v xml:space="preserve">          6375 - OUTSIDE REPAIRS &amp; MAINTENANCE</v>
      </c>
      <c r="C61" s="9"/>
      <c r="D61" s="6"/>
      <c r="E61" s="3"/>
      <c r="F61" s="7">
        <f t="shared" si="8"/>
        <v>0</v>
      </c>
      <c r="G61" s="3"/>
      <c r="H61" s="6">
        <v>170</v>
      </c>
      <c r="I61" s="3"/>
      <c r="J61" s="7">
        <f t="shared" si="9"/>
        <v>5.6457022921551307E-3</v>
      </c>
      <c r="K61" s="3"/>
      <c r="L61" s="6">
        <f t="shared" si="10"/>
        <v>-170</v>
      </c>
      <c r="M61" s="3"/>
      <c r="N61" s="7">
        <f t="shared" si="11"/>
        <v>-1</v>
      </c>
      <c r="O61" s="9"/>
      <c r="P61" s="6">
        <v>2098.0300000000002</v>
      </c>
      <c r="Q61" s="3"/>
      <c r="R61" s="7">
        <f t="shared" si="12"/>
        <v>3.6801354840221707E-4</v>
      </c>
      <c r="S61" s="3"/>
      <c r="T61" s="6">
        <v>1977.97</v>
      </c>
      <c r="U61" s="3"/>
      <c r="V61" s="7">
        <f t="shared" si="13"/>
        <v>1.9810658512270296E-3</v>
      </c>
      <c r="W61" s="3"/>
      <c r="X61" s="6">
        <f t="shared" si="14"/>
        <v>120.06000000000017</v>
      </c>
      <c r="Y61" s="3"/>
      <c r="Z61" s="7">
        <f t="shared" si="15"/>
        <v>6.0698595024191553E-2</v>
      </c>
    </row>
    <row r="62" spans="1:26" s="68" customFormat="1" ht="15" customHeight="1" outlineLevel="1" collapsed="1" x14ac:dyDescent="0.3">
      <c r="A62" s="20"/>
      <c r="B62" s="11" t="str">
        <f>CONCATENATE("     ","Services                                          ")</f>
        <v xml:space="preserve">     Services                                          </v>
      </c>
      <c r="C62" s="11"/>
      <c r="D62" s="2">
        <f>SUM(OSRRefD22_12x_0)</f>
        <v>459.25</v>
      </c>
      <c r="E62" s="2"/>
      <c r="F62" s="5">
        <f t="shared" si="8"/>
        <v>-8.3607625816505604E-2</v>
      </c>
      <c r="G62" s="2"/>
      <c r="H62" s="2">
        <f>SUM(OSRRefH22_12x_0)</f>
        <v>6059.83</v>
      </c>
      <c r="I62" s="2"/>
      <c r="J62" s="5">
        <f t="shared" si="9"/>
        <v>0.20124703600629662</v>
      </c>
      <c r="K62" s="2"/>
      <c r="L62" s="2">
        <f t="shared" si="10"/>
        <v>-5600.58</v>
      </c>
      <c r="M62" s="2"/>
      <c r="N62" s="5">
        <f t="shared" si="11"/>
        <v>-0.92421404560854015</v>
      </c>
      <c r="O62" s="11"/>
      <c r="P62" s="2">
        <f>SUM(OSRRefP22_12x_0)</f>
        <v>71808.460000000006</v>
      </c>
      <c r="Q62" s="2"/>
      <c r="R62" s="5">
        <f t="shared" si="12"/>
        <v>1.2595857146894309E-2</v>
      </c>
      <c r="S62" s="2"/>
      <c r="T62" s="2">
        <f>SUM(OSRRefT22_12x_0)</f>
        <v>65418.840000000004</v>
      </c>
      <c r="U62" s="2"/>
      <c r="V62" s="5">
        <f t="shared" si="13"/>
        <v>6.552123133863752E-2</v>
      </c>
      <c r="W62" s="2"/>
      <c r="X62" s="2">
        <f t="shared" si="14"/>
        <v>6389.6200000000026</v>
      </c>
      <c r="Y62" s="2"/>
      <c r="Z62" s="5">
        <f t="shared" si="15"/>
        <v>9.7672474779436663E-2</v>
      </c>
    </row>
    <row r="63" spans="1:26" s="69" customFormat="1" ht="15" hidden="1" customHeight="1" outlineLevel="2" x14ac:dyDescent="0.3">
      <c r="A63" s="21"/>
      <c r="B63" s="9" t="str">
        <f>CONCATENATE("          ","6282"," - ","JANITORIAL/EXTERMINATOR EXPENS")</f>
        <v xml:space="preserve">          6282 - JANITORIAL/EXTERMINATOR EXPENS</v>
      </c>
      <c r="C63" s="9"/>
      <c r="D63" s="6">
        <v>459.25</v>
      </c>
      <c r="E63" s="3"/>
      <c r="F63" s="7">
        <f t="shared" si="8"/>
        <v>-8.3607625816505604E-2</v>
      </c>
      <c r="G63" s="3"/>
      <c r="H63" s="6">
        <v>421.34</v>
      </c>
      <c r="I63" s="3"/>
      <c r="J63" s="7">
        <f t="shared" si="9"/>
        <v>1.3992707081039073E-2</v>
      </c>
      <c r="K63" s="3"/>
      <c r="L63" s="6">
        <f t="shared" si="10"/>
        <v>37.910000000000025</v>
      </c>
      <c r="M63" s="3"/>
      <c r="N63" s="7">
        <f t="shared" si="11"/>
        <v>8.9974842170218894E-2</v>
      </c>
      <c r="O63" s="9"/>
      <c r="P63" s="6">
        <v>6414.55</v>
      </c>
      <c r="Q63" s="3"/>
      <c r="R63" s="7">
        <f t="shared" si="12"/>
        <v>1.1251704250670588E-3</v>
      </c>
      <c r="S63" s="3"/>
      <c r="T63" s="6">
        <v>4924.12</v>
      </c>
      <c r="U63" s="3"/>
      <c r="V63" s="7">
        <f t="shared" si="13"/>
        <v>4.9318270647906899E-3</v>
      </c>
      <c r="W63" s="3"/>
      <c r="X63" s="6">
        <f t="shared" si="14"/>
        <v>1490.4300000000003</v>
      </c>
      <c r="Y63" s="3"/>
      <c r="Z63" s="7">
        <f t="shared" si="15"/>
        <v>0.30267946353866282</v>
      </c>
    </row>
    <row r="64" spans="1:26" s="69" customFormat="1" ht="15" hidden="1" customHeight="1" outlineLevel="2" x14ac:dyDescent="0.3">
      <c r="A64" s="21"/>
      <c r="B64" s="9" t="str">
        <f>CONCATENATE("          ","6284"," - ","TRASH REMOVAL EXPENSE")</f>
        <v xml:space="preserve">          6284 - TRASH REMOVAL EXPENSE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/>
      <c r="Q64" s="3"/>
      <c r="R64" s="7">
        <f t="shared" si="12"/>
        <v>0</v>
      </c>
      <c r="S64" s="3"/>
      <c r="T64" s="6">
        <v>282.75</v>
      </c>
      <c r="U64" s="3"/>
      <c r="V64" s="7">
        <f t="shared" si="13"/>
        <v>2.8319255066277176E-4</v>
      </c>
      <c r="W64" s="3"/>
      <c r="X64" s="6">
        <f t="shared" si="14"/>
        <v>-282.75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1"/>
      <c r="B65" s="9" t="str">
        <f>CONCATENATE("          ","6285"," - ","JANITORIAL SERVICES")</f>
        <v xml:space="preserve">          6285 - JANITORIAL SERVICES</v>
      </c>
      <c r="C65" s="9"/>
      <c r="D65" s="6"/>
      <c r="E65" s="3"/>
      <c r="F65" s="7">
        <f t="shared" si="8"/>
        <v>0</v>
      </c>
      <c r="G65" s="3"/>
      <c r="H65" s="6">
        <v>4468.33</v>
      </c>
      <c r="I65" s="3"/>
      <c r="J65" s="7">
        <f t="shared" si="9"/>
        <v>0.1483932995476796</v>
      </c>
      <c r="K65" s="3"/>
      <c r="L65" s="6">
        <f t="shared" si="10"/>
        <v>-4468.33</v>
      </c>
      <c r="M65" s="3"/>
      <c r="N65" s="7">
        <f t="shared" si="11"/>
        <v>-1</v>
      </c>
      <c r="O65" s="9"/>
      <c r="P65" s="6">
        <v>51454.46</v>
      </c>
      <c r="Q65" s="3"/>
      <c r="R65" s="7">
        <f t="shared" si="12"/>
        <v>9.0255803805093064E-3</v>
      </c>
      <c r="S65" s="3"/>
      <c r="T65" s="6">
        <v>50091.6</v>
      </c>
      <c r="U65" s="3"/>
      <c r="V65" s="7">
        <f t="shared" si="13"/>
        <v>5.0170001665001934E-2</v>
      </c>
      <c r="W65" s="3"/>
      <c r="X65" s="6">
        <f t="shared" si="14"/>
        <v>1362.8600000000006</v>
      </c>
      <c r="Y65" s="3"/>
      <c r="Z65" s="7">
        <f t="shared" si="15"/>
        <v>2.7207356123581612E-2</v>
      </c>
    </row>
    <row r="66" spans="1:26" s="69" customFormat="1" ht="15" hidden="1" customHeight="1" outlineLevel="2" x14ac:dyDescent="0.3">
      <c r="A66" s="21"/>
      <c r="B66" s="9" t="str">
        <f>CONCATENATE("          ","6286"," - ","LAUNDRY EXPENSE")</f>
        <v xml:space="preserve">          6286 - LAUNDRY EXPENSE</v>
      </c>
      <c r="C66" s="9"/>
      <c r="D66" s="6"/>
      <c r="E66" s="3"/>
      <c r="F66" s="7">
        <f t="shared" si="8"/>
        <v>0</v>
      </c>
      <c r="G66" s="3"/>
      <c r="H66" s="6">
        <v>1170.1600000000001</v>
      </c>
      <c r="I66" s="3"/>
      <c r="J66" s="7">
        <f t="shared" si="9"/>
        <v>3.8861029377577926E-2</v>
      </c>
      <c r="K66" s="3"/>
      <c r="L66" s="6">
        <f t="shared" si="10"/>
        <v>-1170.1600000000001</v>
      </c>
      <c r="M66" s="3"/>
      <c r="N66" s="7">
        <f t="shared" si="11"/>
        <v>-1</v>
      </c>
      <c r="O66" s="9"/>
      <c r="P66" s="6">
        <v>13939.45</v>
      </c>
      <c r="Q66" s="3"/>
      <c r="R66" s="7">
        <f t="shared" si="12"/>
        <v>2.4451063413179434E-3</v>
      </c>
      <c r="S66" s="3"/>
      <c r="T66" s="6">
        <v>10120.370000000001</v>
      </c>
      <c r="U66" s="3"/>
      <c r="V66" s="7">
        <f t="shared" si="13"/>
        <v>1.0136210058182124E-2</v>
      </c>
      <c r="W66" s="3"/>
      <c r="X66" s="6">
        <f t="shared" si="14"/>
        <v>3819.08</v>
      </c>
      <c r="Y66" s="3"/>
      <c r="Z66" s="7">
        <f t="shared" si="15"/>
        <v>0.37736564967486363</v>
      </c>
    </row>
    <row r="67" spans="1:26" s="68" customFormat="1" ht="15" customHeight="1" outlineLevel="1" collapsed="1" x14ac:dyDescent="0.3">
      <c r="A67" s="20"/>
      <c r="B67" s="11" t="str">
        <f>CONCATENATE("     ","Subscriptions &amp; Dues                              ")</f>
        <v xml:space="preserve">     Subscriptions &amp; Dues                              </v>
      </c>
      <c r="C67" s="11"/>
      <c r="D67" s="2">
        <f>SUM(OSRRefD22_13x_0)</f>
        <v>0</v>
      </c>
      <c r="E67" s="2"/>
      <c r="F67" s="5">
        <f t="shared" si="8"/>
        <v>0</v>
      </c>
      <c r="G67" s="2"/>
      <c r="H67" s="2">
        <f>SUM(OSRRefH22_13x_0)</f>
        <v>0</v>
      </c>
      <c r="I67" s="2"/>
      <c r="J67" s="5">
        <f t="shared" si="9"/>
        <v>0</v>
      </c>
      <c r="K67" s="2"/>
      <c r="L67" s="2">
        <f t="shared" si="10"/>
        <v>0</v>
      </c>
      <c r="M67" s="2"/>
      <c r="N67" s="5">
        <f t="shared" si="11"/>
        <v>0</v>
      </c>
      <c r="O67" s="11"/>
      <c r="P67" s="2">
        <f>SUM(OSRRefP22_13x_0)</f>
        <v>0</v>
      </c>
      <c r="Q67" s="2"/>
      <c r="R67" s="5">
        <f t="shared" si="12"/>
        <v>0</v>
      </c>
      <c r="S67" s="2"/>
      <c r="T67" s="2">
        <f>SUM(OSRRefT22_13x_0)</f>
        <v>795</v>
      </c>
      <c r="U67" s="2"/>
      <c r="V67" s="5">
        <f t="shared" si="13"/>
        <v>7.9624430690328392E-4</v>
      </c>
      <c r="W67" s="2"/>
      <c r="X67" s="2">
        <f t="shared" si="14"/>
        <v>-795</v>
      </c>
      <c r="Y67" s="2"/>
      <c r="Z67" s="5">
        <f t="shared" si="15"/>
        <v>-1</v>
      </c>
    </row>
    <row r="68" spans="1:26" s="69" customFormat="1" ht="15" hidden="1" customHeight="1" outlineLevel="2" x14ac:dyDescent="0.3">
      <c r="A68" s="21"/>
      <c r="B68" s="9" t="str">
        <f>CONCATENATE("          ","6258"," - ","MEMBERSHIP DUES")</f>
        <v xml:space="preserve">          6258 - MEMBERSHIP DUES</v>
      </c>
      <c r="C68" s="9"/>
      <c r="D68" s="6"/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0</v>
      </c>
      <c r="M68" s="3"/>
      <c r="N68" s="7">
        <f t="shared" si="11"/>
        <v>0</v>
      </c>
      <c r="O68" s="9"/>
      <c r="P68" s="6"/>
      <c r="Q68" s="3"/>
      <c r="R68" s="7">
        <f t="shared" si="12"/>
        <v>0</v>
      </c>
      <c r="S68" s="3"/>
      <c r="T68" s="6">
        <v>795</v>
      </c>
      <c r="U68" s="3"/>
      <c r="V68" s="7">
        <f t="shared" si="13"/>
        <v>7.9624430690328392E-4</v>
      </c>
      <c r="W68" s="3"/>
      <c r="X68" s="6">
        <f t="shared" si="14"/>
        <v>-795</v>
      </c>
      <c r="Y68" s="3"/>
      <c r="Z68" s="7">
        <f t="shared" si="15"/>
        <v>-1</v>
      </c>
    </row>
    <row r="69" spans="1:26" s="68" customFormat="1" ht="15" customHeight="1" outlineLevel="1" collapsed="1" x14ac:dyDescent="0.3">
      <c r="A69" s="20"/>
      <c r="B69" s="11" t="str">
        <f>CONCATENATE("     ","Supplies                                          ")</f>
        <v xml:space="preserve">     Supplies                                          </v>
      </c>
      <c r="C69" s="11"/>
      <c r="D69" s="2">
        <f>SUM(OSRRefD22_14x_0)</f>
        <v>546.87</v>
      </c>
      <c r="E69" s="2"/>
      <c r="F69" s="5">
        <f t="shared" si="8"/>
        <v>-9.9559068764882797E-2</v>
      </c>
      <c r="G69" s="2"/>
      <c r="H69" s="2">
        <f>SUM(OSRRefH22_14x_0)</f>
        <v>10190.509999999998</v>
      </c>
      <c r="I69" s="2"/>
      <c r="J69" s="5">
        <f t="shared" si="9"/>
        <v>0.33842697450135156</v>
      </c>
      <c r="K69" s="2"/>
      <c r="L69" s="2">
        <f t="shared" si="10"/>
        <v>-9643.6399999999976</v>
      </c>
      <c r="M69" s="2"/>
      <c r="N69" s="5">
        <f t="shared" si="11"/>
        <v>-0.9463353649621068</v>
      </c>
      <c r="O69" s="11"/>
      <c r="P69" s="2">
        <f>SUM(OSRRefP22_14x_0)</f>
        <v>145485.5</v>
      </c>
      <c r="Q69" s="2"/>
      <c r="R69" s="5">
        <f t="shared" si="12"/>
        <v>2.5519480224816017E-2</v>
      </c>
      <c r="S69" s="2"/>
      <c r="T69" s="2">
        <f>SUM(OSRRefT22_14x_0)</f>
        <v>138178.78999999998</v>
      </c>
      <c r="U69" s="2"/>
      <c r="V69" s="5">
        <f t="shared" si="13"/>
        <v>0.13839506273243321</v>
      </c>
      <c r="W69" s="2"/>
      <c r="X69" s="2">
        <f t="shared" si="14"/>
        <v>7306.710000000021</v>
      </c>
      <c r="Y69" s="2"/>
      <c r="Z69" s="5">
        <f t="shared" si="15"/>
        <v>5.2878665387068612E-2</v>
      </c>
    </row>
    <row r="70" spans="1:26" s="69" customFormat="1" ht="15" hidden="1" customHeight="1" outlineLevel="2" x14ac:dyDescent="0.3">
      <c r="A70" s="21"/>
      <c r="B70" s="9" t="str">
        <f>CONCATENATE("          ","6234"," - ","EXPENDABLE SUPPLIES &amp; EQUIPMEN")</f>
        <v xml:space="preserve">          6234 - EXPENDABLE SUPPLIES &amp; EQUIPMEN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315</v>
      </c>
      <c r="Q70" s="3"/>
      <c r="R70" s="7">
        <f t="shared" si="12"/>
        <v>5.5253865648583848E-5</v>
      </c>
      <c r="S70" s="3"/>
      <c r="T70" s="6"/>
      <c r="U70" s="3"/>
      <c r="V70" s="7">
        <f t="shared" si="13"/>
        <v>0</v>
      </c>
      <c r="W70" s="3"/>
      <c r="X70" s="6">
        <f t="shared" si="14"/>
        <v>315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1"/>
      <c r="B71" s="9" t="str">
        <f>CONCATENATE("          ","6235"," - ","COVID-19 EXPENSES")</f>
        <v xml:space="preserve">          6235 - COVID-19 EXPENSES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158.76</v>
      </c>
      <c r="Q71" s="3"/>
      <c r="R71" s="7">
        <f t="shared" si="12"/>
        <v>2.7847948286886257E-5</v>
      </c>
      <c r="S71" s="3"/>
      <c r="T71" s="6">
        <v>53097.67</v>
      </c>
      <c r="U71" s="3"/>
      <c r="V71" s="7">
        <f t="shared" si="13"/>
        <v>5.3180776663307283E-2</v>
      </c>
      <c r="W71" s="3"/>
      <c r="X71" s="6">
        <f t="shared" si="14"/>
        <v>-52938.909999999996</v>
      </c>
      <c r="Y71" s="3"/>
      <c r="Z71" s="7">
        <f t="shared" si="15"/>
        <v>-0.99701003829358237</v>
      </c>
    </row>
    <row r="72" spans="1:26" s="69" customFormat="1" ht="15" hidden="1" customHeight="1" outlineLevel="2" x14ac:dyDescent="0.3">
      <c r="A72" s="21"/>
      <c r="B72" s="9" t="str">
        <f>CONCATENATE("          ","6237"," - ","JANITORIAL SUPPLIES")</f>
        <v xml:space="preserve">          6237 - JANITORIAL SUPPLIES</v>
      </c>
      <c r="C72" s="9"/>
      <c r="D72" s="6">
        <v>-71.5</v>
      </c>
      <c r="E72" s="3"/>
      <c r="F72" s="7">
        <f t="shared" si="8"/>
        <v>1.3016756115144586E-2</v>
      </c>
      <c r="G72" s="3"/>
      <c r="H72" s="6">
        <v>918.55</v>
      </c>
      <c r="I72" s="3"/>
      <c r="J72" s="7">
        <f t="shared" si="9"/>
        <v>3.0505057885053498E-2</v>
      </c>
      <c r="K72" s="3"/>
      <c r="L72" s="6">
        <f t="shared" si="10"/>
        <v>-990.05</v>
      </c>
      <c r="M72" s="3"/>
      <c r="N72" s="7">
        <f t="shared" si="11"/>
        <v>-1.0778400740297207</v>
      </c>
      <c r="O72" s="9"/>
      <c r="P72" s="6">
        <v>29780.73</v>
      </c>
      <c r="Q72" s="3"/>
      <c r="R72" s="7">
        <f t="shared" si="12"/>
        <v>5.2238109661484145E-3</v>
      </c>
      <c r="S72" s="3"/>
      <c r="T72" s="6">
        <v>19395.349999999999</v>
      </c>
      <c r="U72" s="3"/>
      <c r="V72" s="7">
        <f t="shared" si="13"/>
        <v>1.9425706940750451E-2</v>
      </c>
      <c r="W72" s="3"/>
      <c r="X72" s="6">
        <f t="shared" si="14"/>
        <v>10385.380000000001</v>
      </c>
      <c r="Y72" s="3"/>
      <c r="Z72" s="7">
        <f t="shared" si="15"/>
        <v>0.53545721010448388</v>
      </c>
    </row>
    <row r="73" spans="1:26" s="69" customFormat="1" ht="15" hidden="1" customHeight="1" outlineLevel="2" x14ac:dyDescent="0.3">
      <c r="A73" s="21"/>
      <c r="B73" s="9" t="str">
        <f>CONCATENATE("          ","6239"," - ","KITCHEN SUPPLIES")</f>
        <v xml:space="preserve">          6239 - KITCHEN SUPPLIES</v>
      </c>
      <c r="C73" s="9"/>
      <c r="D73" s="6"/>
      <c r="E73" s="3"/>
      <c r="F73" s="7">
        <f t="shared" si="8"/>
        <v>0</v>
      </c>
      <c r="G73" s="3"/>
      <c r="H73" s="6">
        <v>3554.22</v>
      </c>
      <c r="I73" s="3"/>
      <c r="J73" s="7">
        <f t="shared" si="9"/>
        <v>0.1180356941224918</v>
      </c>
      <c r="K73" s="3"/>
      <c r="L73" s="6">
        <f t="shared" si="10"/>
        <v>-3554.22</v>
      </c>
      <c r="M73" s="3"/>
      <c r="N73" s="7">
        <f t="shared" si="11"/>
        <v>-1</v>
      </c>
      <c r="O73" s="9"/>
      <c r="P73" s="6">
        <v>10926.64</v>
      </c>
      <c r="Q73" s="3"/>
      <c r="R73" s="7">
        <f t="shared" si="12"/>
        <v>1.9166320588902927E-3</v>
      </c>
      <c r="S73" s="3"/>
      <c r="T73" s="6">
        <v>10389.42</v>
      </c>
      <c r="U73" s="3"/>
      <c r="V73" s="7">
        <f t="shared" si="13"/>
        <v>1.0405681166071845E-2</v>
      </c>
      <c r="W73" s="3"/>
      <c r="X73" s="6">
        <f t="shared" si="14"/>
        <v>537.21999999999935</v>
      </c>
      <c r="Y73" s="3"/>
      <c r="Z73" s="7">
        <f t="shared" si="15"/>
        <v>5.1708372555927022E-2</v>
      </c>
    </row>
    <row r="74" spans="1:26" s="69" customFormat="1" ht="15" hidden="1" customHeight="1" outlineLevel="2" x14ac:dyDescent="0.3">
      <c r="A74" s="21"/>
      <c r="B74" s="9" t="str">
        <f>CONCATENATE("          ","6241"," - ","OFFICE EXPENSE")</f>
        <v xml:space="preserve">          6241 - OFFICE EXPENSE</v>
      </c>
      <c r="C74" s="9"/>
      <c r="D74" s="6"/>
      <c r="E74" s="3"/>
      <c r="F74" s="7">
        <f t="shared" si="8"/>
        <v>0</v>
      </c>
      <c r="G74" s="3"/>
      <c r="H74" s="6">
        <v>1232.0899999999999</v>
      </c>
      <c r="I74" s="3"/>
      <c r="J74" s="7">
        <f t="shared" si="9"/>
        <v>4.0917725512596551E-2</v>
      </c>
      <c r="K74" s="3"/>
      <c r="L74" s="6">
        <f t="shared" si="10"/>
        <v>-1232.0899999999999</v>
      </c>
      <c r="M74" s="3"/>
      <c r="N74" s="7">
        <f t="shared" si="11"/>
        <v>-1</v>
      </c>
      <c r="O74" s="9"/>
      <c r="P74" s="6">
        <v>4075.31</v>
      </c>
      <c r="Q74" s="3"/>
      <c r="R74" s="7">
        <f t="shared" si="12"/>
        <v>7.1484644830581033E-4</v>
      </c>
      <c r="S74" s="3"/>
      <c r="T74" s="6">
        <v>10600.79</v>
      </c>
      <c r="U74" s="3"/>
      <c r="V74" s="7">
        <f t="shared" si="13"/>
        <v>1.0617381995191527E-2</v>
      </c>
      <c r="W74" s="3"/>
      <c r="X74" s="6">
        <f t="shared" si="14"/>
        <v>-6525.4800000000014</v>
      </c>
      <c r="Y74" s="3"/>
      <c r="Z74" s="7">
        <f t="shared" si="15"/>
        <v>-0.61556544370749733</v>
      </c>
    </row>
    <row r="75" spans="1:26" s="69" customFormat="1" ht="15" hidden="1" customHeight="1" outlineLevel="2" x14ac:dyDescent="0.3">
      <c r="A75" s="21"/>
      <c r="B75" s="9" t="str">
        <f>CONCATENATE("          ","6243"," - ","PAPER SUPPLIES")</f>
        <v xml:space="preserve">          6243 - PAPER SUPPLIES</v>
      </c>
      <c r="C75" s="9"/>
      <c r="D75" s="6">
        <v>618.37</v>
      </c>
      <c r="E75" s="3"/>
      <c r="F75" s="7">
        <f t="shared" si="8"/>
        <v>-0.11257582488002738</v>
      </c>
      <c r="G75" s="3"/>
      <c r="H75" s="6">
        <v>4485.6499999999996</v>
      </c>
      <c r="I75" s="3"/>
      <c r="J75" s="7">
        <f t="shared" si="9"/>
        <v>0.14896849698120976</v>
      </c>
      <c r="K75" s="3"/>
      <c r="L75" s="6">
        <f t="shared" si="10"/>
        <v>-3867.2799999999997</v>
      </c>
      <c r="M75" s="3"/>
      <c r="N75" s="7">
        <f t="shared" si="11"/>
        <v>-0.86214483965534539</v>
      </c>
      <c r="O75" s="9"/>
      <c r="P75" s="6">
        <v>96966.98</v>
      </c>
      <c r="Q75" s="3"/>
      <c r="R75" s="7">
        <f t="shared" si="12"/>
        <v>1.7008890429425133E-2</v>
      </c>
      <c r="S75" s="3"/>
      <c r="T75" s="6">
        <v>40194.97</v>
      </c>
      <c r="U75" s="3"/>
      <c r="V75" s="7">
        <f t="shared" si="13"/>
        <v>4.0257881797041879E-2</v>
      </c>
      <c r="W75" s="3"/>
      <c r="X75" s="6">
        <f t="shared" si="14"/>
        <v>56772.009999999995</v>
      </c>
      <c r="Y75" s="3"/>
      <c r="Z75" s="7">
        <f t="shared" si="15"/>
        <v>1.4124157823727694</v>
      </c>
    </row>
    <row r="76" spans="1:26" s="69" customFormat="1" ht="15" hidden="1" customHeight="1" outlineLevel="2" x14ac:dyDescent="0.3">
      <c r="A76" s="21"/>
      <c r="B76" s="9" t="str">
        <f>CONCATENATE("          ","6247"," - ","STORE SUPPLIES")</f>
        <v xml:space="preserve">          6247 - STORE SUPPLIES</v>
      </c>
      <c r="C76" s="9"/>
      <c r="D76" s="6"/>
      <c r="E76" s="3"/>
      <c r="F76" s="7">
        <f t="shared" si="8"/>
        <v>0</v>
      </c>
      <c r="G76" s="3"/>
      <c r="H76" s="6"/>
      <c r="I76" s="3"/>
      <c r="J76" s="7">
        <f t="shared" si="9"/>
        <v>0</v>
      </c>
      <c r="K76" s="3"/>
      <c r="L76" s="6">
        <f t="shared" si="10"/>
        <v>0</v>
      </c>
      <c r="M76" s="3"/>
      <c r="N76" s="7">
        <f t="shared" si="11"/>
        <v>0</v>
      </c>
      <c r="O76" s="9"/>
      <c r="P76" s="6">
        <v>459.51</v>
      </c>
      <c r="Q76" s="3"/>
      <c r="R76" s="7">
        <f t="shared" si="12"/>
        <v>8.0602234298986556E-5</v>
      </c>
      <c r="S76" s="3"/>
      <c r="T76" s="6"/>
      <c r="U76" s="3"/>
      <c r="V76" s="7">
        <f t="shared" si="13"/>
        <v>0</v>
      </c>
      <c r="W76" s="3"/>
      <c r="X76" s="6">
        <f t="shared" si="14"/>
        <v>459.51</v>
      </c>
      <c r="Y76" s="3"/>
      <c r="Z76" s="7">
        <f t="shared" si="15"/>
        <v>0</v>
      </c>
    </row>
    <row r="77" spans="1:26" s="69" customFormat="1" ht="15" hidden="1" customHeight="1" outlineLevel="2" x14ac:dyDescent="0.3">
      <c r="A77" s="21"/>
      <c r="B77" s="9" t="str">
        <f>CONCATENATE("          ","6248"," - ","UNIFORMS")</f>
        <v xml:space="preserve">          6248 - UNIFORMS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2802.57</v>
      </c>
      <c r="Q77" s="3"/>
      <c r="R77" s="7">
        <f t="shared" si="12"/>
        <v>4.9159627381190995E-4</v>
      </c>
      <c r="S77" s="3"/>
      <c r="T77" s="6">
        <v>4500.59</v>
      </c>
      <c r="U77" s="3"/>
      <c r="V77" s="7">
        <f t="shared" si="13"/>
        <v>4.507634170070253E-3</v>
      </c>
      <c r="W77" s="3"/>
      <c r="X77" s="6">
        <f t="shared" si="14"/>
        <v>-1698.02</v>
      </c>
      <c r="Y77" s="3"/>
      <c r="Z77" s="7">
        <f t="shared" si="15"/>
        <v>-0.37728831108810179</v>
      </c>
    </row>
    <row r="78" spans="1:26" s="68" customFormat="1" ht="15" customHeight="1" outlineLevel="1" collapsed="1" x14ac:dyDescent="0.3">
      <c r="A78" s="20"/>
      <c r="B78" s="11" t="str">
        <f>CONCATENATE("     ","Telephone/Data Lines                              ")</f>
        <v xml:space="preserve">     Telephone/Data Lines                              </v>
      </c>
      <c r="C78" s="11"/>
      <c r="D78" s="2">
        <f>SUM(OSRRefD22_15x_0)</f>
        <v>159</v>
      </c>
      <c r="E78" s="2"/>
      <c r="F78" s="5">
        <f t="shared" si="8"/>
        <v>-2.8946352759552298E-2</v>
      </c>
      <c r="G78" s="2"/>
      <c r="H78" s="2">
        <f>SUM(OSRRefH22_15x_0)</f>
        <v>459</v>
      </c>
      <c r="I78" s="2"/>
      <c r="J78" s="5">
        <f t="shared" si="9"/>
        <v>1.5243396188818852E-2</v>
      </c>
      <c r="K78" s="2"/>
      <c r="L78" s="2">
        <f t="shared" si="10"/>
        <v>-300</v>
      </c>
      <c r="M78" s="2"/>
      <c r="N78" s="5">
        <f t="shared" si="11"/>
        <v>-0.65359477124183007</v>
      </c>
      <c r="O78" s="11"/>
      <c r="P78" s="2">
        <f>SUM(OSRRefP22_15x_0)</f>
        <v>3616</v>
      </c>
      <c r="Q78" s="2"/>
      <c r="R78" s="5">
        <f t="shared" si="12"/>
        <v>6.3427929582628314E-4</v>
      </c>
      <c r="S78" s="2"/>
      <c r="T78" s="2">
        <f>SUM(OSRRefT22_15x_0)</f>
        <v>3109</v>
      </c>
      <c r="U78" s="2"/>
      <c r="V78" s="5">
        <f t="shared" si="13"/>
        <v>3.1138661008330943E-3</v>
      </c>
      <c r="W78" s="2"/>
      <c r="X78" s="2">
        <f t="shared" si="14"/>
        <v>507</v>
      </c>
      <c r="Y78" s="2"/>
      <c r="Z78" s="5">
        <f t="shared" si="15"/>
        <v>0.16307494371180445</v>
      </c>
    </row>
    <row r="79" spans="1:26" s="69" customFormat="1" ht="15" hidden="1" customHeight="1" outlineLevel="2" x14ac:dyDescent="0.3">
      <c r="A79" s="21"/>
      <c r="B79" s="9" t="str">
        <f>CONCATENATE("          ","6309"," - ","TELEPHONE")</f>
        <v xml:space="preserve">          6309 - TELEPHONE</v>
      </c>
      <c r="C79" s="9"/>
      <c r="D79" s="6">
        <v>159</v>
      </c>
      <c r="E79" s="3"/>
      <c r="F79" s="7">
        <f t="shared" si="8"/>
        <v>-2.8946352759552298E-2</v>
      </c>
      <c r="G79" s="3"/>
      <c r="H79" s="6">
        <v>459</v>
      </c>
      <c r="I79" s="3"/>
      <c r="J79" s="7">
        <f t="shared" si="9"/>
        <v>1.5243396188818852E-2</v>
      </c>
      <c r="K79" s="3"/>
      <c r="L79" s="6">
        <f t="shared" si="10"/>
        <v>-300</v>
      </c>
      <c r="M79" s="3"/>
      <c r="N79" s="7">
        <f t="shared" si="11"/>
        <v>-0.65359477124183007</v>
      </c>
      <c r="O79" s="9"/>
      <c r="P79" s="6">
        <v>3616</v>
      </c>
      <c r="Q79" s="3"/>
      <c r="R79" s="7">
        <f t="shared" si="12"/>
        <v>6.3427929582628314E-4</v>
      </c>
      <c r="S79" s="3"/>
      <c r="T79" s="6">
        <v>3109</v>
      </c>
      <c r="U79" s="3"/>
      <c r="V79" s="7">
        <f t="shared" si="13"/>
        <v>3.1138661008330943E-3</v>
      </c>
      <c r="W79" s="3"/>
      <c r="X79" s="6">
        <f t="shared" si="14"/>
        <v>507</v>
      </c>
      <c r="Y79" s="3"/>
      <c r="Z79" s="7">
        <f t="shared" si="15"/>
        <v>0.16307494371180445</v>
      </c>
    </row>
    <row r="80" spans="1:26" s="68" customFormat="1" ht="15" customHeight="1" outlineLevel="1" collapsed="1" x14ac:dyDescent="0.3">
      <c r="A80" s="20"/>
      <c r="B80" s="11" t="str">
        <f>CONCATENATE("     ","Training                                          ")</f>
        <v xml:space="preserve">     Training                                          </v>
      </c>
      <c r="C80" s="11"/>
      <c r="D80" s="2">
        <f>SUM(OSRRefD22_16x_0)</f>
        <v>523.09</v>
      </c>
      <c r="E80" s="2"/>
      <c r="F80" s="5">
        <f t="shared" si="8"/>
        <v>-9.5229859528265487E-2</v>
      </c>
      <c r="G80" s="2"/>
      <c r="H80" s="2">
        <f>SUM(OSRRefH22_16x_0)</f>
        <v>494</v>
      </c>
      <c r="I80" s="2"/>
      <c r="J80" s="5">
        <f t="shared" si="9"/>
        <v>1.6405746660733144E-2</v>
      </c>
      <c r="K80" s="2"/>
      <c r="L80" s="2">
        <f t="shared" si="10"/>
        <v>29.090000000000032</v>
      </c>
      <c r="M80" s="2"/>
      <c r="N80" s="5">
        <f t="shared" si="11"/>
        <v>5.8886639676113427E-2</v>
      </c>
      <c r="O80" s="11"/>
      <c r="P80" s="2">
        <f>SUM(OSRRefP22_16x_0)</f>
        <v>1692.88</v>
      </c>
      <c r="Q80" s="2"/>
      <c r="R80" s="5">
        <f t="shared" si="12"/>
        <v>2.9694655263230041E-4</v>
      </c>
      <c r="S80" s="2"/>
      <c r="T80" s="2">
        <f>SUM(OSRRefT22_16x_0)</f>
        <v>1229</v>
      </c>
      <c r="U80" s="2"/>
      <c r="V80" s="5">
        <f t="shared" si="13"/>
        <v>1.2309235889108629E-3</v>
      </c>
      <c r="W80" s="2"/>
      <c r="X80" s="2">
        <f t="shared" si="14"/>
        <v>463.88000000000011</v>
      </c>
      <c r="Y80" s="2"/>
      <c r="Z80" s="5">
        <f t="shared" si="15"/>
        <v>0.37744507729861687</v>
      </c>
    </row>
    <row r="81" spans="1:26" s="69" customFormat="1" ht="15" hidden="1" customHeight="1" outlineLevel="2" x14ac:dyDescent="0.3">
      <c r="A81" s="21"/>
      <c r="B81" s="9" t="str">
        <f>CONCATENATE("          ","6376"," - ","TRAINING")</f>
        <v xml:space="preserve">          6376 - TRAINING</v>
      </c>
      <c r="C81" s="9"/>
      <c r="D81" s="6">
        <v>523.09</v>
      </c>
      <c r="E81" s="3"/>
      <c r="F81" s="7">
        <f t="shared" si="8"/>
        <v>-9.5229859528265487E-2</v>
      </c>
      <c r="G81" s="3"/>
      <c r="H81" s="6">
        <v>494</v>
      </c>
      <c r="I81" s="3"/>
      <c r="J81" s="7">
        <f t="shared" si="9"/>
        <v>1.6405746660733144E-2</v>
      </c>
      <c r="K81" s="3"/>
      <c r="L81" s="6">
        <f t="shared" si="10"/>
        <v>29.090000000000032</v>
      </c>
      <c r="M81" s="3"/>
      <c r="N81" s="7">
        <f t="shared" si="11"/>
        <v>5.8886639676113427E-2</v>
      </c>
      <c r="O81" s="9"/>
      <c r="P81" s="6">
        <v>1692.88</v>
      </c>
      <c r="Q81" s="3"/>
      <c r="R81" s="7">
        <f t="shared" si="12"/>
        <v>2.9694655263230041E-4</v>
      </c>
      <c r="S81" s="3"/>
      <c r="T81" s="6">
        <v>1229</v>
      </c>
      <c r="U81" s="3"/>
      <c r="V81" s="7">
        <f t="shared" si="13"/>
        <v>1.2309235889108629E-3</v>
      </c>
      <c r="W81" s="3"/>
      <c r="X81" s="6">
        <f t="shared" si="14"/>
        <v>463.88000000000011</v>
      </c>
      <c r="Y81" s="3"/>
      <c r="Z81" s="7">
        <f t="shared" si="15"/>
        <v>0.37744507729861687</v>
      </c>
    </row>
    <row r="82" spans="1:26" s="68" customFormat="1" ht="15" customHeight="1" outlineLevel="1" collapsed="1" x14ac:dyDescent="0.3">
      <c r="A82" s="20"/>
      <c r="B82" s="11" t="str">
        <f>CONCATENATE("     ","Travel                                            ")</f>
        <v xml:space="preserve">     Travel                                            </v>
      </c>
      <c r="C82" s="11"/>
      <c r="D82" s="2">
        <f>SUM(OSRRefD22_17x_0)</f>
        <v>0</v>
      </c>
      <c r="E82" s="2"/>
      <c r="F82" s="5">
        <f t="shared" si="8"/>
        <v>0</v>
      </c>
      <c r="G82" s="2"/>
      <c r="H82" s="2">
        <f>SUM(OSRRefH22_17x_0)</f>
        <v>0</v>
      </c>
      <c r="I82" s="2"/>
      <c r="J82" s="5">
        <f t="shared" si="9"/>
        <v>0</v>
      </c>
      <c r="K82" s="2"/>
      <c r="L82" s="2">
        <f t="shared" si="10"/>
        <v>0</v>
      </c>
      <c r="M82" s="2"/>
      <c r="N82" s="5">
        <f t="shared" si="11"/>
        <v>0</v>
      </c>
      <c r="O82" s="11"/>
      <c r="P82" s="2">
        <f>SUM(OSRRefP22_17x_0)</f>
        <v>0</v>
      </c>
      <c r="Q82" s="2"/>
      <c r="R82" s="5">
        <f t="shared" si="12"/>
        <v>0</v>
      </c>
      <c r="S82" s="2"/>
      <c r="T82" s="2">
        <f>SUM(OSRRefT22_17x_0)</f>
        <v>160.30000000000001</v>
      </c>
      <c r="U82" s="2"/>
      <c r="V82" s="5">
        <f t="shared" si="13"/>
        <v>1.605508960963477E-4</v>
      </c>
      <c r="W82" s="2"/>
      <c r="X82" s="2">
        <f t="shared" si="14"/>
        <v>-160.30000000000001</v>
      </c>
      <c r="Y82" s="2"/>
      <c r="Z82" s="5">
        <f t="shared" si="15"/>
        <v>-1</v>
      </c>
    </row>
    <row r="83" spans="1:26" s="69" customFormat="1" ht="15" hidden="1" customHeight="1" outlineLevel="2" x14ac:dyDescent="0.3">
      <c r="A83" s="21"/>
      <c r="B83" s="9" t="str">
        <f>CONCATENATE("          ","6294"," - ","TRAVEL OPERATIONAL")</f>
        <v xml:space="preserve">          6294 - TRAVEL OPERATIONAL</v>
      </c>
      <c r="C83" s="9"/>
      <c r="D83" s="6"/>
      <c r="E83" s="3"/>
      <c r="F83" s="7">
        <f t="shared" si="8"/>
        <v>0</v>
      </c>
      <c r="G83" s="3"/>
      <c r="H83" s="6"/>
      <c r="I83" s="3"/>
      <c r="J83" s="7">
        <f t="shared" si="9"/>
        <v>0</v>
      </c>
      <c r="K83" s="3"/>
      <c r="L83" s="6">
        <f t="shared" si="10"/>
        <v>0</v>
      </c>
      <c r="M83" s="3"/>
      <c r="N83" s="7">
        <f t="shared" si="11"/>
        <v>0</v>
      </c>
      <c r="O83" s="9"/>
      <c r="P83" s="6"/>
      <c r="Q83" s="3"/>
      <c r="R83" s="7">
        <f t="shared" si="12"/>
        <v>0</v>
      </c>
      <c r="S83" s="3"/>
      <c r="T83" s="6">
        <v>160.30000000000001</v>
      </c>
      <c r="U83" s="3"/>
      <c r="V83" s="7">
        <f t="shared" si="13"/>
        <v>1.605508960963477E-4</v>
      </c>
      <c r="W83" s="3"/>
      <c r="X83" s="6">
        <f t="shared" si="14"/>
        <v>-160.30000000000001</v>
      </c>
      <c r="Y83" s="3"/>
      <c r="Z83" s="7">
        <f t="shared" si="15"/>
        <v>-1</v>
      </c>
    </row>
    <row r="84" spans="1:26" s="64" customFormat="1" ht="15" customHeight="1" x14ac:dyDescent="0.3">
      <c r="A84" s="37"/>
      <c r="B84" s="37"/>
      <c r="C84" s="37"/>
      <c r="D84" s="2"/>
      <c r="E84" s="2"/>
      <c r="F84" s="5"/>
      <c r="G84" s="2"/>
      <c r="H84" s="2"/>
      <c r="I84" s="2"/>
      <c r="J84" s="5"/>
      <c r="K84" s="2"/>
      <c r="L84" s="2"/>
      <c r="M84" s="2"/>
      <c r="N84" s="5"/>
      <c r="O84" s="37"/>
      <c r="P84" s="2"/>
      <c r="Q84" s="2"/>
      <c r="R84" s="5"/>
      <c r="S84" s="2"/>
      <c r="T84" s="2"/>
      <c r="U84" s="2"/>
      <c r="V84" s="5"/>
      <c r="W84" s="2"/>
      <c r="X84" s="2"/>
      <c r="Y84" s="2"/>
      <c r="Z84" s="5"/>
    </row>
    <row r="85" spans="1:26" s="62" customFormat="1" ht="15" customHeight="1" x14ac:dyDescent="0.3">
      <c r="A85" s="13"/>
      <c r="B85" s="27" t="s">
        <v>290</v>
      </c>
      <c r="C85" s="13"/>
      <c r="D85" s="8">
        <f>SUM(0)</f>
        <v>0</v>
      </c>
      <c r="E85" s="8"/>
      <c r="F85" s="14">
        <f>IF(D$12=0,0,D85/D$12)</f>
        <v>0</v>
      </c>
      <c r="G85" s="8"/>
      <c r="H85" s="8">
        <f>SUM(0)</f>
        <v>0</v>
      </c>
      <c r="I85" s="8"/>
      <c r="J85" s="14">
        <f>IF(H$12=0,0,H85/H$12)</f>
        <v>0</v>
      </c>
      <c r="K85" s="8"/>
      <c r="L85" s="8">
        <f>+D85-H85</f>
        <v>0</v>
      </c>
      <c r="M85" s="8"/>
      <c r="N85" s="14">
        <f>IF(H85=0,0,L85/H85)</f>
        <v>0</v>
      </c>
      <c r="O85" s="13"/>
      <c r="P85" s="8">
        <f>SUM(0)</f>
        <v>0</v>
      </c>
      <c r="Q85" s="8"/>
      <c r="R85" s="14">
        <f>IF(P$12=0,0,P85/P$12)</f>
        <v>0</v>
      </c>
      <c r="S85" s="8"/>
      <c r="T85" s="8">
        <f>SUM(0)</f>
        <v>0</v>
      </c>
      <c r="U85" s="8"/>
      <c r="V85" s="14">
        <f>IF(T$12=0,0,T85/T$12)</f>
        <v>0</v>
      </c>
      <c r="W85" s="8"/>
      <c r="X85" s="8">
        <f>+P85-T85</f>
        <v>0</v>
      </c>
      <c r="Y85" s="8"/>
      <c r="Z85" s="14">
        <f>IF(T85=0,0,X85/T85)</f>
        <v>0</v>
      </c>
    </row>
    <row r="86" spans="1:26" ht="15" customHeight="1" x14ac:dyDescent="0.3">
      <c r="A86" s="12"/>
      <c r="B86" s="13"/>
      <c r="C86" s="13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O86" s="13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2" customFormat="1" ht="15" customHeight="1" x14ac:dyDescent="0.3">
      <c r="A87" s="13"/>
      <c r="B87" s="28" t="s">
        <v>291</v>
      </c>
      <c r="C87" s="28"/>
      <c r="D87" s="22">
        <f>+D21-D23+D85</f>
        <v>-53564.25</v>
      </c>
      <c r="E87" s="15"/>
      <c r="F87" s="24">
        <f>IF(D$12=0,0,D87/D$12)</f>
        <v>9.7515073949738937</v>
      </c>
      <c r="G87" s="15"/>
      <c r="H87" s="22">
        <f>+H21-H23+H85</f>
        <v>-74953.26999999999</v>
      </c>
      <c r="I87" s="15"/>
      <c r="J87" s="24">
        <f>IF(H$12=0,0,H87/H$12)</f>
        <v>-2.4891991073148372</v>
      </c>
      <c r="K87" s="17"/>
      <c r="L87" s="22">
        <f>+D87-H87</f>
        <v>21389.01999999999</v>
      </c>
      <c r="M87" s="17"/>
      <c r="N87" s="24">
        <f>IF(H87=0,0,L87/H87)</f>
        <v>-0.28536473458729678</v>
      </c>
      <c r="O87" s="27"/>
      <c r="P87" s="22">
        <f>+P21-P23+P85</f>
        <v>2276140.3000000007</v>
      </c>
      <c r="Q87" s="15"/>
      <c r="R87" s="24">
        <f>IF(P$12=0,0,P87/P$12)</f>
        <v>0.39925571534453136</v>
      </c>
      <c r="S87" s="15"/>
      <c r="T87" s="22">
        <f>+T21-T23+T85</f>
        <v>-787613.77000000048</v>
      </c>
      <c r="U87" s="15"/>
      <c r="V87" s="24">
        <f>IF(T$12=0,0,T87/T$12)</f>
        <v>-0.78884651622784008</v>
      </c>
      <c r="W87" s="17"/>
      <c r="X87" s="22">
        <f>+P87-T87</f>
        <v>3063754.0700000012</v>
      </c>
      <c r="Y87" s="17"/>
      <c r="Z87" s="24">
        <f>IF(T87=0,0,X87/T87)</f>
        <v>-3.8899193826943876</v>
      </c>
    </row>
    <row r="88" spans="1:26" ht="15" customHeight="1" x14ac:dyDescent="0.3">
      <c r="A88" s="12"/>
      <c r="B88" s="13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2" customFormat="1" ht="15" customHeight="1" x14ac:dyDescent="0.3">
      <c r="A89" s="48"/>
      <c r="B89" s="13" t="s">
        <v>292</v>
      </c>
      <c r="C89" s="13"/>
      <c r="D89" s="8">
        <v>-1298806.0900000001</v>
      </c>
      <c r="E89" s="8"/>
      <c r="F89" s="14">
        <f>IF(D$12=0,0,D89/D$12)</f>
        <v>236.45093866286058</v>
      </c>
      <c r="G89" s="8"/>
      <c r="H89" s="8">
        <v>69440.039999999994</v>
      </c>
      <c r="I89" s="8"/>
      <c r="J89" s="14">
        <f>IF(H$12=0,0,H89/H$12)</f>
        <v>2.3061046646784935</v>
      </c>
      <c r="K89" s="8"/>
      <c r="L89" s="8">
        <f>+D89-H89</f>
        <v>-1368246.1300000001</v>
      </c>
      <c r="M89" s="8"/>
      <c r="N89" s="14">
        <f>IF(H89=0,0,L89/H89)</f>
        <v>-19.70399397811407</v>
      </c>
      <c r="O89" s="13"/>
      <c r="P89" s="8">
        <v>-657256.26</v>
      </c>
      <c r="Q89" s="8"/>
      <c r="R89" s="14">
        <f>IF(P$12=0,0,P89/P$12)</f>
        <v>-0.11528872725946253</v>
      </c>
      <c r="S89" s="8"/>
      <c r="T89" s="8">
        <v>276362.09999999998</v>
      </c>
      <c r="U89" s="8"/>
      <c r="V89" s="14">
        <f>IF(T$12=0,0,T89/T$12)</f>
        <v>0.27679465253941637</v>
      </c>
      <c r="W89" s="8"/>
      <c r="X89" s="8">
        <f>+P89-T89</f>
        <v>-933618.36</v>
      </c>
      <c r="Y89" s="8"/>
      <c r="Z89" s="14">
        <f>IF(T89=0,0,X89/T89)</f>
        <v>-3.3782431093120224</v>
      </c>
    </row>
    <row r="90" spans="1:26" ht="15" customHeight="1" x14ac:dyDescent="0.3">
      <c r="A90" s="12"/>
      <c r="B90" s="13"/>
      <c r="C90" s="13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O90" s="13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2" customFormat="1" ht="15" customHeight="1" x14ac:dyDescent="0.3">
      <c r="A91" s="13"/>
      <c r="B91" s="28" t="s">
        <v>293</v>
      </c>
      <c r="C91" s="28"/>
      <c r="D91" s="29">
        <f>+D87-D89</f>
        <v>1245241.8400000001</v>
      </c>
      <c r="E91" s="15"/>
      <c r="F91" s="31">
        <f>IF(D$12=0,0,D91/D$12)</f>
        <v>-226.69943126788667</v>
      </c>
      <c r="G91" s="15"/>
      <c r="H91" s="29">
        <f>+H87-H89</f>
        <v>-144393.31</v>
      </c>
      <c r="I91" s="15"/>
      <c r="J91" s="31">
        <f>IF(H$12=0,0,H91/H$12)</f>
        <v>-4.7953037719933311</v>
      </c>
      <c r="K91" s="17"/>
      <c r="L91" s="29">
        <f>D91-H91</f>
        <v>1389635.1500000001</v>
      </c>
      <c r="M91" s="17"/>
      <c r="N91" s="31">
        <f>IF(H91=0,0,L91/H91)</f>
        <v>-9.6239579936217279</v>
      </c>
      <c r="O91" s="27"/>
      <c r="P91" s="29">
        <f>+P87-P89</f>
        <v>2933396.5600000005</v>
      </c>
      <c r="Q91" s="15"/>
      <c r="R91" s="31">
        <f>IF(P$12=0,0,P91/P$12)</f>
        <v>0.51454444260399379</v>
      </c>
      <c r="S91" s="15"/>
      <c r="T91" s="29">
        <f>+T87-T89</f>
        <v>-1063975.8700000006</v>
      </c>
      <c r="U91" s="15"/>
      <c r="V91" s="31">
        <f>IF(T$12=0,0,T91/T$12)</f>
        <v>-1.0656411687672567</v>
      </c>
      <c r="W91" s="17"/>
      <c r="X91" s="29">
        <f>P91-T91</f>
        <v>3997372.4300000011</v>
      </c>
      <c r="Y91" s="17"/>
      <c r="Z91" s="31">
        <f>IF(T91=0,0,X91/T91)</f>
        <v>-3.7570141792783316</v>
      </c>
    </row>
    <row r="92" spans="1:26" ht="15" customHeight="1" x14ac:dyDescent="0.3">
      <c r="A92" s="12"/>
      <c r="B92" s="12"/>
      <c r="C92" s="12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ht="15" customHeight="1" x14ac:dyDescent="0.3">
      <c r="A93" s="12"/>
      <c r="B93" s="12"/>
      <c r="C93" s="12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2" customFormat="1" ht="15" customHeight="1" x14ac:dyDescent="0.3">
      <c r="A94" s="13"/>
      <c r="B94" s="28" t="s">
        <v>296</v>
      </c>
      <c r="C94" s="28"/>
      <c r="D94" s="30">
        <f>SUM(D91:D93)</f>
        <v>1245241.8400000001</v>
      </c>
      <c r="E94" s="15"/>
      <c r="F94" s="35">
        <f>IF(D$12=0,0,D94/D$12)</f>
        <v>-226.69943126788667</v>
      </c>
      <c r="G94" s="15"/>
      <c r="H94" s="30">
        <f>SUM(H91:H93)</f>
        <v>-144393.31</v>
      </c>
      <c r="I94" s="15"/>
      <c r="J94" s="35">
        <f>IF(H$12=0,0,H94/H$12)</f>
        <v>-4.7953037719933311</v>
      </c>
      <c r="K94" s="17"/>
      <c r="L94" s="30">
        <f>+D94-H94</f>
        <v>1389635.1500000001</v>
      </c>
      <c r="M94" s="17"/>
      <c r="N94" s="35">
        <f>IF(H94=0,0,L94/H94)</f>
        <v>-9.6239579936217279</v>
      </c>
      <c r="O94" s="27"/>
      <c r="P94" s="30">
        <f>SUM(P91:P93)</f>
        <v>2933396.5600000005</v>
      </c>
      <c r="Q94" s="15"/>
      <c r="R94" s="35">
        <f>IF(P$12=0,0,P94/P$12)</f>
        <v>0.51454444260399379</v>
      </c>
      <c r="S94" s="15"/>
      <c r="T94" s="30">
        <f>SUM(T91:T93)</f>
        <v>-1063975.8700000006</v>
      </c>
      <c r="U94" s="15"/>
      <c r="V94" s="35">
        <f>IF(T$12=0,0,T94/T$12)</f>
        <v>-1.0656411687672567</v>
      </c>
      <c r="W94" s="17"/>
      <c r="X94" s="30">
        <f>+P94-T94</f>
        <v>3997372.4300000011</v>
      </c>
      <c r="Y94" s="17"/>
      <c r="Z94" s="35">
        <f>IF(T94=0,0,X94/T94)</f>
        <v>-3.7570141792783316</v>
      </c>
    </row>
    <row r="95" spans="1:26" ht="15" customHeight="1" x14ac:dyDescent="0.3">
      <c r="A95" s="12"/>
      <c r="C95" s="12"/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A96" s="12"/>
      <c r="B96" s="54">
        <v>44767.815885219905</v>
      </c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2"/>
      <c r="B97" s="53" t="s">
        <v>297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2"/>
      <c r="B98" s="51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6BA4E-D0E1-1DA4-457F-D6E33DDF67EC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","450"," - ","Beachside Dining Hall")</f>
        <v>Department 450 - Beachside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1977098.7000000002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1977098.7000000002</v>
      </c>
      <c r="Y12" s="8"/>
      <c r="Z12" s="14">
        <f>IF(T12=0,0,X12/T12)</f>
        <v>0</v>
      </c>
    </row>
    <row r="13" spans="1:26" s="69" customFormat="1" ht="15" hidden="1" customHeight="1" outlineLevel="1" x14ac:dyDescent="0.3">
      <c r="A13" s="47"/>
      <c r="B13" s="9" t="str">
        <f>CONCATENATE("          ","4053"," - ","TAXABLE SALES-FOOD")</f>
        <v xml:space="preserve">          4053 - TAXABLE SALES-FOOD</v>
      </c>
      <c r="C13" s="9"/>
      <c r="D13" s="3">
        <f>0</f>
        <v>0</v>
      </c>
      <c r="E13" s="3"/>
      <c r="F13" s="26"/>
      <c r="G13" s="3"/>
      <c r="H13" s="3">
        <f>0</f>
        <v>0</v>
      </c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--354.32</f>
        <v>354.32</v>
      </c>
      <c r="Q13" s="3"/>
      <c r="R13" s="26"/>
      <c r="S13" s="3"/>
      <c r="T13" s="3">
        <f>0</f>
        <v>0</v>
      </c>
      <c r="U13" s="3"/>
      <c r="V13" s="26"/>
      <c r="W13" s="3"/>
      <c r="X13" s="3">
        <f>+P13-T13</f>
        <v>354.32</v>
      </c>
      <c r="Y13" s="3"/>
      <c r="Z13" s="26">
        <f>IF(T13=0,0,X13/T13)</f>
        <v>0</v>
      </c>
    </row>
    <row r="14" spans="1:26" s="69" customFormat="1" ht="15" hidden="1" customHeight="1" outlineLevel="1" x14ac:dyDescent="0.3">
      <c r="A14" s="47"/>
      <c r="B14" s="9" t="str">
        <f>CONCATENATE("          ","4151"," - ","NON-TAXABLE SALES-FOOD")</f>
        <v xml:space="preserve">          4151 - NON-TAXABLE SALES-FOOD</v>
      </c>
      <c r="C14" s="9"/>
      <c r="D14" s="3">
        <f>0</f>
        <v>0</v>
      </c>
      <c r="E14" s="3"/>
      <c r="F14" s="26"/>
      <c r="G14" s="3"/>
      <c r="H14" s="3">
        <f>0</f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--1967496.07</f>
        <v>1967496.07</v>
      </c>
      <c r="Q14" s="3"/>
      <c r="R14" s="26"/>
      <c r="S14" s="3"/>
      <c r="T14" s="3">
        <f>0</f>
        <v>0</v>
      </c>
      <c r="U14" s="3"/>
      <c r="V14" s="26"/>
      <c r="W14" s="3"/>
      <c r="X14" s="3">
        <f>+P14-T14</f>
        <v>1967496.07</v>
      </c>
      <c r="Y14" s="3"/>
      <c r="Z14" s="26">
        <f>IF(T14=0,0,X14/T14)</f>
        <v>0</v>
      </c>
    </row>
    <row r="15" spans="1:26" s="69" customFormat="1" ht="15" hidden="1" customHeight="1" outlineLevel="1" x14ac:dyDescent="0.3">
      <c r="A15" s="47"/>
      <c r="B15" s="9" t="str">
        <f>CONCATENATE("          ","4153"," - ","NON-TAXABLE SALES-FOOD")</f>
        <v xml:space="preserve">          4153 - NON-TAXABLE SALES-FOOD</v>
      </c>
      <c r="C15" s="9"/>
      <c r="D15" s="3">
        <f>0</f>
        <v>0</v>
      </c>
      <c r="E15" s="3"/>
      <c r="F15" s="26"/>
      <c r="G15" s="3"/>
      <c r="H15" s="3">
        <f>0</f>
        <v>0</v>
      </c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--9248.31</f>
        <v>9248.31</v>
      </c>
      <c r="Q15" s="3"/>
      <c r="R15" s="26"/>
      <c r="S15" s="3"/>
      <c r="T15" s="3">
        <f>0</f>
        <v>0</v>
      </c>
      <c r="U15" s="3"/>
      <c r="V15" s="26"/>
      <c r="W15" s="3"/>
      <c r="X15" s="3">
        <f>+P15-T15</f>
        <v>9248.31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2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collapsed="1" x14ac:dyDescent="0.3">
      <c r="A17" s="13"/>
      <c r="B17" s="27" t="s">
        <v>287</v>
      </c>
      <c r="C17" s="13"/>
      <c r="D17" s="8">
        <f>SUM(OSRRefD16x_0)</f>
        <v>-1693.35</v>
      </c>
      <c r="E17" s="8"/>
      <c r="F17" s="14">
        <f>IF(D$12=0,0,D17/D$12)</f>
        <v>0</v>
      </c>
      <c r="G17" s="8"/>
      <c r="H17" s="8">
        <f>SUM(OSRRefH16x_0)</f>
        <v>0</v>
      </c>
      <c r="I17" s="8"/>
      <c r="J17" s="14">
        <f>IF(H$12=0,0,H17/H$12)</f>
        <v>0</v>
      </c>
      <c r="K17" s="8"/>
      <c r="L17" s="8">
        <f>+D17-H17</f>
        <v>-1693.35</v>
      </c>
      <c r="M17" s="8"/>
      <c r="N17" s="14">
        <f>IF(H17=0,0,L17/H17)</f>
        <v>0</v>
      </c>
      <c r="O17" s="13"/>
      <c r="P17" s="8">
        <f>SUM(OSRRefP16x_0)</f>
        <v>465992.21</v>
      </c>
      <c r="Q17" s="8"/>
      <c r="R17" s="14">
        <f>IF(P$12=0,0,P17/P$12)</f>
        <v>0.23569496555735936</v>
      </c>
      <c r="S17" s="8"/>
      <c r="T17" s="8">
        <f>SUM(OSRRefT16x_0)</f>
        <v>0</v>
      </c>
      <c r="U17" s="8"/>
      <c r="V17" s="14">
        <f>IF(T$12=0,0,T17/T$12)</f>
        <v>0</v>
      </c>
      <c r="W17" s="8"/>
      <c r="X17" s="8">
        <f>+P17-T17</f>
        <v>465992.21</v>
      </c>
      <c r="Y17" s="8"/>
      <c r="Z17" s="14">
        <f>IF(T17=0,0,X17/T17)</f>
        <v>0</v>
      </c>
    </row>
    <row r="18" spans="1:26" s="69" customFormat="1" ht="15" hidden="1" customHeight="1" outlineLevel="1" x14ac:dyDescent="0.3">
      <c r="A18" s="47"/>
      <c r="B18" s="9" t="str">
        <f>CONCATENATE("          ","5053"," - ","PURCHASES @ COST-FOOD")</f>
        <v xml:space="preserve">          5053 - PURCHASES @ COST-FOOD</v>
      </c>
      <c r="C18" s="9"/>
      <c r="D18" s="3">
        <v>2087.65</v>
      </c>
      <c r="E18" s="3"/>
      <c r="F18" s="26">
        <f>IF(D$12=0,0,D18/D$12)</f>
        <v>0</v>
      </c>
      <c r="G18" s="3"/>
      <c r="H18" s="3"/>
      <c r="I18" s="3"/>
      <c r="J18" s="26">
        <f>IF(H$12=0,0,H18/H$12)</f>
        <v>0</v>
      </c>
      <c r="K18" s="3"/>
      <c r="L18" s="3">
        <f>+D18-H18</f>
        <v>2087.65</v>
      </c>
      <c r="M18" s="3"/>
      <c r="N18" s="26">
        <f>IF(H18=0,0,L18/H18)</f>
        <v>0</v>
      </c>
      <c r="O18" s="9"/>
      <c r="P18" s="3">
        <v>477212.27</v>
      </c>
      <c r="Q18" s="3"/>
      <c r="R18" s="26">
        <f>IF(P$12=0,0,P18/P$12)</f>
        <v>0.24136997814019095</v>
      </c>
      <c r="S18" s="3"/>
      <c r="T18" s="3"/>
      <c r="U18" s="3"/>
      <c r="V18" s="26">
        <f>IF(T$12=0,0,T18/T$12)</f>
        <v>0</v>
      </c>
      <c r="W18" s="3"/>
      <c r="X18" s="3">
        <f>+P18-T18</f>
        <v>477212.27</v>
      </c>
      <c r="Y18" s="3"/>
      <c r="Z18" s="26">
        <f>IF(T18=0,0,X18/T18)</f>
        <v>0</v>
      </c>
    </row>
    <row r="19" spans="1:26" s="69" customFormat="1" ht="15" hidden="1" customHeight="1" outlineLevel="1" x14ac:dyDescent="0.3">
      <c r="A19" s="47"/>
      <c r="B19" s="9" t="str">
        <f>CONCATENATE("          ","5059"," - ","PURCHASES @ COST-FOOD")</f>
        <v xml:space="preserve">          5059 - PURCHASES @ COST-FOOD</v>
      </c>
      <c r="C19" s="9"/>
      <c r="D19" s="3">
        <v>-3781</v>
      </c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-3781</v>
      </c>
      <c r="M19" s="3"/>
      <c r="N19" s="26">
        <f>IF(H19=0,0,L19/H19)</f>
        <v>0</v>
      </c>
      <c r="O19" s="9"/>
      <c r="P19" s="3">
        <v>-11220.06</v>
      </c>
      <c r="Q19" s="3"/>
      <c r="R19" s="26">
        <f>IF(P$12=0,0,P19/P$12)</f>
        <v>-5.6750125828315999E-3</v>
      </c>
      <c r="S19" s="3"/>
      <c r="T19" s="3"/>
      <c r="U19" s="3"/>
      <c r="V19" s="26">
        <f>IF(T$12=0,0,T19/T$12)</f>
        <v>0</v>
      </c>
      <c r="W19" s="3"/>
      <c r="X19" s="3">
        <f>+P19-T19</f>
        <v>-11220.06</v>
      </c>
      <c r="Y19" s="3"/>
      <c r="Z19" s="26">
        <f>IF(T19=0,0,X19/T19)</f>
        <v>0</v>
      </c>
    </row>
    <row r="20" spans="1:26" ht="15" customHeight="1" x14ac:dyDescent="0.3">
      <c r="A20" s="12"/>
      <c r="B20" s="13"/>
      <c r="C20" s="13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O20" s="13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2" customFormat="1" ht="15" customHeight="1" x14ac:dyDescent="0.3">
      <c r="A21" s="13"/>
      <c r="B21" s="28" t="s">
        <v>288</v>
      </c>
      <c r="C21" s="28"/>
      <c r="D21" s="22">
        <f>D12-D17</f>
        <v>1693.35</v>
      </c>
      <c r="E21" s="15"/>
      <c r="F21" s="24">
        <f>IF(D$12=0,0,D21/D$12)</f>
        <v>0</v>
      </c>
      <c r="G21" s="15"/>
      <c r="H21" s="22">
        <f>H12-H17</f>
        <v>0</v>
      </c>
      <c r="I21" s="15"/>
      <c r="J21" s="24">
        <f>IF(H$12=0,0,H21/H$12)</f>
        <v>0</v>
      </c>
      <c r="K21" s="17"/>
      <c r="L21" s="22">
        <f>+D21-H21</f>
        <v>1693.35</v>
      </c>
      <c r="M21" s="17"/>
      <c r="N21" s="24">
        <f>IF(H21=0,0,L21/H21)</f>
        <v>0</v>
      </c>
      <c r="O21" s="27"/>
      <c r="P21" s="22">
        <f>P12-P17</f>
        <v>1511106.4900000002</v>
      </c>
      <c r="Q21" s="15"/>
      <c r="R21" s="24">
        <f>IF(P$12=0,0,P21/P$12)</f>
        <v>0.76430503444264064</v>
      </c>
      <c r="S21" s="15"/>
      <c r="T21" s="22">
        <f>T12-T17</f>
        <v>0</v>
      </c>
      <c r="U21" s="15"/>
      <c r="V21" s="24">
        <f>IF(T$12=0,0,T21/T$12)</f>
        <v>0</v>
      </c>
      <c r="W21" s="17"/>
      <c r="X21" s="22">
        <f>+P21-T21</f>
        <v>1511106.4900000002</v>
      </c>
      <c r="Y21" s="17"/>
      <c r="Z21" s="24">
        <f>IF(T21=0,0,X21/T21)</f>
        <v>0</v>
      </c>
    </row>
    <row r="22" spans="1:26" ht="15" customHeight="1" x14ac:dyDescent="0.3">
      <c r="A22" s="12"/>
      <c r="B22" s="13"/>
      <c r="C22" s="12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7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2" customFormat="1" ht="15" customHeight="1" x14ac:dyDescent="0.3">
      <c r="A23" s="13"/>
      <c r="B23" s="27" t="s">
        <v>289</v>
      </c>
      <c r="C23" s="13"/>
      <c r="D23" s="23" cm="1">
        <f t="array" ref="D23">SUM(OSRRefD22x_0)</f>
        <v>52730.610000000008</v>
      </c>
      <c r="E23" s="23"/>
      <c r="F23" s="34">
        <f t="shared" ref="F23:F54" si="0">IF(D$12=0,0,D23/D$12)</f>
        <v>0</v>
      </c>
      <c r="G23" s="23"/>
      <c r="H23" s="23" cm="1">
        <f t="array" ref="H23">SUM(OSRRefH22x_0)</f>
        <v>38835.090000000004</v>
      </c>
      <c r="I23" s="23"/>
      <c r="J23" s="34">
        <f t="shared" ref="J23:J54" si="1">IF(H$12=0,0,H23/H$12)</f>
        <v>0</v>
      </c>
      <c r="K23" s="8"/>
      <c r="L23" s="23">
        <f t="shared" ref="L23:L54" si="2">+D23-H23</f>
        <v>13895.520000000004</v>
      </c>
      <c r="M23" s="8"/>
      <c r="N23" s="34">
        <f t="shared" ref="N23:N54" si="3">IF(H23=0,0,L23/H23)</f>
        <v>0.35780836351866324</v>
      </c>
      <c r="O23" s="13"/>
      <c r="P23" s="23" cm="1">
        <f t="array" ref="P23">SUM(OSRRefP22x_0)</f>
        <v>1323500.3900000001</v>
      </c>
      <c r="Q23" s="23"/>
      <c r="R23" s="34">
        <f t="shared" ref="R23:R54" si="4">IF(P$12=0,0,P23/P$12)</f>
        <v>0.66941543687222094</v>
      </c>
      <c r="S23" s="23"/>
      <c r="T23" s="23" cm="1">
        <f t="array" ref="T23">SUM(OSRRefT22x_0)</f>
        <v>487946.78</v>
      </c>
      <c r="U23" s="23"/>
      <c r="V23" s="34">
        <f t="shared" ref="V23:V54" si="5">IF(T$12=0,0,T23/T$12)</f>
        <v>0</v>
      </c>
      <c r="W23" s="8"/>
      <c r="X23" s="23">
        <f t="shared" ref="X23:X54" si="6">+P23-T23</f>
        <v>835553.6100000001</v>
      </c>
      <c r="Y23" s="8"/>
      <c r="Z23" s="34">
        <f t="shared" ref="Z23:Z54" si="7">IF(T23=0,0,X23/T23)</f>
        <v>1.7123867689013135</v>
      </c>
    </row>
    <row r="24" spans="1:26" s="68" customFormat="1" ht="15" customHeight="1" outlineLevel="1" collapsed="1" x14ac:dyDescent="0.3">
      <c r="A24" s="20"/>
      <c r="B24" s="11" t="str">
        <f>CONCATENATE("     ","*Benefits                                         ")</f>
        <v xml:space="preserve">     *Benefits                                         </v>
      </c>
      <c r="C24" s="11"/>
      <c r="D24" s="2">
        <f>SUM(OSRRefD22_0x_0)</f>
        <v>15578.19</v>
      </c>
      <c r="E24" s="2"/>
      <c r="F24" s="5">
        <f t="shared" si="0"/>
        <v>0</v>
      </c>
      <c r="G24" s="2"/>
      <c r="H24" s="2">
        <f>SUM(OSRRefH22_0x_0)</f>
        <v>19048.600000000002</v>
      </c>
      <c r="I24" s="2"/>
      <c r="J24" s="5">
        <f t="shared" si="1"/>
        <v>0</v>
      </c>
      <c r="K24" s="2"/>
      <c r="L24" s="2">
        <f t="shared" si="2"/>
        <v>-3470.4100000000017</v>
      </c>
      <c r="M24" s="2"/>
      <c r="N24" s="5">
        <f t="shared" si="3"/>
        <v>-0.1821871423621684</v>
      </c>
      <c r="O24" s="11"/>
      <c r="P24" s="2">
        <f>SUM(OSRRefP22_0x_0)</f>
        <v>284772.17000000004</v>
      </c>
      <c r="Q24" s="2"/>
      <c r="R24" s="5">
        <f t="shared" si="4"/>
        <v>0.14403538376713312</v>
      </c>
      <c r="S24" s="2"/>
      <c r="T24" s="2">
        <f>SUM(OSRRefT22_0x_0)</f>
        <v>233079.9</v>
      </c>
      <c r="U24" s="2"/>
      <c r="V24" s="5">
        <f t="shared" si="5"/>
        <v>0</v>
      </c>
      <c r="W24" s="2"/>
      <c r="X24" s="2">
        <f t="shared" si="6"/>
        <v>51692.270000000048</v>
      </c>
      <c r="Y24" s="2"/>
      <c r="Z24" s="5">
        <f t="shared" si="7"/>
        <v>0.22177918387643056</v>
      </c>
    </row>
    <row r="25" spans="1:26" s="69" customFormat="1" ht="15" hidden="1" customHeight="1" outlineLevel="2" x14ac:dyDescent="0.3">
      <c r="A25" s="21"/>
      <c r="B25" s="9" t="str">
        <f>CONCATENATE("          ","6111"," - ","F.I.C.A.")</f>
        <v xml:space="preserve">          6111 - F.I.C.A.</v>
      </c>
      <c r="C25" s="9"/>
      <c r="D25" s="6">
        <v>3090.32</v>
      </c>
      <c r="E25" s="3"/>
      <c r="F25" s="7">
        <f t="shared" si="0"/>
        <v>0</v>
      </c>
      <c r="G25" s="3"/>
      <c r="H25" s="6">
        <v>1529.03</v>
      </c>
      <c r="I25" s="3"/>
      <c r="J25" s="7">
        <f t="shared" si="1"/>
        <v>0</v>
      </c>
      <c r="K25" s="3"/>
      <c r="L25" s="6">
        <f t="shared" si="2"/>
        <v>1561.2900000000002</v>
      </c>
      <c r="M25" s="3"/>
      <c r="N25" s="7">
        <f t="shared" si="3"/>
        <v>1.021098343394178</v>
      </c>
      <c r="O25" s="9"/>
      <c r="P25" s="6">
        <v>39387.69</v>
      </c>
      <c r="Q25" s="3"/>
      <c r="R25" s="7">
        <f t="shared" si="4"/>
        <v>1.9921964442139381E-2</v>
      </c>
      <c r="S25" s="3"/>
      <c r="T25" s="6">
        <v>20290.330000000002</v>
      </c>
      <c r="U25" s="3"/>
      <c r="V25" s="7">
        <f t="shared" si="5"/>
        <v>0</v>
      </c>
      <c r="W25" s="3"/>
      <c r="X25" s="6">
        <f t="shared" si="6"/>
        <v>19097.36</v>
      </c>
      <c r="Y25" s="3"/>
      <c r="Z25" s="7">
        <f t="shared" si="7"/>
        <v>0.9412049976515906</v>
      </c>
    </row>
    <row r="26" spans="1:26" s="69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>
        <v>-7114.24</v>
      </c>
      <c r="E26" s="3"/>
      <c r="F26" s="7">
        <f t="shared" si="0"/>
        <v>0</v>
      </c>
      <c r="G26" s="3"/>
      <c r="H26" s="6">
        <v>852.97</v>
      </c>
      <c r="I26" s="3"/>
      <c r="J26" s="7">
        <f t="shared" si="1"/>
        <v>0</v>
      </c>
      <c r="K26" s="3"/>
      <c r="L26" s="6">
        <f t="shared" si="2"/>
        <v>-7967.21</v>
      </c>
      <c r="M26" s="3"/>
      <c r="N26" s="7">
        <f t="shared" si="3"/>
        <v>-9.3405512503370574</v>
      </c>
      <c r="O26" s="9"/>
      <c r="P26" s="6">
        <v>16622.95</v>
      </c>
      <c r="Q26" s="3"/>
      <c r="R26" s="7">
        <f t="shared" si="4"/>
        <v>8.4077491933002638E-3</v>
      </c>
      <c r="S26" s="3"/>
      <c r="T26" s="6">
        <v>11303.24</v>
      </c>
      <c r="U26" s="3"/>
      <c r="V26" s="7">
        <f t="shared" si="5"/>
        <v>0</v>
      </c>
      <c r="W26" s="3"/>
      <c r="X26" s="6">
        <f t="shared" si="6"/>
        <v>5319.7100000000009</v>
      </c>
      <c r="Y26" s="3"/>
      <c r="Z26" s="7">
        <f t="shared" si="7"/>
        <v>0.47063585308283296</v>
      </c>
    </row>
    <row r="27" spans="1:26" s="69" customFormat="1" ht="15" hidden="1" customHeight="1" outlineLevel="2" x14ac:dyDescent="0.3">
      <c r="A27" s="21"/>
      <c r="B27" s="9" t="str">
        <f>CONCATENATE("          ","6113"," - ","GROUP INSURANCE")</f>
        <v xml:space="preserve">          6113 - GROUP INSURANCE</v>
      </c>
      <c r="C27" s="9"/>
      <c r="D27" s="6">
        <v>12774.24</v>
      </c>
      <c r="E27" s="3"/>
      <c r="F27" s="7">
        <f t="shared" si="0"/>
        <v>0</v>
      </c>
      <c r="G27" s="3"/>
      <c r="H27" s="6">
        <v>12477.91</v>
      </c>
      <c r="I27" s="3"/>
      <c r="J27" s="7">
        <f t="shared" si="1"/>
        <v>0</v>
      </c>
      <c r="K27" s="3"/>
      <c r="L27" s="6">
        <f t="shared" si="2"/>
        <v>296.32999999999993</v>
      </c>
      <c r="M27" s="3"/>
      <c r="N27" s="7">
        <f t="shared" si="3"/>
        <v>2.3748368116134826E-2</v>
      </c>
      <c r="O27" s="9"/>
      <c r="P27" s="6">
        <v>148122.79</v>
      </c>
      <c r="Q27" s="3"/>
      <c r="R27" s="7">
        <f t="shared" si="4"/>
        <v>7.4919269331369234E-2</v>
      </c>
      <c r="S27" s="3"/>
      <c r="T27" s="6">
        <v>150568.99</v>
      </c>
      <c r="U27" s="3"/>
      <c r="V27" s="7">
        <f t="shared" si="5"/>
        <v>0</v>
      </c>
      <c r="W27" s="3"/>
      <c r="X27" s="6">
        <f t="shared" si="6"/>
        <v>-2446.1999999999825</v>
      </c>
      <c r="Y27" s="3"/>
      <c r="Z27" s="7">
        <f t="shared" si="7"/>
        <v>-1.6246373174184026E-2</v>
      </c>
    </row>
    <row r="28" spans="1:26" s="69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>
        <v>51.7</v>
      </c>
      <c r="I28" s="3"/>
      <c r="J28" s="7">
        <f t="shared" si="1"/>
        <v>0</v>
      </c>
      <c r="K28" s="3"/>
      <c r="L28" s="6">
        <f t="shared" si="2"/>
        <v>-51.7</v>
      </c>
      <c r="M28" s="3"/>
      <c r="N28" s="7">
        <f t="shared" si="3"/>
        <v>-1</v>
      </c>
      <c r="O28" s="9"/>
      <c r="P28" s="6">
        <v>1714.35</v>
      </c>
      <c r="Q28" s="3"/>
      <c r="R28" s="7">
        <f t="shared" si="4"/>
        <v>8.6710390331044157E-4</v>
      </c>
      <c r="S28" s="3"/>
      <c r="T28" s="6">
        <v>693.72</v>
      </c>
      <c r="U28" s="3"/>
      <c r="V28" s="7">
        <f t="shared" si="5"/>
        <v>0</v>
      </c>
      <c r="W28" s="3"/>
      <c r="X28" s="6">
        <f t="shared" si="6"/>
        <v>1020.6299999999999</v>
      </c>
      <c r="Y28" s="3"/>
      <c r="Z28" s="7">
        <f t="shared" si="7"/>
        <v>1.4712419996540389</v>
      </c>
    </row>
    <row r="29" spans="1:26" s="69" customFormat="1" ht="15" hidden="1" customHeight="1" outlineLevel="2" x14ac:dyDescent="0.3">
      <c r="A29" s="21"/>
      <c r="B29" s="9" t="str">
        <f>CONCATENATE("          ","6115"," - ","P.E.R.S.")</f>
        <v xml:space="preserve">          6115 - P.E.R.S.</v>
      </c>
      <c r="C29" s="9"/>
      <c r="D29" s="6">
        <v>1062.67</v>
      </c>
      <c r="E29" s="3"/>
      <c r="F29" s="7">
        <f t="shared" si="0"/>
        <v>0</v>
      </c>
      <c r="G29" s="3"/>
      <c r="H29" s="6">
        <v>741.28</v>
      </c>
      <c r="I29" s="3"/>
      <c r="J29" s="7">
        <f t="shared" si="1"/>
        <v>0</v>
      </c>
      <c r="K29" s="3"/>
      <c r="L29" s="6">
        <f t="shared" si="2"/>
        <v>321.3900000000001</v>
      </c>
      <c r="M29" s="3"/>
      <c r="N29" s="7">
        <f t="shared" si="3"/>
        <v>0.43356086768832303</v>
      </c>
      <c r="O29" s="9"/>
      <c r="P29" s="6">
        <v>11014.82</v>
      </c>
      <c r="Q29" s="3"/>
      <c r="R29" s="7">
        <f t="shared" si="4"/>
        <v>5.5712039060063102E-3</v>
      </c>
      <c r="S29" s="3"/>
      <c r="T29" s="6">
        <v>6725.94</v>
      </c>
      <c r="U29" s="3"/>
      <c r="V29" s="7">
        <f t="shared" si="5"/>
        <v>0</v>
      </c>
      <c r="W29" s="3"/>
      <c r="X29" s="6">
        <f t="shared" si="6"/>
        <v>4288.88</v>
      </c>
      <c r="Y29" s="3"/>
      <c r="Z29" s="7">
        <f t="shared" si="7"/>
        <v>0.63766254233608988</v>
      </c>
    </row>
    <row r="30" spans="1:26" s="69" customFormat="1" ht="15" hidden="1" customHeight="1" outlineLevel="2" x14ac:dyDescent="0.3">
      <c r="A30" s="21"/>
      <c r="B30" s="9" t="str">
        <f>CONCATENATE("          ","6117"," - ","RETIREMENT STAFF HOURLY")</f>
        <v xml:space="preserve">          6117 - RETIREMENT STAFF HOURLY</v>
      </c>
      <c r="C30" s="9"/>
      <c r="D30" s="6">
        <v>462.29</v>
      </c>
      <c r="E30" s="3"/>
      <c r="F30" s="7">
        <f t="shared" si="0"/>
        <v>0</v>
      </c>
      <c r="G30" s="3"/>
      <c r="H30" s="6">
        <v>521.35</v>
      </c>
      <c r="I30" s="3"/>
      <c r="J30" s="7">
        <f t="shared" si="1"/>
        <v>0</v>
      </c>
      <c r="K30" s="3"/>
      <c r="L30" s="6">
        <f t="shared" si="2"/>
        <v>-59.06</v>
      </c>
      <c r="M30" s="3"/>
      <c r="N30" s="7">
        <f t="shared" si="3"/>
        <v>-0.11328282343914836</v>
      </c>
      <c r="O30" s="9"/>
      <c r="P30" s="6">
        <v>7452.04</v>
      </c>
      <c r="Q30" s="3"/>
      <c r="R30" s="7">
        <f t="shared" si="4"/>
        <v>3.7691795558815549E-3</v>
      </c>
      <c r="S30" s="3"/>
      <c r="T30" s="6">
        <v>6945.45</v>
      </c>
      <c r="U30" s="3"/>
      <c r="V30" s="7">
        <f t="shared" si="5"/>
        <v>0</v>
      </c>
      <c r="W30" s="3"/>
      <c r="X30" s="6">
        <f t="shared" si="6"/>
        <v>506.59000000000015</v>
      </c>
      <c r="Y30" s="3"/>
      <c r="Z30" s="7">
        <f t="shared" si="7"/>
        <v>7.2938398519894337E-2</v>
      </c>
    </row>
    <row r="31" spans="1:26" s="69" customFormat="1" ht="15" hidden="1" customHeight="1" outlineLevel="2" x14ac:dyDescent="0.3">
      <c r="A31" s="21"/>
      <c r="B31" s="9" t="str">
        <f>CONCATENATE("          ","6118"," - ","VACATION")</f>
        <v xml:space="preserve">          6118 - VACATION</v>
      </c>
      <c r="C31" s="9"/>
      <c r="D31" s="6">
        <v>2315.1799999999998</v>
      </c>
      <c r="E31" s="3"/>
      <c r="F31" s="7">
        <f t="shared" si="0"/>
        <v>0</v>
      </c>
      <c r="G31" s="3"/>
      <c r="H31" s="6">
        <v>1248.1600000000001</v>
      </c>
      <c r="I31" s="3"/>
      <c r="J31" s="7">
        <f t="shared" si="1"/>
        <v>0</v>
      </c>
      <c r="K31" s="3"/>
      <c r="L31" s="6">
        <f t="shared" si="2"/>
        <v>1067.0199999999998</v>
      </c>
      <c r="M31" s="3"/>
      <c r="N31" s="7">
        <f t="shared" si="3"/>
        <v>0.85487437508011765</v>
      </c>
      <c r="O31" s="9"/>
      <c r="P31" s="6">
        <v>25631.26</v>
      </c>
      <c r="Q31" s="3"/>
      <c r="R31" s="7">
        <f t="shared" si="4"/>
        <v>1.2964077109554519E-2</v>
      </c>
      <c r="S31" s="3"/>
      <c r="T31" s="6">
        <v>16123.09</v>
      </c>
      <c r="U31" s="3"/>
      <c r="V31" s="7">
        <f t="shared" si="5"/>
        <v>0</v>
      </c>
      <c r="W31" s="3"/>
      <c r="X31" s="6">
        <f t="shared" si="6"/>
        <v>9508.1699999999983</v>
      </c>
      <c r="Y31" s="3"/>
      <c r="Z31" s="7">
        <f t="shared" si="7"/>
        <v>0.58972380604462282</v>
      </c>
    </row>
    <row r="32" spans="1:26" s="69" customFormat="1" ht="15" hidden="1" customHeight="1" outlineLevel="2" x14ac:dyDescent="0.3">
      <c r="A32" s="21"/>
      <c r="B32" s="9" t="str">
        <f>CONCATENATE("          ","6119"," - ","SICK LEAVE")</f>
        <v xml:space="preserve">          6119 - SICK LEAVE</v>
      </c>
      <c r="C32" s="9"/>
      <c r="D32" s="6">
        <v>1783.26</v>
      </c>
      <c r="E32" s="3"/>
      <c r="F32" s="7">
        <f t="shared" si="0"/>
        <v>0</v>
      </c>
      <c r="G32" s="3"/>
      <c r="H32" s="6">
        <v>950.34</v>
      </c>
      <c r="I32" s="3"/>
      <c r="J32" s="7">
        <f t="shared" si="1"/>
        <v>0</v>
      </c>
      <c r="K32" s="3"/>
      <c r="L32" s="6">
        <f t="shared" si="2"/>
        <v>832.92</v>
      </c>
      <c r="M32" s="3"/>
      <c r="N32" s="7">
        <f t="shared" si="3"/>
        <v>0.8764442199633814</v>
      </c>
      <c r="O32" s="9"/>
      <c r="P32" s="6">
        <v>21039.9</v>
      </c>
      <c r="Q32" s="3"/>
      <c r="R32" s="7">
        <f t="shared" si="4"/>
        <v>1.0641805591192792E-2</v>
      </c>
      <c r="S32" s="3"/>
      <c r="T32" s="6">
        <v>12329.58</v>
      </c>
      <c r="U32" s="3"/>
      <c r="V32" s="7">
        <f t="shared" si="5"/>
        <v>0</v>
      </c>
      <c r="W32" s="3"/>
      <c r="X32" s="6">
        <f t="shared" si="6"/>
        <v>8710.3200000000015</v>
      </c>
      <c r="Y32" s="3"/>
      <c r="Z32" s="7">
        <f t="shared" si="7"/>
        <v>0.70645715425829603</v>
      </c>
    </row>
    <row r="33" spans="1:26" s="69" customFormat="1" ht="15" hidden="1" customHeight="1" outlineLevel="2" x14ac:dyDescent="0.3">
      <c r="A33" s="21"/>
      <c r="B33" s="9" t="str">
        <f>CONCATENATE("          ","6156"," - ","EMPLOYEE MEALS")</f>
        <v xml:space="preserve">          6156 - EMPLOYEE MEALS</v>
      </c>
      <c r="C33" s="9"/>
      <c r="D33" s="6">
        <v>1204.47</v>
      </c>
      <c r="E33" s="3"/>
      <c r="F33" s="7">
        <f t="shared" si="0"/>
        <v>0</v>
      </c>
      <c r="G33" s="3"/>
      <c r="H33" s="6">
        <v>675.86</v>
      </c>
      <c r="I33" s="3"/>
      <c r="J33" s="7">
        <f t="shared" si="1"/>
        <v>0</v>
      </c>
      <c r="K33" s="3"/>
      <c r="L33" s="6">
        <f t="shared" si="2"/>
        <v>528.61</v>
      </c>
      <c r="M33" s="3"/>
      <c r="N33" s="7">
        <f t="shared" si="3"/>
        <v>0.78212943509010746</v>
      </c>
      <c r="O33" s="9"/>
      <c r="P33" s="6">
        <v>13786.37</v>
      </c>
      <c r="Q33" s="3"/>
      <c r="R33" s="7">
        <f t="shared" si="4"/>
        <v>6.9730307343786125E-3</v>
      </c>
      <c r="S33" s="3"/>
      <c r="T33" s="6">
        <v>8099.56</v>
      </c>
      <c r="U33" s="3"/>
      <c r="V33" s="7">
        <f t="shared" si="5"/>
        <v>0</v>
      </c>
      <c r="W33" s="3"/>
      <c r="X33" s="6">
        <f t="shared" si="6"/>
        <v>5686.81</v>
      </c>
      <c r="Y33" s="3"/>
      <c r="Z33" s="7">
        <f t="shared" si="7"/>
        <v>0.70211344813792353</v>
      </c>
    </row>
    <row r="34" spans="1:26" s="68" customFormat="1" ht="15" customHeight="1" outlineLevel="1" collapsed="1" x14ac:dyDescent="0.3">
      <c r="A34" s="20"/>
      <c r="B34" s="11" t="str">
        <f>CONCATENATE("     ","*Payroll                                          ")</f>
        <v xml:space="preserve">     *Payroll                                          </v>
      </c>
      <c r="C34" s="11"/>
      <c r="D34" s="2">
        <f>SUM(OSRRefD22_1x_0)</f>
        <v>29256.04</v>
      </c>
      <c r="E34" s="2"/>
      <c r="F34" s="5">
        <f t="shared" si="0"/>
        <v>0</v>
      </c>
      <c r="G34" s="2"/>
      <c r="H34" s="2">
        <f>SUM(OSRRefH22_1x_0)</f>
        <v>17476.89</v>
      </c>
      <c r="I34" s="2"/>
      <c r="J34" s="5">
        <f t="shared" si="1"/>
        <v>0</v>
      </c>
      <c r="K34" s="2"/>
      <c r="L34" s="2">
        <f t="shared" si="2"/>
        <v>11779.150000000001</v>
      </c>
      <c r="M34" s="2"/>
      <c r="N34" s="5">
        <f t="shared" si="3"/>
        <v>0.67398433016400527</v>
      </c>
      <c r="O34" s="11"/>
      <c r="P34" s="2">
        <f>SUM(OSRRefP22_1x_0)</f>
        <v>705271.28</v>
      </c>
      <c r="Q34" s="2"/>
      <c r="R34" s="5">
        <f t="shared" si="4"/>
        <v>0.3567203195267894</v>
      </c>
      <c r="S34" s="2"/>
      <c r="T34" s="2">
        <f>SUM(OSRRefT22_1x_0)</f>
        <v>239586.00999999998</v>
      </c>
      <c r="U34" s="2"/>
      <c r="V34" s="5">
        <f t="shared" si="5"/>
        <v>0</v>
      </c>
      <c r="W34" s="2"/>
      <c r="X34" s="2">
        <f t="shared" si="6"/>
        <v>465685.27</v>
      </c>
      <c r="Y34" s="2"/>
      <c r="Z34" s="5">
        <f t="shared" si="7"/>
        <v>1.9437081071636864</v>
      </c>
    </row>
    <row r="35" spans="1:26" s="69" customFormat="1" ht="15" hidden="1" customHeight="1" outlineLevel="2" x14ac:dyDescent="0.3">
      <c r="A35" s="21"/>
      <c r="B35" s="9" t="str">
        <f>CONCATENATE("          ","6002"," - ","STAFF SALARIES")</f>
        <v xml:space="preserve">          6002 - STAFF SALARIES</v>
      </c>
      <c r="C35" s="9"/>
      <c r="D35" s="6">
        <v>8211.94</v>
      </c>
      <c r="E35" s="3"/>
      <c r="F35" s="7">
        <f t="shared" si="0"/>
        <v>0</v>
      </c>
      <c r="G35" s="3"/>
      <c r="H35" s="6">
        <v>3808</v>
      </c>
      <c r="I35" s="3"/>
      <c r="J35" s="7">
        <f t="shared" si="1"/>
        <v>0</v>
      </c>
      <c r="K35" s="3"/>
      <c r="L35" s="6">
        <f t="shared" si="2"/>
        <v>4403.9400000000005</v>
      </c>
      <c r="M35" s="3"/>
      <c r="N35" s="7">
        <f t="shared" si="3"/>
        <v>1.156496848739496</v>
      </c>
      <c r="O35" s="9"/>
      <c r="P35" s="6">
        <v>119954.71</v>
      </c>
      <c r="Q35" s="3"/>
      <c r="R35" s="7">
        <f t="shared" si="4"/>
        <v>6.0672089865822072E-2</v>
      </c>
      <c r="S35" s="3"/>
      <c r="T35" s="6">
        <v>51128.99</v>
      </c>
      <c r="U35" s="3"/>
      <c r="V35" s="7">
        <f t="shared" si="5"/>
        <v>0</v>
      </c>
      <c r="W35" s="3"/>
      <c r="X35" s="6">
        <f t="shared" si="6"/>
        <v>68825.72</v>
      </c>
      <c r="Y35" s="3"/>
      <c r="Z35" s="7">
        <f t="shared" si="7"/>
        <v>1.3461192955307744</v>
      </c>
    </row>
    <row r="36" spans="1:26" s="69" customFormat="1" ht="15" hidden="1" customHeight="1" outlineLevel="2" x14ac:dyDescent="0.3">
      <c r="A36" s="21"/>
      <c r="B36" s="9" t="str">
        <f>CONCATENATE("          ","6004"," - ","STAFF HOURLY")</f>
        <v xml:space="preserve">          6004 - STAFF HOURLY</v>
      </c>
      <c r="C36" s="9"/>
      <c r="D36" s="6">
        <v>18209.13</v>
      </c>
      <c r="E36" s="3"/>
      <c r="F36" s="7">
        <f t="shared" si="0"/>
        <v>0</v>
      </c>
      <c r="G36" s="3"/>
      <c r="H36" s="6">
        <v>13668.89</v>
      </c>
      <c r="I36" s="3"/>
      <c r="J36" s="7">
        <f t="shared" si="1"/>
        <v>0</v>
      </c>
      <c r="K36" s="3"/>
      <c r="L36" s="6">
        <f t="shared" si="2"/>
        <v>4540.2400000000016</v>
      </c>
      <c r="M36" s="3"/>
      <c r="N36" s="7">
        <f t="shared" si="3"/>
        <v>0.33215864638606368</v>
      </c>
      <c r="O36" s="9"/>
      <c r="P36" s="6">
        <v>284718.05</v>
      </c>
      <c r="Q36" s="3"/>
      <c r="R36" s="7">
        <f t="shared" si="4"/>
        <v>0.14400801032340974</v>
      </c>
      <c r="S36" s="3"/>
      <c r="T36" s="6">
        <v>188457.02</v>
      </c>
      <c r="U36" s="3"/>
      <c r="V36" s="7">
        <f t="shared" si="5"/>
        <v>0</v>
      </c>
      <c r="W36" s="3"/>
      <c r="X36" s="6">
        <f t="shared" si="6"/>
        <v>96261.03</v>
      </c>
      <c r="Y36" s="3"/>
      <c r="Z36" s="7">
        <f t="shared" si="7"/>
        <v>0.51078505857728196</v>
      </c>
    </row>
    <row r="37" spans="1:26" s="69" customFormat="1" ht="15" hidden="1" customHeight="1" outlineLevel="2" x14ac:dyDescent="0.3">
      <c r="A37" s="21"/>
      <c r="B37" s="9" t="str">
        <f>CONCATENATE("          ","6005"," - ","TEMPORARY WAGES-HOURLY")</f>
        <v xml:space="preserve">          6005 - TEMPORARY WAGES-HOURLY</v>
      </c>
      <c r="C37" s="9"/>
      <c r="D37" s="6">
        <v>2834.97</v>
      </c>
      <c r="E37" s="3"/>
      <c r="F37" s="7">
        <f t="shared" si="0"/>
        <v>0</v>
      </c>
      <c r="G37" s="3"/>
      <c r="H37" s="6"/>
      <c r="I37" s="3"/>
      <c r="J37" s="7">
        <f t="shared" si="1"/>
        <v>0</v>
      </c>
      <c r="K37" s="3"/>
      <c r="L37" s="6">
        <f t="shared" si="2"/>
        <v>2834.97</v>
      </c>
      <c r="M37" s="3"/>
      <c r="N37" s="7">
        <f t="shared" si="3"/>
        <v>0</v>
      </c>
      <c r="O37" s="9"/>
      <c r="P37" s="6">
        <v>103178.98</v>
      </c>
      <c r="Q37" s="3"/>
      <c r="R37" s="7">
        <f t="shared" si="4"/>
        <v>5.2187065825292374E-2</v>
      </c>
      <c r="S37" s="3"/>
      <c r="T37" s="6"/>
      <c r="U37" s="3"/>
      <c r="V37" s="7">
        <f t="shared" si="5"/>
        <v>0</v>
      </c>
      <c r="W37" s="3"/>
      <c r="X37" s="6">
        <f t="shared" si="6"/>
        <v>103178.98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/>
      <c r="E38" s="3"/>
      <c r="F38" s="7">
        <f t="shared" si="0"/>
        <v>0</v>
      </c>
      <c r="G38" s="3"/>
      <c r="H38" s="6"/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>
        <v>148339.31</v>
      </c>
      <c r="Q38" s="3"/>
      <c r="R38" s="7">
        <f t="shared" si="4"/>
        <v>7.5028783337928437E-2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148339.31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49080.23</v>
      </c>
      <c r="Q39" s="3"/>
      <c r="R39" s="7">
        <f t="shared" si="4"/>
        <v>2.4824370174336769E-2</v>
      </c>
      <c r="S39" s="3"/>
      <c r="T39" s="6"/>
      <c r="U39" s="3"/>
      <c r="V39" s="7">
        <f t="shared" si="5"/>
        <v>0</v>
      </c>
      <c r="W39" s="3"/>
      <c r="X39" s="6">
        <f t="shared" si="6"/>
        <v>49080.23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0"/>
      <c r="B40" s="11" t="str">
        <f>CONCATENATE("     ","Advertising/Promo                                 ")</f>
        <v xml:space="preserve">     Advertising/Promo                                 </v>
      </c>
      <c r="C40" s="11"/>
      <c r="D40" s="2">
        <f>SUM(OSRRefD22_2x_0)</f>
        <v>388.12</v>
      </c>
      <c r="E40" s="2"/>
      <c r="F40" s="5">
        <f t="shared" si="0"/>
        <v>0</v>
      </c>
      <c r="G40" s="2"/>
      <c r="H40" s="2">
        <f>SUM(OSRRefH22_2x_0)</f>
        <v>12.3</v>
      </c>
      <c r="I40" s="2"/>
      <c r="J40" s="5">
        <f t="shared" si="1"/>
        <v>0</v>
      </c>
      <c r="K40" s="2"/>
      <c r="L40" s="2">
        <f t="shared" si="2"/>
        <v>375.82</v>
      </c>
      <c r="M40" s="2"/>
      <c r="N40" s="5">
        <f t="shared" si="3"/>
        <v>30.554471544715444</v>
      </c>
      <c r="O40" s="11"/>
      <c r="P40" s="2">
        <f>SUM(OSRRefP22_2x_0)</f>
        <v>2093.2199999999998</v>
      </c>
      <c r="Q40" s="2"/>
      <c r="R40" s="5">
        <f t="shared" si="4"/>
        <v>1.058733183123331E-3</v>
      </c>
      <c r="S40" s="2"/>
      <c r="T40" s="2">
        <f>SUM(OSRRefT22_2x_0)</f>
        <v>12.3</v>
      </c>
      <c r="U40" s="2"/>
      <c r="V40" s="5">
        <f t="shared" si="5"/>
        <v>0</v>
      </c>
      <c r="W40" s="2"/>
      <c r="X40" s="2">
        <f t="shared" si="6"/>
        <v>2080.9199999999996</v>
      </c>
      <c r="Y40" s="2"/>
      <c r="Z40" s="5">
        <f t="shared" si="7"/>
        <v>169.180487804878</v>
      </c>
    </row>
    <row r="41" spans="1:26" s="69" customFormat="1" ht="15" hidden="1" customHeight="1" outlineLevel="2" x14ac:dyDescent="0.3">
      <c r="A41" s="21"/>
      <c r="B41" s="9" t="str">
        <f>CONCATENATE("          ","6362"," - ","ADVERTISING EXPENSE")</f>
        <v xml:space="preserve">          6362 - ADVERTISING EXPENSE</v>
      </c>
      <c r="C41" s="9"/>
      <c r="D41" s="6">
        <v>388.12</v>
      </c>
      <c r="E41" s="3"/>
      <c r="F41" s="7">
        <f t="shared" si="0"/>
        <v>0</v>
      </c>
      <c r="G41" s="3"/>
      <c r="H41" s="6">
        <v>12.3</v>
      </c>
      <c r="I41" s="3"/>
      <c r="J41" s="7">
        <f t="shared" si="1"/>
        <v>0</v>
      </c>
      <c r="K41" s="3"/>
      <c r="L41" s="6">
        <f t="shared" si="2"/>
        <v>375.82</v>
      </c>
      <c r="M41" s="3"/>
      <c r="N41" s="7">
        <f t="shared" si="3"/>
        <v>30.554471544715444</v>
      </c>
      <c r="O41" s="9"/>
      <c r="P41" s="6">
        <v>2093.2199999999998</v>
      </c>
      <c r="Q41" s="3"/>
      <c r="R41" s="7">
        <f t="shared" si="4"/>
        <v>1.058733183123331E-3</v>
      </c>
      <c r="S41" s="3"/>
      <c r="T41" s="6">
        <v>12.3</v>
      </c>
      <c r="U41" s="3"/>
      <c r="V41" s="7">
        <f t="shared" si="5"/>
        <v>0</v>
      </c>
      <c r="W41" s="3"/>
      <c r="X41" s="6">
        <f t="shared" si="6"/>
        <v>2080.9199999999996</v>
      </c>
      <c r="Y41" s="3"/>
      <c r="Z41" s="7">
        <f t="shared" si="7"/>
        <v>169.180487804878</v>
      </c>
    </row>
    <row r="42" spans="1:26" s="68" customFormat="1" ht="15" customHeight="1" outlineLevel="1" collapsed="1" x14ac:dyDescent="0.3">
      <c r="A42" s="20"/>
      <c r="B42" s="11" t="str">
        <f>CONCATENATE("     ","Bad Debts/Over/Short                              ")</f>
        <v xml:space="preserve">     Bad Debts/Over/Short                              </v>
      </c>
      <c r="C42" s="11"/>
      <c r="D42" s="2">
        <f>SUM(OSRRefD22_3x_0)</f>
        <v>0</v>
      </c>
      <c r="E42" s="2"/>
      <c r="F42" s="5">
        <f t="shared" si="0"/>
        <v>0</v>
      </c>
      <c r="G42" s="2"/>
      <c r="H42" s="2">
        <f>SUM(OSRRefH22_3x_0)</f>
        <v>0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SUM(OSRRefP22_3x_0)</f>
        <v>16</v>
      </c>
      <c r="Q42" s="2"/>
      <c r="R42" s="5">
        <f t="shared" si="4"/>
        <v>8.0926662892449412E-6</v>
      </c>
      <c r="S42" s="2"/>
      <c r="T42" s="2">
        <f>SUM(OSRRefT22_3x_0)</f>
        <v>29.74</v>
      </c>
      <c r="U42" s="2"/>
      <c r="V42" s="5">
        <f t="shared" si="5"/>
        <v>0</v>
      </c>
      <c r="W42" s="2"/>
      <c r="X42" s="2">
        <f t="shared" si="6"/>
        <v>-13.739999999999998</v>
      </c>
      <c r="Y42" s="2"/>
      <c r="Z42" s="5">
        <f t="shared" si="7"/>
        <v>-0.46200403496973769</v>
      </c>
    </row>
    <row r="43" spans="1:26" s="69" customFormat="1" ht="15" hidden="1" customHeight="1" outlineLevel="2" x14ac:dyDescent="0.3">
      <c r="A43" s="21"/>
      <c r="B43" s="9" t="str">
        <f>CONCATENATE("          ","6272"," - ","CASH (OVER/SHORT)")</f>
        <v xml:space="preserve">          6272 - CASH (OVER/SHORT)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16</v>
      </c>
      <c r="Q43" s="3"/>
      <c r="R43" s="7">
        <f t="shared" si="4"/>
        <v>8.0926662892449412E-6</v>
      </c>
      <c r="S43" s="3"/>
      <c r="T43" s="6">
        <v>29.74</v>
      </c>
      <c r="U43" s="3"/>
      <c r="V43" s="7">
        <f t="shared" si="5"/>
        <v>0</v>
      </c>
      <c r="W43" s="3"/>
      <c r="X43" s="6">
        <f t="shared" si="6"/>
        <v>-13.739999999999998</v>
      </c>
      <c r="Y43" s="3"/>
      <c r="Z43" s="7">
        <f t="shared" si="7"/>
        <v>-0.46200403496973769</v>
      </c>
    </row>
    <row r="44" spans="1:26" s="68" customFormat="1" ht="15" customHeight="1" outlineLevel="1" collapsed="1" x14ac:dyDescent="0.3">
      <c r="A44" s="20"/>
      <c r="B44" s="11" t="str">
        <f>CONCATENATE("     ","Bank/card Fees                                    ")</f>
        <v xml:space="preserve">     Bank/card Fees                                    </v>
      </c>
      <c r="C44" s="11"/>
      <c r="D44" s="2">
        <f>SUM(OSRRefD22_4x_0)</f>
        <v>42.69</v>
      </c>
      <c r="E44" s="2"/>
      <c r="F44" s="5">
        <f t="shared" si="0"/>
        <v>0</v>
      </c>
      <c r="G44" s="2"/>
      <c r="H44" s="2">
        <f>SUM(OSRRefH22_4x_0)</f>
        <v>0</v>
      </c>
      <c r="I44" s="2"/>
      <c r="J44" s="5">
        <f t="shared" si="1"/>
        <v>0</v>
      </c>
      <c r="K44" s="2"/>
      <c r="L44" s="2">
        <f t="shared" si="2"/>
        <v>42.69</v>
      </c>
      <c r="M44" s="2"/>
      <c r="N44" s="5">
        <f t="shared" si="3"/>
        <v>0</v>
      </c>
      <c r="O44" s="11"/>
      <c r="P44" s="2">
        <f>SUM(OSRRefP22_4x_0)</f>
        <v>576.65</v>
      </c>
      <c r="Q44" s="2"/>
      <c r="R44" s="5">
        <f t="shared" si="4"/>
        <v>2.9166475098081846E-4</v>
      </c>
      <c r="S44" s="2"/>
      <c r="T44" s="2">
        <f>SUM(OSRRefT22_4x_0)</f>
        <v>0</v>
      </c>
      <c r="U44" s="2"/>
      <c r="V44" s="5">
        <f t="shared" si="5"/>
        <v>0</v>
      </c>
      <c r="W44" s="2"/>
      <c r="X44" s="2">
        <f t="shared" si="6"/>
        <v>576.65</v>
      </c>
      <c r="Y44" s="2"/>
      <c r="Z44" s="5">
        <f t="shared" si="7"/>
        <v>0</v>
      </c>
    </row>
    <row r="45" spans="1:26" s="69" customFormat="1" ht="15" hidden="1" customHeight="1" outlineLevel="2" x14ac:dyDescent="0.3">
      <c r="A45" s="21"/>
      <c r="B45" s="9" t="str">
        <f>CONCATENATE("          ","6381"," - ","BANK/CREDIT CARD FEES")</f>
        <v xml:space="preserve">          6381 - BANK/CREDIT CARD FEES</v>
      </c>
      <c r="C45" s="9"/>
      <c r="D45" s="6">
        <v>42.69</v>
      </c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42.69</v>
      </c>
      <c r="M45" s="3"/>
      <c r="N45" s="7">
        <f t="shared" si="3"/>
        <v>0</v>
      </c>
      <c r="O45" s="9"/>
      <c r="P45" s="6">
        <v>576.65</v>
      </c>
      <c r="Q45" s="3"/>
      <c r="R45" s="7">
        <f t="shared" si="4"/>
        <v>2.9166475098081846E-4</v>
      </c>
      <c r="S45" s="3"/>
      <c r="T45" s="6"/>
      <c r="U45" s="3"/>
      <c r="V45" s="7">
        <f t="shared" si="5"/>
        <v>0</v>
      </c>
      <c r="W45" s="3"/>
      <c r="X45" s="6">
        <f t="shared" si="6"/>
        <v>576.65</v>
      </c>
      <c r="Y45" s="3"/>
      <c r="Z45" s="7">
        <f t="shared" si="7"/>
        <v>0</v>
      </c>
    </row>
    <row r="46" spans="1:26" s="68" customFormat="1" ht="15" customHeight="1" outlineLevel="1" collapsed="1" x14ac:dyDescent="0.3">
      <c r="A46" s="20"/>
      <c r="B46" s="11" t="str">
        <f>CONCATENATE("     ","Depreciation                                      ")</f>
        <v xml:space="preserve">     Depreciation                                      </v>
      </c>
      <c r="C46" s="11"/>
      <c r="D46" s="2">
        <f>SUM(OSRRefD22_5x_0)</f>
        <v>212.99</v>
      </c>
      <c r="E46" s="2"/>
      <c r="F46" s="5">
        <f t="shared" si="0"/>
        <v>0</v>
      </c>
      <c r="G46" s="2"/>
      <c r="H46" s="2">
        <f>SUM(OSRRefH22_5x_0)</f>
        <v>212.99</v>
      </c>
      <c r="I46" s="2"/>
      <c r="J46" s="5">
        <f t="shared" si="1"/>
        <v>0</v>
      </c>
      <c r="K46" s="2"/>
      <c r="L46" s="2">
        <f t="shared" si="2"/>
        <v>0</v>
      </c>
      <c r="M46" s="2"/>
      <c r="N46" s="5">
        <f t="shared" si="3"/>
        <v>0</v>
      </c>
      <c r="O46" s="11"/>
      <c r="P46" s="2">
        <f>SUM(OSRRefP22_5x_0)</f>
        <v>2556.21</v>
      </c>
      <c r="Q46" s="2"/>
      <c r="R46" s="5">
        <f t="shared" si="4"/>
        <v>1.2929096559519259E-3</v>
      </c>
      <c r="S46" s="2"/>
      <c r="T46" s="2">
        <f>SUM(OSRRefT22_5x_0)</f>
        <v>2556.21</v>
      </c>
      <c r="U46" s="2"/>
      <c r="V46" s="5">
        <f t="shared" si="5"/>
        <v>0</v>
      </c>
      <c r="W46" s="2"/>
      <c r="X46" s="2">
        <f t="shared" si="6"/>
        <v>0</v>
      </c>
      <c r="Y46" s="2"/>
      <c r="Z46" s="5">
        <f t="shared" si="7"/>
        <v>0</v>
      </c>
    </row>
    <row r="47" spans="1:26" s="69" customFormat="1" ht="15" hidden="1" customHeight="1" outlineLevel="2" x14ac:dyDescent="0.3">
      <c r="A47" s="21"/>
      <c r="B47" s="9" t="str">
        <f>CONCATENATE("          ","6322"," - ","EQUIPMENT DEPRECIATION EXPENSE")</f>
        <v xml:space="preserve">          6322 - EQUIPMENT DEPRECIATION EXPENSE</v>
      </c>
      <c r="C47" s="9"/>
      <c r="D47" s="6">
        <v>212.99</v>
      </c>
      <c r="E47" s="3"/>
      <c r="F47" s="7">
        <f t="shared" si="0"/>
        <v>0</v>
      </c>
      <c r="G47" s="3"/>
      <c r="H47" s="6">
        <v>212.99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>
        <v>2556.21</v>
      </c>
      <c r="Q47" s="3"/>
      <c r="R47" s="7">
        <f t="shared" si="4"/>
        <v>1.2929096559519259E-3</v>
      </c>
      <c r="S47" s="3"/>
      <c r="T47" s="6">
        <v>2556.21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0"/>
      <c r="B48" s="11" t="str">
        <f>CONCATENATE("     ","Donations                                         ")</f>
        <v xml:space="preserve">     Donations                                         </v>
      </c>
      <c r="C48" s="11"/>
      <c r="D48" s="2">
        <f>SUM(OSRRefD22_6x_0)</f>
        <v>0</v>
      </c>
      <c r="E48" s="2"/>
      <c r="F48" s="5">
        <f t="shared" si="0"/>
        <v>0</v>
      </c>
      <c r="G48" s="2"/>
      <c r="H48" s="2">
        <f>SUM(OSRRefH22_6x_0)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SUM(OSRRefP22_6x_0)</f>
        <v>12120.01</v>
      </c>
      <c r="Q48" s="2"/>
      <c r="R48" s="5">
        <f t="shared" si="4"/>
        <v>6.1301997720194746E-3</v>
      </c>
      <c r="S48" s="2"/>
      <c r="T48" s="2">
        <f>SUM(OSRRefT22_6x_0)</f>
        <v>0</v>
      </c>
      <c r="U48" s="2"/>
      <c r="V48" s="5">
        <f t="shared" si="5"/>
        <v>0</v>
      </c>
      <c r="W48" s="2"/>
      <c r="X48" s="2">
        <f t="shared" si="6"/>
        <v>12120.01</v>
      </c>
      <c r="Y48" s="2"/>
      <c r="Z48" s="5">
        <f t="shared" si="7"/>
        <v>0</v>
      </c>
    </row>
    <row r="49" spans="1:26" s="69" customFormat="1" ht="15" hidden="1" customHeight="1" outlineLevel="2" x14ac:dyDescent="0.3">
      <c r="A49" s="21"/>
      <c r="B49" s="9" t="str">
        <f>CONCATENATE("          ","6399"," - ","DONATION-ON CAMPUS")</f>
        <v xml:space="preserve">          6399 - DONATION-ON CAMPUS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12120.01</v>
      </c>
      <c r="Q49" s="3"/>
      <c r="R49" s="7">
        <f t="shared" si="4"/>
        <v>6.1301997720194746E-3</v>
      </c>
      <c r="S49" s="3"/>
      <c r="T49" s="6"/>
      <c r="U49" s="3"/>
      <c r="V49" s="7">
        <f t="shared" si="5"/>
        <v>0</v>
      </c>
      <c r="W49" s="3"/>
      <c r="X49" s="6">
        <f t="shared" si="6"/>
        <v>12120.01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0"/>
      <c r="B50" s="11" t="str">
        <f>CONCATENATE("     ","Employees' Appreciation                           ")</f>
        <v xml:space="preserve">     Employees' Appreciation                           </v>
      </c>
      <c r="C50" s="11"/>
      <c r="D50" s="2">
        <f>SUM(OSRRefD22_7x_0)</f>
        <v>0</v>
      </c>
      <c r="E50" s="2"/>
      <c r="F50" s="5">
        <f t="shared" si="0"/>
        <v>0</v>
      </c>
      <c r="G50" s="2"/>
      <c r="H50" s="2">
        <f>SUM(OSRRefH22_7x_0)</f>
        <v>0</v>
      </c>
      <c r="I50" s="2"/>
      <c r="J50" s="5">
        <f t="shared" si="1"/>
        <v>0</v>
      </c>
      <c r="K50" s="2"/>
      <c r="L50" s="2">
        <f t="shared" si="2"/>
        <v>0</v>
      </c>
      <c r="M50" s="2"/>
      <c r="N50" s="5">
        <f t="shared" si="3"/>
        <v>0</v>
      </c>
      <c r="O50" s="11"/>
      <c r="P50" s="2">
        <f>SUM(OSRRefP22_7x_0)</f>
        <v>90.47</v>
      </c>
      <c r="Q50" s="2"/>
      <c r="R50" s="5">
        <f t="shared" si="4"/>
        <v>4.5758969949249368E-5</v>
      </c>
      <c r="S50" s="2"/>
      <c r="T50" s="2">
        <f>SUM(OSRRefT22_7x_0)</f>
        <v>0</v>
      </c>
      <c r="U50" s="2"/>
      <c r="V50" s="5">
        <f t="shared" si="5"/>
        <v>0</v>
      </c>
      <c r="W50" s="2"/>
      <c r="X50" s="2">
        <f t="shared" si="6"/>
        <v>90.47</v>
      </c>
      <c r="Y50" s="2"/>
      <c r="Z50" s="5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","6277"," - ","EMPLOYEE APPRECIATION")</f>
        <v xml:space="preserve">          6277 - EMPLOYEE APPRECIATION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90.47</v>
      </c>
      <c r="Q51" s="3"/>
      <c r="R51" s="7">
        <f t="shared" si="4"/>
        <v>4.5758969949249368E-5</v>
      </c>
      <c r="S51" s="3"/>
      <c r="T51" s="6"/>
      <c r="U51" s="3"/>
      <c r="V51" s="7">
        <f t="shared" si="5"/>
        <v>0</v>
      </c>
      <c r="W51" s="3"/>
      <c r="X51" s="6">
        <f t="shared" si="6"/>
        <v>90.47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0"/>
      <c r="B52" s="11" t="str">
        <f>CONCATENATE("     ","Equipment Rental                                  ")</f>
        <v xml:space="preserve">     Equipment Rental                                  </v>
      </c>
      <c r="C52" s="11"/>
      <c r="D52" s="2">
        <f>SUM(OSRRefD22_8x_0)</f>
        <v>0</v>
      </c>
      <c r="E52" s="2"/>
      <c r="F52" s="5">
        <f t="shared" si="0"/>
        <v>0</v>
      </c>
      <c r="G52" s="2"/>
      <c r="H52" s="2">
        <f>SUM(OSRRefH22_8x_0)</f>
        <v>0</v>
      </c>
      <c r="I52" s="2"/>
      <c r="J52" s="5">
        <f t="shared" si="1"/>
        <v>0</v>
      </c>
      <c r="K52" s="2"/>
      <c r="L52" s="2">
        <f t="shared" si="2"/>
        <v>0</v>
      </c>
      <c r="M52" s="2"/>
      <c r="N52" s="5">
        <f t="shared" si="3"/>
        <v>0</v>
      </c>
      <c r="O52" s="11"/>
      <c r="P52" s="2">
        <f>SUM(OSRRefP22_8x_0)</f>
        <v>0</v>
      </c>
      <c r="Q52" s="2"/>
      <c r="R52" s="5">
        <f t="shared" si="4"/>
        <v>0</v>
      </c>
      <c r="S52" s="2"/>
      <c r="T52" s="2">
        <f>SUM(OSRRefT22_8x_0)</f>
        <v>20</v>
      </c>
      <c r="U52" s="2"/>
      <c r="V52" s="5">
        <f t="shared" si="5"/>
        <v>0</v>
      </c>
      <c r="W52" s="2"/>
      <c r="X52" s="2">
        <f t="shared" si="6"/>
        <v>-20</v>
      </c>
      <c r="Y52" s="2"/>
      <c r="Z52" s="5">
        <f t="shared" si="7"/>
        <v>-1</v>
      </c>
    </row>
    <row r="53" spans="1:26" s="69" customFormat="1" ht="15" hidden="1" customHeight="1" outlineLevel="2" x14ac:dyDescent="0.3">
      <c r="A53" s="21"/>
      <c r="B53" s="9" t="str">
        <f>CONCATENATE("          ","6351"," - ","EQUIPMENT RENTAL")</f>
        <v xml:space="preserve">          6351 - EQUIPMENT RENTAL</v>
      </c>
      <c r="C53" s="9"/>
      <c r="D53" s="6"/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0</v>
      </c>
      <c r="M53" s="3"/>
      <c r="N53" s="7">
        <f t="shared" si="3"/>
        <v>0</v>
      </c>
      <c r="O53" s="9"/>
      <c r="P53" s="6"/>
      <c r="Q53" s="3"/>
      <c r="R53" s="7">
        <f t="shared" si="4"/>
        <v>0</v>
      </c>
      <c r="S53" s="3"/>
      <c r="T53" s="6">
        <v>20</v>
      </c>
      <c r="U53" s="3"/>
      <c r="V53" s="7">
        <f t="shared" si="5"/>
        <v>0</v>
      </c>
      <c r="W53" s="3"/>
      <c r="X53" s="6">
        <f t="shared" si="6"/>
        <v>-20</v>
      </c>
      <c r="Y53" s="3"/>
      <c r="Z53" s="7">
        <f t="shared" si="7"/>
        <v>-1</v>
      </c>
    </row>
    <row r="54" spans="1:26" s="68" customFormat="1" ht="15" customHeight="1" outlineLevel="1" collapsed="1" x14ac:dyDescent="0.3">
      <c r="A54" s="20"/>
      <c r="B54" s="11" t="str">
        <f>CONCATENATE("     ","General                                           ")</f>
        <v xml:space="preserve">     General                                           </v>
      </c>
      <c r="C54" s="11"/>
      <c r="D54" s="2">
        <f>SUM(OSRRefD22_9x_0)</f>
        <v>0</v>
      </c>
      <c r="E54" s="2"/>
      <c r="F54" s="5">
        <f t="shared" si="0"/>
        <v>0</v>
      </c>
      <c r="G54" s="2"/>
      <c r="H54" s="2">
        <f>SUM(OSRRefH22_9x_0)</f>
        <v>0</v>
      </c>
      <c r="I54" s="2"/>
      <c r="J54" s="5">
        <f t="shared" si="1"/>
        <v>0</v>
      </c>
      <c r="K54" s="2"/>
      <c r="L54" s="2">
        <f t="shared" si="2"/>
        <v>0</v>
      </c>
      <c r="M54" s="2"/>
      <c r="N54" s="5">
        <f t="shared" si="3"/>
        <v>0</v>
      </c>
      <c r="O54" s="11"/>
      <c r="P54" s="2">
        <f>SUM(OSRRefP22_9x_0)</f>
        <v>2071.98</v>
      </c>
      <c r="Q54" s="2"/>
      <c r="R54" s="5">
        <f t="shared" si="4"/>
        <v>1.0479901686243583E-3</v>
      </c>
      <c r="S54" s="2"/>
      <c r="T54" s="2">
        <f>SUM(OSRRefT22_9x_0)</f>
        <v>2179.0500000000002</v>
      </c>
      <c r="U54" s="2"/>
      <c r="V54" s="5">
        <f t="shared" si="5"/>
        <v>0</v>
      </c>
      <c r="W54" s="2"/>
      <c r="X54" s="2">
        <f t="shared" si="6"/>
        <v>-107.07000000000016</v>
      </c>
      <c r="Y54" s="2"/>
      <c r="Z54" s="5">
        <f t="shared" si="7"/>
        <v>-4.9136091415984101E-2</v>
      </c>
    </row>
    <row r="55" spans="1:26" s="69" customFormat="1" ht="15" hidden="1" customHeight="1" outlineLevel="2" x14ac:dyDescent="0.3">
      <c r="A55" s="21"/>
      <c r="B55" s="9" t="str">
        <f>CONCATENATE("          ","6279"," - ","GENERAL EXPENSE")</f>
        <v xml:space="preserve">          6279 - GENERAL EXPENSE</v>
      </c>
      <c r="C55" s="9"/>
      <c r="D55" s="6"/>
      <c r="E55" s="3"/>
      <c r="F55" s="7">
        <f t="shared" ref="F55:F79" si="8">IF(D$12=0,0,D55/D$12)</f>
        <v>0</v>
      </c>
      <c r="G55" s="3"/>
      <c r="H55" s="6">
        <v>0</v>
      </c>
      <c r="I55" s="3"/>
      <c r="J55" s="7">
        <f t="shared" ref="J55:J79" si="9">IF(H$12=0,0,H55/H$12)</f>
        <v>0</v>
      </c>
      <c r="K55" s="3"/>
      <c r="L55" s="6">
        <f t="shared" ref="L55:L79" si="10">+D55-H55</f>
        <v>0</v>
      </c>
      <c r="M55" s="3"/>
      <c r="N55" s="7">
        <f t="shared" ref="N55:N79" si="11">IF(H55=0,0,L55/H55)</f>
        <v>0</v>
      </c>
      <c r="O55" s="9"/>
      <c r="P55" s="6">
        <v>2071.98</v>
      </c>
      <c r="Q55" s="3"/>
      <c r="R55" s="7">
        <f t="shared" ref="R55:R79" si="12">IF(P$12=0,0,P55/P$12)</f>
        <v>1.0479901686243583E-3</v>
      </c>
      <c r="S55" s="3"/>
      <c r="T55" s="6">
        <v>2179.0500000000002</v>
      </c>
      <c r="U55" s="3"/>
      <c r="V55" s="7">
        <f t="shared" ref="V55:V79" si="13">IF(T$12=0,0,T55/T$12)</f>
        <v>0</v>
      </c>
      <c r="W55" s="3"/>
      <c r="X55" s="6">
        <f t="shared" ref="X55:X79" si="14">+P55-T55</f>
        <v>-107.07000000000016</v>
      </c>
      <c r="Y55" s="3"/>
      <c r="Z55" s="7">
        <f t="shared" ref="Z55:Z79" si="15">IF(T55=0,0,X55/T55)</f>
        <v>-4.9136091415984101E-2</v>
      </c>
    </row>
    <row r="56" spans="1:26" s="68" customFormat="1" ht="15" customHeight="1" outlineLevel="1" collapsed="1" x14ac:dyDescent="0.3">
      <c r="A56" s="20"/>
      <c r="B56" s="11" t="str">
        <f>CONCATENATE("     ","Insurance                                         ")</f>
        <v xml:space="preserve">     Insurance                                         </v>
      </c>
      <c r="C56" s="11"/>
      <c r="D56" s="2">
        <f>SUM(OSRRefD22_10x_0)</f>
        <v>5.32</v>
      </c>
      <c r="E56" s="2"/>
      <c r="F56" s="5">
        <f t="shared" si="8"/>
        <v>0</v>
      </c>
      <c r="G56" s="2"/>
      <c r="H56" s="2">
        <f>SUM(OSRRefH22_10x_0)</f>
        <v>-7.01</v>
      </c>
      <c r="I56" s="2"/>
      <c r="J56" s="5">
        <f t="shared" si="9"/>
        <v>0</v>
      </c>
      <c r="K56" s="2"/>
      <c r="L56" s="2">
        <f t="shared" si="10"/>
        <v>12.33</v>
      </c>
      <c r="M56" s="2"/>
      <c r="N56" s="5">
        <f t="shared" si="11"/>
        <v>-1.7589158345221114</v>
      </c>
      <c r="O56" s="11"/>
      <c r="P56" s="2">
        <f>SUM(OSRRefP22_10x_0)</f>
        <v>62.64</v>
      </c>
      <c r="Q56" s="2"/>
      <c r="R56" s="5">
        <f t="shared" si="12"/>
        <v>3.1682788522393945E-5</v>
      </c>
      <c r="S56" s="2"/>
      <c r="T56" s="2">
        <f>SUM(OSRRefT22_10x_0)</f>
        <v>57.89</v>
      </c>
      <c r="U56" s="2"/>
      <c r="V56" s="5">
        <f t="shared" si="13"/>
        <v>0</v>
      </c>
      <c r="W56" s="2"/>
      <c r="X56" s="2">
        <f t="shared" si="14"/>
        <v>4.75</v>
      </c>
      <c r="Y56" s="2"/>
      <c r="Z56" s="5">
        <f t="shared" si="15"/>
        <v>8.2052167904646742E-2</v>
      </c>
    </row>
    <row r="57" spans="1:26" s="69" customFormat="1" ht="15" hidden="1" customHeight="1" outlineLevel="2" x14ac:dyDescent="0.3">
      <c r="A57" s="21"/>
      <c r="B57" s="9" t="str">
        <f>CONCATENATE("          ","6314"," - ","LIABILITY INSURANCE")</f>
        <v xml:space="preserve">          6314 - LIABILITY INSURANCE</v>
      </c>
      <c r="C57" s="9"/>
      <c r="D57" s="6">
        <v>5.32</v>
      </c>
      <c r="E57" s="3"/>
      <c r="F57" s="7">
        <f t="shared" si="8"/>
        <v>0</v>
      </c>
      <c r="G57" s="3"/>
      <c r="H57" s="6">
        <v>-7.01</v>
      </c>
      <c r="I57" s="3"/>
      <c r="J57" s="7">
        <f t="shared" si="9"/>
        <v>0</v>
      </c>
      <c r="K57" s="3"/>
      <c r="L57" s="6">
        <f t="shared" si="10"/>
        <v>12.33</v>
      </c>
      <c r="M57" s="3"/>
      <c r="N57" s="7">
        <f t="shared" si="11"/>
        <v>-1.7589158345221114</v>
      </c>
      <c r="O57" s="9"/>
      <c r="P57" s="6">
        <v>62.64</v>
      </c>
      <c r="Q57" s="3"/>
      <c r="R57" s="7">
        <f t="shared" si="12"/>
        <v>3.1682788522393945E-5</v>
      </c>
      <c r="S57" s="3"/>
      <c r="T57" s="6">
        <v>57.89</v>
      </c>
      <c r="U57" s="3"/>
      <c r="V57" s="7">
        <f t="shared" si="13"/>
        <v>0</v>
      </c>
      <c r="W57" s="3"/>
      <c r="X57" s="6">
        <f t="shared" si="14"/>
        <v>4.75</v>
      </c>
      <c r="Y57" s="3"/>
      <c r="Z57" s="7">
        <f t="shared" si="15"/>
        <v>8.2052167904646742E-2</v>
      </c>
    </row>
    <row r="58" spans="1:26" s="68" customFormat="1" ht="15" customHeight="1" outlineLevel="1" collapsed="1" x14ac:dyDescent="0.3">
      <c r="A58" s="20"/>
      <c r="B58" s="11" t="str">
        <f>CONCATENATE("     ","R/H Commissions                                   ")</f>
        <v xml:space="preserve">     R/H Commissions                                   </v>
      </c>
      <c r="C58" s="11"/>
      <c r="D58" s="2">
        <f>SUM(OSRRefD22_11x_0)</f>
        <v>0</v>
      </c>
      <c r="E58" s="2"/>
      <c r="F58" s="5">
        <f t="shared" si="8"/>
        <v>0</v>
      </c>
      <c r="G58" s="2"/>
      <c r="H58" s="2">
        <f>SUM(OSRRefH22_11x_0)</f>
        <v>0</v>
      </c>
      <c r="I58" s="2"/>
      <c r="J58" s="5">
        <f t="shared" si="9"/>
        <v>0</v>
      </c>
      <c r="K58" s="2"/>
      <c r="L58" s="2">
        <f t="shared" si="10"/>
        <v>0</v>
      </c>
      <c r="M58" s="2"/>
      <c r="N58" s="5">
        <f t="shared" si="11"/>
        <v>0</v>
      </c>
      <c r="O58" s="11"/>
      <c r="P58" s="2">
        <f>SUM(OSRRefP22_11x_0)</f>
        <v>153578.54</v>
      </c>
      <c r="Q58" s="2"/>
      <c r="R58" s="5">
        <f t="shared" si="12"/>
        <v>7.7678742088091002E-2</v>
      </c>
      <c r="S58" s="2"/>
      <c r="T58" s="2">
        <f>SUM(OSRRefT22_11x_0)</f>
        <v>0</v>
      </c>
      <c r="U58" s="2"/>
      <c r="V58" s="5">
        <f t="shared" si="13"/>
        <v>0</v>
      </c>
      <c r="W58" s="2"/>
      <c r="X58" s="2">
        <f t="shared" si="14"/>
        <v>153578.54</v>
      </c>
      <c r="Y58" s="2"/>
      <c r="Z58" s="5">
        <f t="shared" si="15"/>
        <v>0</v>
      </c>
    </row>
    <row r="59" spans="1:26" s="69" customFormat="1" ht="15" hidden="1" customHeight="1" outlineLevel="2" x14ac:dyDescent="0.3">
      <c r="A59" s="21"/>
      <c r="B59" s="9" t="str">
        <f>CONCATENATE("          ","6387"," - ","COMMISSION DUE HOUSING")</f>
        <v xml:space="preserve">          6387 - COMMISSION DUE HOUSING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153578.54</v>
      </c>
      <c r="Q59" s="3"/>
      <c r="R59" s="7">
        <f t="shared" si="12"/>
        <v>7.7678742088091002E-2</v>
      </c>
      <c r="S59" s="3"/>
      <c r="T59" s="6"/>
      <c r="U59" s="3"/>
      <c r="V59" s="7">
        <f t="shared" si="13"/>
        <v>0</v>
      </c>
      <c r="W59" s="3"/>
      <c r="X59" s="6">
        <f t="shared" si="14"/>
        <v>153578.54</v>
      </c>
      <c r="Y59" s="3"/>
      <c r="Z59" s="7">
        <f t="shared" si="15"/>
        <v>0</v>
      </c>
    </row>
    <row r="60" spans="1:26" s="68" customFormat="1" ht="15" customHeight="1" outlineLevel="1" collapsed="1" x14ac:dyDescent="0.3">
      <c r="A60" s="20"/>
      <c r="B60" s="11" t="str">
        <f>CONCATENATE("     ","Repair and Maintenance                            ")</f>
        <v xml:space="preserve">     Repair and Maintenance                            </v>
      </c>
      <c r="C60" s="11"/>
      <c r="D60" s="2">
        <f>SUM(OSRRefD22_12x_0)</f>
        <v>130.15</v>
      </c>
      <c r="E60" s="2"/>
      <c r="F60" s="5">
        <f t="shared" si="8"/>
        <v>0</v>
      </c>
      <c r="G60" s="2"/>
      <c r="H60" s="2">
        <f>SUM(OSRRefH22_12x_0)</f>
        <v>71.86</v>
      </c>
      <c r="I60" s="2"/>
      <c r="J60" s="5">
        <f t="shared" si="9"/>
        <v>0</v>
      </c>
      <c r="K60" s="2"/>
      <c r="L60" s="2">
        <f t="shared" si="10"/>
        <v>58.290000000000006</v>
      </c>
      <c r="M60" s="2"/>
      <c r="N60" s="5">
        <f t="shared" si="11"/>
        <v>0.81116059003618157</v>
      </c>
      <c r="O60" s="11"/>
      <c r="P60" s="2">
        <f>SUM(OSRRefP22_12x_0)</f>
        <v>2668.43</v>
      </c>
      <c r="Q60" s="2"/>
      <c r="R60" s="5">
        <f t="shared" si="12"/>
        <v>1.3496695941381173E-3</v>
      </c>
      <c r="S60" s="2"/>
      <c r="T60" s="2">
        <f>SUM(OSRRefT22_12x_0)</f>
        <v>288.85000000000002</v>
      </c>
      <c r="U60" s="2"/>
      <c r="V60" s="5">
        <f t="shared" si="13"/>
        <v>0</v>
      </c>
      <c r="W60" s="2"/>
      <c r="X60" s="2">
        <f t="shared" si="14"/>
        <v>2379.58</v>
      </c>
      <c r="Y60" s="2"/>
      <c r="Z60" s="5">
        <f t="shared" si="15"/>
        <v>8.238116669551669</v>
      </c>
    </row>
    <row r="61" spans="1:26" s="69" customFormat="1" ht="15" hidden="1" customHeight="1" outlineLevel="2" x14ac:dyDescent="0.3">
      <c r="A61" s="21"/>
      <c r="B61" s="9" t="str">
        <f>CONCATENATE("          ","6373"," - ","MAINTENANCE CONTRACTS")</f>
        <v xml:space="preserve">          6373 - MAINTENANCE CONTRACTS</v>
      </c>
      <c r="C61" s="9"/>
      <c r="D61" s="6"/>
      <c r="E61" s="3"/>
      <c r="F61" s="7">
        <f t="shared" si="8"/>
        <v>0</v>
      </c>
      <c r="G61" s="3"/>
      <c r="H61" s="6">
        <v>71.86</v>
      </c>
      <c r="I61" s="3"/>
      <c r="J61" s="7">
        <f t="shared" si="9"/>
        <v>0</v>
      </c>
      <c r="K61" s="3"/>
      <c r="L61" s="6">
        <f t="shared" si="10"/>
        <v>-71.86</v>
      </c>
      <c r="M61" s="3"/>
      <c r="N61" s="7">
        <f t="shared" si="11"/>
        <v>-1</v>
      </c>
      <c r="O61" s="9"/>
      <c r="P61" s="6">
        <v>221.66</v>
      </c>
      <c r="Q61" s="3"/>
      <c r="R61" s="7">
        <f t="shared" si="12"/>
        <v>1.1211377560462712E-4</v>
      </c>
      <c r="S61" s="3"/>
      <c r="T61" s="6">
        <v>288.85000000000002</v>
      </c>
      <c r="U61" s="3"/>
      <c r="V61" s="7">
        <f t="shared" si="13"/>
        <v>0</v>
      </c>
      <c r="W61" s="3"/>
      <c r="X61" s="6">
        <f t="shared" si="14"/>
        <v>-67.190000000000026</v>
      </c>
      <c r="Y61" s="3"/>
      <c r="Z61" s="7">
        <f t="shared" si="15"/>
        <v>-0.23261208239570719</v>
      </c>
    </row>
    <row r="62" spans="1:26" s="69" customFormat="1" ht="15" hidden="1" customHeight="1" outlineLevel="2" x14ac:dyDescent="0.3">
      <c r="A62" s="21"/>
      <c r="B62" s="9" t="str">
        <f>CONCATENATE("          ","6375"," - ","OUTSIDE REPAIRS &amp; MAINTENANCE")</f>
        <v xml:space="preserve">          6375 - OUTSIDE REPAIRS &amp; MAINTENANCE</v>
      </c>
      <c r="C62" s="9"/>
      <c r="D62" s="6">
        <v>130.15</v>
      </c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130.15</v>
      </c>
      <c r="M62" s="3"/>
      <c r="N62" s="7">
        <f t="shared" si="11"/>
        <v>0</v>
      </c>
      <c r="O62" s="9"/>
      <c r="P62" s="6">
        <v>2446.77</v>
      </c>
      <c r="Q62" s="3"/>
      <c r="R62" s="7">
        <f t="shared" si="12"/>
        <v>1.2375558185334903E-3</v>
      </c>
      <c r="S62" s="3"/>
      <c r="T62" s="6"/>
      <c r="U62" s="3"/>
      <c r="V62" s="7">
        <f t="shared" si="13"/>
        <v>0</v>
      </c>
      <c r="W62" s="3"/>
      <c r="X62" s="6">
        <f t="shared" si="14"/>
        <v>2446.77</v>
      </c>
      <c r="Y62" s="3"/>
      <c r="Z62" s="7">
        <f t="shared" si="15"/>
        <v>0</v>
      </c>
    </row>
    <row r="63" spans="1:26" s="68" customFormat="1" ht="15" customHeight="1" outlineLevel="1" collapsed="1" x14ac:dyDescent="0.3">
      <c r="A63" s="20"/>
      <c r="B63" s="11" t="str">
        <f>CONCATENATE("     ","Services                                          ")</f>
        <v xml:space="preserve">     Services                                          </v>
      </c>
      <c r="C63" s="11"/>
      <c r="D63" s="2">
        <f>SUM(OSRRefD22_13x_0)</f>
        <v>5611.76</v>
      </c>
      <c r="E63" s="2"/>
      <c r="F63" s="5">
        <f t="shared" si="8"/>
        <v>0</v>
      </c>
      <c r="G63" s="2"/>
      <c r="H63" s="2">
        <f>SUM(OSRRefH22_13x_0)</f>
        <v>669.64</v>
      </c>
      <c r="I63" s="2"/>
      <c r="J63" s="5">
        <f t="shared" si="9"/>
        <v>0</v>
      </c>
      <c r="K63" s="2"/>
      <c r="L63" s="2">
        <f t="shared" si="10"/>
        <v>4942.12</v>
      </c>
      <c r="M63" s="2"/>
      <c r="N63" s="5">
        <f t="shared" si="11"/>
        <v>7.380264022459829</v>
      </c>
      <c r="O63" s="11"/>
      <c r="P63" s="2">
        <f>SUM(OSRRefP22_13x_0)</f>
        <v>59767.34</v>
      </c>
      <c r="Q63" s="2"/>
      <c r="R63" s="5">
        <f t="shared" si="12"/>
        <v>3.0229821100990047E-2</v>
      </c>
      <c r="S63" s="2"/>
      <c r="T63" s="2">
        <f>SUM(OSRRefT22_13x_0)</f>
        <v>8035.68</v>
      </c>
      <c r="U63" s="2"/>
      <c r="V63" s="5">
        <f t="shared" si="13"/>
        <v>0</v>
      </c>
      <c r="W63" s="2"/>
      <c r="X63" s="2">
        <f t="shared" si="14"/>
        <v>51731.659999999996</v>
      </c>
      <c r="Y63" s="2"/>
      <c r="Z63" s="5">
        <f t="shared" si="15"/>
        <v>6.4377451566015562</v>
      </c>
    </row>
    <row r="64" spans="1:26" s="69" customFormat="1" ht="15" hidden="1" customHeight="1" outlineLevel="2" x14ac:dyDescent="0.3">
      <c r="A64" s="21"/>
      <c r="B64" s="9" t="str">
        <f>CONCATENATE("          ","6282"," - ","JANITORIAL/EXTERMINATOR EXPENS")</f>
        <v xml:space="preserve">          6282 - JANITORIAL/EXTERMINATOR EXPENS</v>
      </c>
      <c r="C64" s="9"/>
      <c r="D64" s="6">
        <v>1459.9</v>
      </c>
      <c r="E64" s="3"/>
      <c r="F64" s="7">
        <f t="shared" si="8"/>
        <v>0</v>
      </c>
      <c r="G64" s="3"/>
      <c r="H64" s="6">
        <v>669.64</v>
      </c>
      <c r="I64" s="3"/>
      <c r="J64" s="7">
        <f t="shared" si="9"/>
        <v>0</v>
      </c>
      <c r="K64" s="3"/>
      <c r="L64" s="6">
        <f t="shared" si="10"/>
        <v>790.2600000000001</v>
      </c>
      <c r="M64" s="3"/>
      <c r="N64" s="7">
        <f t="shared" si="11"/>
        <v>1.180126635206977</v>
      </c>
      <c r="O64" s="9"/>
      <c r="P64" s="6">
        <v>8798.1</v>
      </c>
      <c r="Q64" s="3"/>
      <c r="R64" s="7">
        <f t="shared" si="12"/>
        <v>4.4500054549628703E-3</v>
      </c>
      <c r="S64" s="3"/>
      <c r="T64" s="6">
        <v>7437.81</v>
      </c>
      <c r="U64" s="3"/>
      <c r="V64" s="7">
        <f t="shared" si="13"/>
        <v>0</v>
      </c>
      <c r="W64" s="3"/>
      <c r="X64" s="6">
        <f t="shared" si="14"/>
        <v>1360.29</v>
      </c>
      <c r="Y64" s="3"/>
      <c r="Z64" s="7">
        <f t="shared" si="15"/>
        <v>0.18288851153767036</v>
      </c>
    </row>
    <row r="65" spans="1:26" s="69" customFormat="1" ht="15" hidden="1" customHeight="1" outlineLevel="2" x14ac:dyDescent="0.3">
      <c r="A65" s="21"/>
      <c r="B65" s="9" t="str">
        <f>CONCATENATE("          ","6285"," - ","JANITORIAL SERVICES")</f>
        <v xml:space="preserve">          6285 - JANITORIAL SERVICES</v>
      </c>
      <c r="C65" s="9"/>
      <c r="D65" s="6">
        <v>4151.8599999999997</v>
      </c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4151.8599999999997</v>
      </c>
      <c r="M65" s="3"/>
      <c r="N65" s="7">
        <f t="shared" si="11"/>
        <v>0</v>
      </c>
      <c r="O65" s="9"/>
      <c r="P65" s="6">
        <v>43714.79</v>
      </c>
      <c r="Q65" s="3"/>
      <c r="R65" s="7">
        <f t="shared" si="12"/>
        <v>2.211057546090137E-2</v>
      </c>
      <c r="S65" s="3"/>
      <c r="T65" s="6"/>
      <c r="U65" s="3"/>
      <c r="V65" s="7">
        <f t="shared" si="13"/>
        <v>0</v>
      </c>
      <c r="W65" s="3"/>
      <c r="X65" s="6">
        <f t="shared" si="14"/>
        <v>43714.79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","6286"," - ","LAUNDRY EXPENSE")</f>
        <v xml:space="preserve">          6286 - LAUNDRY EXPENSE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7254.45</v>
      </c>
      <c r="Q66" s="3"/>
      <c r="R66" s="7">
        <f t="shared" si="12"/>
        <v>3.6692401851258103E-3</v>
      </c>
      <c r="S66" s="3"/>
      <c r="T66" s="6">
        <v>597.87</v>
      </c>
      <c r="U66" s="3"/>
      <c r="V66" s="7">
        <f t="shared" si="13"/>
        <v>0</v>
      </c>
      <c r="W66" s="3"/>
      <c r="X66" s="6">
        <f t="shared" si="14"/>
        <v>6656.58</v>
      </c>
      <c r="Y66" s="3"/>
      <c r="Z66" s="7">
        <f t="shared" si="15"/>
        <v>11.133825079030558</v>
      </c>
    </row>
    <row r="67" spans="1:26" s="68" customFormat="1" ht="15" customHeight="1" outlineLevel="1" collapsed="1" x14ac:dyDescent="0.3">
      <c r="A67" s="20"/>
      <c r="B67" s="11" t="str">
        <f>CONCATENATE("     ","Supplies                                          ")</f>
        <v xml:space="preserve">     Supplies                                          </v>
      </c>
      <c r="C67" s="11"/>
      <c r="D67" s="2">
        <f>SUM(OSRRefD22_14x_0)</f>
        <v>1469.3500000000001</v>
      </c>
      <c r="E67" s="2"/>
      <c r="F67" s="5">
        <f t="shared" si="8"/>
        <v>0</v>
      </c>
      <c r="G67" s="2"/>
      <c r="H67" s="2">
        <f>SUM(OSRRefH22_14x_0)</f>
        <v>1199.82</v>
      </c>
      <c r="I67" s="2"/>
      <c r="J67" s="5">
        <f t="shared" si="9"/>
        <v>0</v>
      </c>
      <c r="K67" s="2"/>
      <c r="L67" s="2">
        <f t="shared" si="10"/>
        <v>269.5300000000002</v>
      </c>
      <c r="M67" s="2"/>
      <c r="N67" s="5">
        <f t="shared" si="11"/>
        <v>0.22464202963777918</v>
      </c>
      <c r="O67" s="11"/>
      <c r="P67" s="2">
        <f>SUM(OSRRefP22_14x_0)</f>
        <v>95260.189999999988</v>
      </c>
      <c r="Q67" s="2"/>
      <c r="R67" s="5">
        <f t="shared" si="12"/>
        <v>4.8181808020004248E-2</v>
      </c>
      <c r="S67" s="2"/>
      <c r="T67" s="2">
        <f>SUM(OSRRefT22_14x_0)</f>
        <v>1296.52</v>
      </c>
      <c r="U67" s="2"/>
      <c r="V67" s="5">
        <f t="shared" si="13"/>
        <v>0</v>
      </c>
      <c r="W67" s="2"/>
      <c r="X67" s="2">
        <f t="shared" si="14"/>
        <v>93963.669999999984</v>
      </c>
      <c r="Y67" s="2"/>
      <c r="Z67" s="5">
        <f t="shared" si="15"/>
        <v>72.473752815228451</v>
      </c>
    </row>
    <row r="68" spans="1:26" s="69" customFormat="1" ht="15" hidden="1" customHeight="1" outlineLevel="2" x14ac:dyDescent="0.3">
      <c r="A68" s="21"/>
      <c r="B68" s="9" t="str">
        <f>CONCATENATE("          ","6237"," - ","JANITORIAL SUPPLIES")</f>
        <v xml:space="preserve">          6237 - JANITORIAL SUPPLIES</v>
      </c>
      <c r="C68" s="9"/>
      <c r="D68" s="6">
        <v>1434.89</v>
      </c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1434.89</v>
      </c>
      <c r="M68" s="3"/>
      <c r="N68" s="7">
        <f t="shared" si="11"/>
        <v>0</v>
      </c>
      <c r="O68" s="9"/>
      <c r="P68" s="6">
        <v>34815.82</v>
      </c>
      <c r="Q68" s="3"/>
      <c r="R68" s="7">
        <f t="shared" si="12"/>
        <v>1.760955080290124E-2</v>
      </c>
      <c r="S68" s="3"/>
      <c r="T68" s="6"/>
      <c r="U68" s="3"/>
      <c r="V68" s="7">
        <f t="shared" si="13"/>
        <v>0</v>
      </c>
      <c r="W68" s="3"/>
      <c r="X68" s="6">
        <f t="shared" si="14"/>
        <v>34815.82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1"/>
      <c r="B69" s="9" t="str">
        <f>CONCATENATE("          ","6239"," - ","KITCHEN SUPPLIES")</f>
        <v xml:space="preserve">          6239 - KITCHEN SUPPLIES</v>
      </c>
      <c r="C69" s="9"/>
      <c r="D69" s="6"/>
      <c r="E69" s="3"/>
      <c r="F69" s="7">
        <f t="shared" si="8"/>
        <v>0</v>
      </c>
      <c r="G69" s="3"/>
      <c r="H69" s="6">
        <v>1199.82</v>
      </c>
      <c r="I69" s="3"/>
      <c r="J69" s="7">
        <f t="shared" si="9"/>
        <v>0</v>
      </c>
      <c r="K69" s="3"/>
      <c r="L69" s="6">
        <f t="shared" si="10"/>
        <v>-1199.82</v>
      </c>
      <c r="M69" s="3"/>
      <c r="N69" s="7">
        <f t="shared" si="11"/>
        <v>-1</v>
      </c>
      <c r="O69" s="9"/>
      <c r="P69" s="6">
        <v>11670.66</v>
      </c>
      <c r="Q69" s="3"/>
      <c r="R69" s="7">
        <f t="shared" si="12"/>
        <v>5.9029222972024611E-3</v>
      </c>
      <c r="S69" s="3"/>
      <c r="T69" s="6">
        <v>1199.82</v>
      </c>
      <c r="U69" s="3"/>
      <c r="V69" s="7">
        <f t="shared" si="13"/>
        <v>0</v>
      </c>
      <c r="W69" s="3"/>
      <c r="X69" s="6">
        <f t="shared" si="14"/>
        <v>10470.84</v>
      </c>
      <c r="Y69" s="3"/>
      <c r="Z69" s="7">
        <f t="shared" si="15"/>
        <v>8.7270090513577045</v>
      </c>
    </row>
    <row r="70" spans="1:26" s="69" customFormat="1" ht="15" hidden="1" customHeight="1" outlineLevel="2" x14ac:dyDescent="0.3">
      <c r="A70" s="21"/>
      <c r="B70" s="9" t="str">
        <f>CONCATENATE("          ","6241"," - ","OFFICE EXPENSE")</f>
        <v xml:space="preserve">          6241 - OFFICE EXPENSE</v>
      </c>
      <c r="C70" s="9"/>
      <c r="D70" s="6">
        <v>34.46</v>
      </c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34.46</v>
      </c>
      <c r="M70" s="3"/>
      <c r="N70" s="7">
        <f t="shared" si="11"/>
        <v>0</v>
      </c>
      <c r="O70" s="9"/>
      <c r="P70" s="6">
        <v>6442.57</v>
      </c>
      <c r="Q70" s="3"/>
      <c r="R70" s="7">
        <f t="shared" si="12"/>
        <v>3.2585980659437987E-3</v>
      </c>
      <c r="S70" s="3"/>
      <c r="T70" s="6">
        <v>96.7</v>
      </c>
      <c r="U70" s="3"/>
      <c r="V70" s="7">
        <f t="shared" si="13"/>
        <v>0</v>
      </c>
      <c r="W70" s="3"/>
      <c r="X70" s="6">
        <f t="shared" si="14"/>
        <v>6345.87</v>
      </c>
      <c r="Y70" s="3"/>
      <c r="Z70" s="7">
        <f t="shared" si="15"/>
        <v>65.624301964839702</v>
      </c>
    </row>
    <row r="71" spans="1:26" s="69" customFormat="1" ht="15" hidden="1" customHeight="1" outlineLevel="2" x14ac:dyDescent="0.3">
      <c r="A71" s="21"/>
      <c r="B71" s="9" t="str">
        <f>CONCATENATE("          ","6243"," - ","PAPER SUPPLIES")</f>
        <v xml:space="preserve">          6243 - PAPER SUPPLIES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39808.1</v>
      </c>
      <c r="Q71" s="3"/>
      <c r="R71" s="7">
        <f t="shared" si="12"/>
        <v>2.0134604306805724E-2</v>
      </c>
      <c r="S71" s="3"/>
      <c r="T71" s="6"/>
      <c r="U71" s="3"/>
      <c r="V71" s="7">
        <f t="shared" si="13"/>
        <v>0</v>
      </c>
      <c r="W71" s="3"/>
      <c r="X71" s="6">
        <f t="shared" si="14"/>
        <v>39808.1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1"/>
      <c r="B72" s="9" t="str">
        <f>CONCATENATE("          ","6247"," - ","STORE SUPPLIES")</f>
        <v xml:space="preserve">          6247 - STORE SUPPLIES</v>
      </c>
      <c r="C72" s="9"/>
      <c r="D72" s="6"/>
      <c r="E72" s="3"/>
      <c r="F72" s="7">
        <f t="shared" si="8"/>
        <v>0</v>
      </c>
      <c r="G72" s="3"/>
      <c r="H72" s="6"/>
      <c r="I72" s="3"/>
      <c r="J72" s="7">
        <f t="shared" si="9"/>
        <v>0</v>
      </c>
      <c r="K72" s="3"/>
      <c r="L72" s="6">
        <f t="shared" si="10"/>
        <v>0</v>
      </c>
      <c r="M72" s="3"/>
      <c r="N72" s="7">
        <f t="shared" si="11"/>
        <v>0</v>
      </c>
      <c r="O72" s="9"/>
      <c r="P72" s="6">
        <v>652.62</v>
      </c>
      <c r="Q72" s="3"/>
      <c r="R72" s="7">
        <f t="shared" si="12"/>
        <v>3.3008974210543964E-4</v>
      </c>
      <c r="S72" s="3"/>
      <c r="T72" s="6"/>
      <c r="U72" s="3"/>
      <c r="V72" s="7">
        <f t="shared" si="13"/>
        <v>0</v>
      </c>
      <c r="W72" s="3"/>
      <c r="X72" s="6">
        <f t="shared" si="14"/>
        <v>652.62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1"/>
      <c r="B73" s="9" t="str">
        <f>CONCATENATE("          ","6248"," - ","UNIFORMS")</f>
        <v xml:space="preserve">          6248 - UNIFORMS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1870.42</v>
      </c>
      <c r="Q73" s="3"/>
      <c r="R73" s="7">
        <f t="shared" si="12"/>
        <v>9.4604280504559531E-4</v>
      </c>
      <c r="S73" s="3"/>
      <c r="T73" s="6"/>
      <c r="U73" s="3"/>
      <c r="V73" s="7">
        <f t="shared" si="13"/>
        <v>0</v>
      </c>
      <c r="W73" s="3"/>
      <c r="X73" s="6">
        <f t="shared" si="14"/>
        <v>1870.42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0"/>
      <c r="B74" s="11" t="str">
        <f>CONCATENATE("     ","Telephone/Data Lines                              ")</f>
        <v xml:space="preserve">     Telephone/Data Lines                              </v>
      </c>
      <c r="C74" s="11"/>
      <c r="D74" s="2">
        <f>SUM(OSRRefD22_15x_0)</f>
        <v>36</v>
      </c>
      <c r="E74" s="2"/>
      <c r="F74" s="5">
        <f t="shared" si="8"/>
        <v>0</v>
      </c>
      <c r="G74" s="2"/>
      <c r="H74" s="2">
        <f>SUM(OSRRefH22_15x_0)</f>
        <v>150</v>
      </c>
      <c r="I74" s="2"/>
      <c r="J74" s="5">
        <f t="shared" si="9"/>
        <v>0</v>
      </c>
      <c r="K74" s="2"/>
      <c r="L74" s="2">
        <f t="shared" si="10"/>
        <v>-114</v>
      </c>
      <c r="M74" s="2"/>
      <c r="N74" s="5">
        <f t="shared" si="11"/>
        <v>-0.76</v>
      </c>
      <c r="O74" s="11"/>
      <c r="P74" s="2">
        <f>SUM(OSRRefP22_15x_0)</f>
        <v>1922.85</v>
      </c>
      <c r="Q74" s="2"/>
      <c r="R74" s="5">
        <f t="shared" si="12"/>
        <v>9.7256146089216475E-4</v>
      </c>
      <c r="S74" s="2"/>
      <c r="T74" s="2">
        <f>SUM(OSRRefT22_15x_0)</f>
        <v>804.63</v>
      </c>
      <c r="U74" s="2"/>
      <c r="V74" s="5">
        <f t="shared" si="13"/>
        <v>0</v>
      </c>
      <c r="W74" s="2"/>
      <c r="X74" s="2">
        <f t="shared" si="14"/>
        <v>1118.2199999999998</v>
      </c>
      <c r="Y74" s="2"/>
      <c r="Z74" s="5">
        <f t="shared" si="15"/>
        <v>1.3897319264755226</v>
      </c>
    </row>
    <row r="75" spans="1:26" s="69" customFormat="1" ht="15" hidden="1" customHeight="1" outlineLevel="2" x14ac:dyDescent="0.3">
      <c r="A75" s="21"/>
      <c r="B75" s="9" t="str">
        <f>CONCATENATE("          ","6309"," - ","TELEPHONE")</f>
        <v xml:space="preserve">          6309 - TELEPHONE</v>
      </c>
      <c r="C75" s="9"/>
      <c r="D75" s="6">
        <v>36</v>
      </c>
      <c r="E75" s="3"/>
      <c r="F75" s="7">
        <f t="shared" si="8"/>
        <v>0</v>
      </c>
      <c r="G75" s="3"/>
      <c r="H75" s="6">
        <v>150</v>
      </c>
      <c r="I75" s="3"/>
      <c r="J75" s="7">
        <f t="shared" si="9"/>
        <v>0</v>
      </c>
      <c r="K75" s="3"/>
      <c r="L75" s="6">
        <f t="shared" si="10"/>
        <v>-114</v>
      </c>
      <c r="M75" s="3"/>
      <c r="N75" s="7">
        <f t="shared" si="11"/>
        <v>-0.76</v>
      </c>
      <c r="O75" s="9"/>
      <c r="P75" s="6">
        <v>1922.85</v>
      </c>
      <c r="Q75" s="3"/>
      <c r="R75" s="7">
        <f t="shared" si="12"/>
        <v>9.7256146089216475E-4</v>
      </c>
      <c r="S75" s="3"/>
      <c r="T75" s="6">
        <v>804.63</v>
      </c>
      <c r="U75" s="3"/>
      <c r="V75" s="7">
        <f t="shared" si="13"/>
        <v>0</v>
      </c>
      <c r="W75" s="3"/>
      <c r="X75" s="6">
        <f t="shared" si="14"/>
        <v>1118.2199999999998</v>
      </c>
      <c r="Y75" s="3"/>
      <c r="Z75" s="7">
        <f t="shared" si="15"/>
        <v>1.3897319264755226</v>
      </c>
    </row>
    <row r="76" spans="1:26" s="68" customFormat="1" ht="15" customHeight="1" outlineLevel="1" collapsed="1" x14ac:dyDescent="0.3">
      <c r="A76" s="20"/>
      <c r="B76" s="11" t="str">
        <f>CONCATENATE("     ","Training                                          ")</f>
        <v xml:space="preserve">     Training                                          </v>
      </c>
      <c r="C76" s="11"/>
      <c r="D76" s="2">
        <f>SUM(OSRRefD22_16x_0)</f>
        <v>0</v>
      </c>
      <c r="E76" s="2"/>
      <c r="F76" s="5">
        <f t="shared" si="8"/>
        <v>0</v>
      </c>
      <c r="G76" s="2"/>
      <c r="H76" s="2">
        <f>SUM(OSRRefH22_16x_0)</f>
        <v>0</v>
      </c>
      <c r="I76" s="2"/>
      <c r="J76" s="5">
        <f t="shared" si="9"/>
        <v>0</v>
      </c>
      <c r="K76" s="2"/>
      <c r="L76" s="2">
        <f t="shared" si="10"/>
        <v>0</v>
      </c>
      <c r="M76" s="2"/>
      <c r="N76" s="5">
        <f t="shared" si="11"/>
        <v>0</v>
      </c>
      <c r="O76" s="11"/>
      <c r="P76" s="2">
        <f>SUM(OSRRefP22_16x_0)</f>
        <v>312</v>
      </c>
      <c r="Q76" s="2"/>
      <c r="R76" s="5">
        <f t="shared" si="12"/>
        <v>1.5780699264027637E-4</v>
      </c>
      <c r="S76" s="2"/>
      <c r="T76" s="2">
        <f>SUM(OSRRefT22_16x_0)</f>
        <v>0</v>
      </c>
      <c r="U76" s="2"/>
      <c r="V76" s="5">
        <f t="shared" si="13"/>
        <v>0</v>
      </c>
      <c r="W76" s="2"/>
      <c r="X76" s="2">
        <f t="shared" si="14"/>
        <v>312</v>
      </c>
      <c r="Y76" s="2"/>
      <c r="Z76" s="5">
        <f t="shared" si="15"/>
        <v>0</v>
      </c>
    </row>
    <row r="77" spans="1:26" s="69" customFormat="1" ht="15" hidden="1" customHeight="1" outlineLevel="2" x14ac:dyDescent="0.3">
      <c r="A77" s="21"/>
      <c r="B77" s="9" t="str">
        <f>CONCATENATE("          ","6376"," - ","TRAINING")</f>
        <v xml:space="preserve">          6376 - TRAINING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312</v>
      </c>
      <c r="Q77" s="3"/>
      <c r="R77" s="7">
        <f t="shared" si="12"/>
        <v>1.5780699264027637E-4</v>
      </c>
      <c r="S77" s="3"/>
      <c r="T77" s="6"/>
      <c r="U77" s="3"/>
      <c r="V77" s="7">
        <f t="shared" si="13"/>
        <v>0</v>
      </c>
      <c r="W77" s="3"/>
      <c r="X77" s="6">
        <f t="shared" si="14"/>
        <v>312</v>
      </c>
      <c r="Y77" s="3"/>
      <c r="Z77" s="7">
        <f t="shared" si="15"/>
        <v>0</v>
      </c>
    </row>
    <row r="78" spans="1:26" s="68" customFormat="1" ht="15" customHeight="1" outlineLevel="1" collapsed="1" x14ac:dyDescent="0.3">
      <c r="A78" s="20"/>
      <c r="B78" s="11" t="str">
        <f>CONCATENATE("     ","Travel                                            ")</f>
        <v xml:space="preserve">     Travel                                            </v>
      </c>
      <c r="C78" s="11"/>
      <c r="D78" s="2">
        <f>SUM(OSRRefD22_17x_0)</f>
        <v>0</v>
      </c>
      <c r="E78" s="2"/>
      <c r="F78" s="5">
        <f t="shared" si="8"/>
        <v>0</v>
      </c>
      <c r="G78" s="2"/>
      <c r="H78" s="2">
        <f>SUM(OSRRefH22_17x_0)</f>
        <v>0</v>
      </c>
      <c r="I78" s="2"/>
      <c r="J78" s="5">
        <f t="shared" si="9"/>
        <v>0</v>
      </c>
      <c r="K78" s="2"/>
      <c r="L78" s="2">
        <f t="shared" si="10"/>
        <v>0</v>
      </c>
      <c r="M78" s="2"/>
      <c r="N78" s="5">
        <f t="shared" si="11"/>
        <v>0</v>
      </c>
      <c r="O78" s="11"/>
      <c r="P78" s="2">
        <f>SUM(OSRRefP22_17x_0)</f>
        <v>360.41</v>
      </c>
      <c r="Q78" s="2"/>
      <c r="R78" s="5">
        <f t="shared" si="12"/>
        <v>1.8229236608167311E-4</v>
      </c>
      <c r="S78" s="2"/>
      <c r="T78" s="2">
        <f>SUM(OSRRefT22_17x_0)</f>
        <v>0</v>
      </c>
      <c r="U78" s="2"/>
      <c r="V78" s="5">
        <f t="shared" si="13"/>
        <v>0</v>
      </c>
      <c r="W78" s="2"/>
      <c r="X78" s="2">
        <f t="shared" si="14"/>
        <v>360.41</v>
      </c>
      <c r="Y78" s="2"/>
      <c r="Z78" s="5">
        <f t="shared" si="15"/>
        <v>0</v>
      </c>
    </row>
    <row r="79" spans="1:26" s="69" customFormat="1" ht="15" hidden="1" customHeight="1" outlineLevel="2" x14ac:dyDescent="0.3">
      <c r="A79" s="21"/>
      <c r="B79" s="9" t="str">
        <f>CONCATENATE("          ","6298"," - ","VEHICLE MILEAGE")</f>
        <v xml:space="preserve">          6298 - VEHICLE MILEAGE</v>
      </c>
      <c r="C79" s="9"/>
      <c r="D79" s="6"/>
      <c r="E79" s="3"/>
      <c r="F79" s="7">
        <f t="shared" si="8"/>
        <v>0</v>
      </c>
      <c r="G79" s="3"/>
      <c r="H79" s="6"/>
      <c r="I79" s="3"/>
      <c r="J79" s="7">
        <f t="shared" si="9"/>
        <v>0</v>
      </c>
      <c r="K79" s="3"/>
      <c r="L79" s="6">
        <f t="shared" si="10"/>
        <v>0</v>
      </c>
      <c r="M79" s="3"/>
      <c r="N79" s="7">
        <f t="shared" si="11"/>
        <v>0</v>
      </c>
      <c r="O79" s="9"/>
      <c r="P79" s="6">
        <v>360.41</v>
      </c>
      <c r="Q79" s="3"/>
      <c r="R79" s="7">
        <f t="shared" si="12"/>
        <v>1.8229236608167311E-4</v>
      </c>
      <c r="S79" s="3"/>
      <c r="T79" s="6"/>
      <c r="U79" s="3"/>
      <c r="V79" s="7">
        <f t="shared" si="13"/>
        <v>0</v>
      </c>
      <c r="W79" s="3"/>
      <c r="X79" s="6">
        <f t="shared" si="14"/>
        <v>360.41</v>
      </c>
      <c r="Y79" s="3"/>
      <c r="Z79" s="7">
        <f t="shared" si="15"/>
        <v>0</v>
      </c>
    </row>
    <row r="80" spans="1:26" s="64" customFormat="1" ht="15" customHeight="1" x14ac:dyDescent="0.3">
      <c r="A80" s="37"/>
      <c r="B80" s="37"/>
      <c r="C80" s="37"/>
      <c r="D80" s="2"/>
      <c r="E80" s="2"/>
      <c r="F80" s="5"/>
      <c r="G80" s="2"/>
      <c r="H80" s="2"/>
      <c r="I80" s="2"/>
      <c r="J80" s="5"/>
      <c r="K80" s="2"/>
      <c r="L80" s="2"/>
      <c r="M80" s="2"/>
      <c r="N80" s="5"/>
      <c r="O80" s="37"/>
      <c r="P80" s="2"/>
      <c r="Q80" s="2"/>
      <c r="R80" s="5"/>
      <c r="S80" s="2"/>
      <c r="T80" s="2"/>
      <c r="U80" s="2"/>
      <c r="V80" s="5"/>
      <c r="W80" s="2"/>
      <c r="X80" s="2"/>
      <c r="Y80" s="2"/>
      <c r="Z80" s="5"/>
    </row>
    <row r="81" spans="1:26" s="62" customFormat="1" ht="15" customHeight="1" x14ac:dyDescent="0.3">
      <c r="A81" s="13"/>
      <c r="B81" s="27" t="s">
        <v>290</v>
      </c>
      <c r="C81" s="13"/>
      <c r="D81" s="8">
        <f>SUM(0)</f>
        <v>0</v>
      </c>
      <c r="E81" s="8"/>
      <c r="F81" s="14">
        <f>IF(D$12=0,0,D81/D$12)</f>
        <v>0</v>
      </c>
      <c r="G81" s="8"/>
      <c r="H81" s="8">
        <f>SUM(0)</f>
        <v>0</v>
      </c>
      <c r="I81" s="8"/>
      <c r="J81" s="14">
        <f>IF(H$12=0,0,H81/H$12)</f>
        <v>0</v>
      </c>
      <c r="K81" s="8"/>
      <c r="L81" s="8">
        <f>+D81-H81</f>
        <v>0</v>
      </c>
      <c r="M81" s="8"/>
      <c r="N81" s="14">
        <f>IF(H81=0,0,L81/H81)</f>
        <v>0</v>
      </c>
      <c r="O81" s="13"/>
      <c r="P81" s="8">
        <f>SUM(0)</f>
        <v>0</v>
      </c>
      <c r="Q81" s="8"/>
      <c r="R81" s="14">
        <f>IF(P$12=0,0,P81/P$12)</f>
        <v>0</v>
      </c>
      <c r="S81" s="8"/>
      <c r="T81" s="8">
        <f>SUM(0)</f>
        <v>0</v>
      </c>
      <c r="U81" s="8"/>
      <c r="V81" s="14">
        <f>IF(T$12=0,0,T81/T$12)</f>
        <v>0</v>
      </c>
      <c r="W81" s="8"/>
      <c r="X81" s="8">
        <f>+P81-T81</f>
        <v>0</v>
      </c>
      <c r="Y81" s="8"/>
      <c r="Z81" s="14">
        <f>IF(T81=0,0,X81/T81)</f>
        <v>0</v>
      </c>
    </row>
    <row r="82" spans="1:26" ht="15" customHeight="1" x14ac:dyDescent="0.3">
      <c r="A82" s="12"/>
      <c r="B82" s="13"/>
      <c r="C82" s="13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O82" s="13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2" customFormat="1" ht="15" customHeight="1" x14ac:dyDescent="0.3">
      <c r="A83" s="13"/>
      <c r="B83" s="28" t="s">
        <v>291</v>
      </c>
      <c r="C83" s="28"/>
      <c r="D83" s="22">
        <f>+D21-D23+D81</f>
        <v>-51037.260000000009</v>
      </c>
      <c r="E83" s="15"/>
      <c r="F83" s="24">
        <f>IF(D$12=0,0,D83/D$12)</f>
        <v>0</v>
      </c>
      <c r="G83" s="15"/>
      <c r="H83" s="22">
        <f>+H21-H23+H81</f>
        <v>-38835.090000000004</v>
      </c>
      <c r="I83" s="15"/>
      <c r="J83" s="24">
        <f>IF(H$12=0,0,H83/H$12)</f>
        <v>0</v>
      </c>
      <c r="K83" s="17"/>
      <c r="L83" s="22">
        <f>+D83-H83</f>
        <v>-12202.170000000006</v>
      </c>
      <c r="M83" s="17"/>
      <c r="N83" s="24">
        <f>IF(H83=0,0,L83/H83)</f>
        <v>0.31420475657453101</v>
      </c>
      <c r="O83" s="27"/>
      <c r="P83" s="22">
        <f>+P21-P23+P81</f>
        <v>187606.10000000009</v>
      </c>
      <c r="Q83" s="15"/>
      <c r="R83" s="24">
        <f>IF(P$12=0,0,P83/P$12)</f>
        <v>9.4889597570419759E-2</v>
      </c>
      <c r="S83" s="15"/>
      <c r="T83" s="22">
        <f>+T21-T23+T81</f>
        <v>-487946.78</v>
      </c>
      <c r="U83" s="15"/>
      <c r="V83" s="24">
        <f>IF(T$12=0,0,T83/T$12)</f>
        <v>0</v>
      </c>
      <c r="W83" s="17"/>
      <c r="X83" s="22">
        <f>+P83-T83</f>
        <v>675552.88000000012</v>
      </c>
      <c r="Y83" s="17"/>
      <c r="Z83" s="24">
        <f>IF(T83=0,0,X83/T83)</f>
        <v>-1.3844806599604984</v>
      </c>
    </row>
    <row r="84" spans="1:26" ht="15" customHeight="1" x14ac:dyDescent="0.3">
      <c r="A84" s="12"/>
      <c r="B84" s="13"/>
      <c r="C84" s="12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s="62" customFormat="1" ht="15" customHeight="1" x14ac:dyDescent="0.3">
      <c r="A85" s="48"/>
      <c r="B85" s="13" t="s">
        <v>292</v>
      </c>
      <c r="C85" s="13"/>
      <c r="D85" s="8">
        <v>-450213.21</v>
      </c>
      <c r="E85" s="8"/>
      <c r="F85" s="14">
        <f>IF(D$12=0,0,D85/D$12)</f>
        <v>0</v>
      </c>
      <c r="G85" s="8"/>
      <c r="H85" s="8"/>
      <c r="I85" s="8"/>
      <c r="J85" s="14">
        <f>IF(H$12=0,0,H85/H$12)</f>
        <v>0</v>
      </c>
      <c r="K85" s="8"/>
      <c r="L85" s="8">
        <f>+D85-H85</f>
        <v>-450213.21</v>
      </c>
      <c r="M85" s="8"/>
      <c r="N85" s="14">
        <f>IF(H85=0,0,L85/H85)</f>
        <v>0</v>
      </c>
      <c r="O85" s="13"/>
      <c r="P85" s="8">
        <v>-227937.19</v>
      </c>
      <c r="Q85" s="8"/>
      <c r="R85" s="14">
        <f>IF(P$12=0,0,P85/P$12)</f>
        <v>-0.11528872584863871</v>
      </c>
      <c r="S85" s="8"/>
      <c r="T85" s="8">
        <v>0</v>
      </c>
      <c r="U85" s="8"/>
      <c r="V85" s="14">
        <f>IF(T$12=0,0,T85/T$12)</f>
        <v>0</v>
      </c>
      <c r="W85" s="8"/>
      <c r="X85" s="8">
        <f>+P85-T85</f>
        <v>-227937.19</v>
      </c>
      <c r="Y85" s="8"/>
      <c r="Z85" s="14">
        <f>IF(T85=0,0,X85/T85)</f>
        <v>0</v>
      </c>
    </row>
    <row r="86" spans="1:26" ht="15" customHeight="1" x14ac:dyDescent="0.3">
      <c r="A86" s="12"/>
      <c r="B86" s="13"/>
      <c r="C86" s="13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O86" s="13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2" customFormat="1" ht="15" customHeight="1" x14ac:dyDescent="0.3">
      <c r="A87" s="13"/>
      <c r="B87" s="28" t="s">
        <v>293</v>
      </c>
      <c r="C87" s="28"/>
      <c r="D87" s="29">
        <f>+D83-D85</f>
        <v>399175.95</v>
      </c>
      <c r="E87" s="15"/>
      <c r="F87" s="31">
        <f>IF(D$12=0,0,D87/D$12)</f>
        <v>0</v>
      </c>
      <c r="G87" s="15"/>
      <c r="H87" s="29">
        <f>+H83-H85</f>
        <v>-38835.090000000004</v>
      </c>
      <c r="I87" s="15"/>
      <c r="J87" s="31">
        <f>IF(H$12=0,0,H87/H$12)</f>
        <v>0</v>
      </c>
      <c r="K87" s="17"/>
      <c r="L87" s="29">
        <f>D87-H87</f>
        <v>438011.04000000004</v>
      </c>
      <c r="M87" s="17"/>
      <c r="N87" s="31">
        <f>IF(H87=0,0,L87/H87)</f>
        <v>-11.278744043080627</v>
      </c>
      <c r="O87" s="27"/>
      <c r="P87" s="29">
        <f>+P83-P85</f>
        <v>415543.2900000001</v>
      </c>
      <c r="Q87" s="15"/>
      <c r="R87" s="31">
        <f>IF(P$12=0,0,P87/P$12)</f>
        <v>0.21017832341905848</v>
      </c>
      <c r="S87" s="15"/>
      <c r="T87" s="29">
        <f>+T83-T85</f>
        <v>-487946.78</v>
      </c>
      <c r="U87" s="15"/>
      <c r="V87" s="31">
        <f>IF(T$12=0,0,T87/T$12)</f>
        <v>0</v>
      </c>
      <c r="W87" s="17"/>
      <c r="X87" s="29">
        <f>P87-T87</f>
        <v>903490.07000000007</v>
      </c>
      <c r="Y87" s="17"/>
      <c r="Z87" s="31">
        <f>IF(T87=0,0,X87/T87)</f>
        <v>-1.8516160102542332</v>
      </c>
    </row>
    <row r="88" spans="1:26" ht="15" customHeight="1" x14ac:dyDescent="0.3">
      <c r="A88" s="12"/>
      <c r="B88" s="12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ht="15" customHeight="1" x14ac:dyDescent="0.3">
      <c r="A89" s="12"/>
      <c r="B89" s="12"/>
      <c r="C89" s="12"/>
      <c r="D89" s="4"/>
      <c r="E89" s="4"/>
      <c r="F89" s="10"/>
      <c r="G89" s="4"/>
      <c r="H89" s="4"/>
      <c r="I89" s="4"/>
      <c r="J89" s="10"/>
      <c r="K89" s="4"/>
      <c r="L89" s="4"/>
      <c r="M89" s="4"/>
      <c r="N89" s="10"/>
      <c r="P89" s="4"/>
      <c r="Q89" s="4"/>
      <c r="R89" s="10"/>
      <c r="S89" s="4"/>
      <c r="T89" s="4"/>
      <c r="U89" s="4"/>
      <c r="V89" s="10"/>
      <c r="W89" s="4"/>
      <c r="X89" s="4"/>
      <c r="Y89" s="4"/>
      <c r="Z89" s="10"/>
    </row>
    <row r="90" spans="1:26" s="62" customFormat="1" ht="15" customHeight="1" x14ac:dyDescent="0.3">
      <c r="A90" s="13"/>
      <c r="B90" s="28" t="s">
        <v>296</v>
      </c>
      <c r="C90" s="28"/>
      <c r="D90" s="30">
        <f>SUM(D87:D89)</f>
        <v>399175.95</v>
      </c>
      <c r="E90" s="15"/>
      <c r="F90" s="35">
        <f>IF(D$12=0,0,D90/D$12)</f>
        <v>0</v>
      </c>
      <c r="G90" s="15"/>
      <c r="H90" s="30">
        <f>SUM(H87:H89)</f>
        <v>-38835.090000000004</v>
      </c>
      <c r="I90" s="15"/>
      <c r="J90" s="35">
        <f>IF(H$12=0,0,H90/H$12)</f>
        <v>0</v>
      </c>
      <c r="K90" s="17"/>
      <c r="L90" s="30">
        <f>+D90-H90</f>
        <v>438011.04000000004</v>
      </c>
      <c r="M90" s="17"/>
      <c r="N90" s="35">
        <f>IF(H90=0,0,L90/H90)</f>
        <v>-11.278744043080627</v>
      </c>
      <c r="O90" s="27"/>
      <c r="P90" s="30">
        <f>SUM(P87:P89)</f>
        <v>415543.2900000001</v>
      </c>
      <c r="Q90" s="15"/>
      <c r="R90" s="35">
        <f>IF(P$12=0,0,P90/P$12)</f>
        <v>0.21017832341905848</v>
      </c>
      <c r="S90" s="15"/>
      <c r="T90" s="30">
        <f>SUM(T87:T89)</f>
        <v>-487946.78</v>
      </c>
      <c r="U90" s="15"/>
      <c r="V90" s="35">
        <f>IF(T$12=0,0,T90/T$12)</f>
        <v>0</v>
      </c>
      <c r="W90" s="17"/>
      <c r="X90" s="30">
        <f>+P90-T90</f>
        <v>903490.07000000007</v>
      </c>
      <c r="Y90" s="17"/>
      <c r="Z90" s="35">
        <f>IF(T90=0,0,X90/T90)</f>
        <v>-1.8516160102542332</v>
      </c>
    </row>
    <row r="91" spans="1:26" ht="15" customHeight="1" x14ac:dyDescent="0.3">
      <c r="A91" s="12"/>
      <c r="C91" s="12"/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4">
        <v>44767.815885219905</v>
      </c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A93" s="12"/>
      <c r="B93" s="53" t="s">
        <v>297</v>
      </c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A94" s="12"/>
      <c r="B94" s="51"/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  <row r="95" spans="1:26" ht="15" customHeight="1" x14ac:dyDescent="0.3"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2F0CF-9B0F-E58A-846E-5EE633DD505F}">
  <sheetPr>
    <tabColor rgb="FFFFC00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-5588405.4200000027</v>
      </c>
      <c r="E18" s="23"/>
      <c r="F18" s="34">
        <f t="shared" ref="F18:F49" si="0">IF(D$12=0,0,D18/D$12)</f>
        <v>0</v>
      </c>
      <c r="G18" s="23"/>
      <c r="H18" s="23" cm="1">
        <f t="array" ref="H18">SUM(OSRRefH22x_0)</f>
        <v>744030.65999999992</v>
      </c>
      <c r="I18" s="23"/>
      <c r="J18" s="34">
        <f t="shared" ref="J18:J49" si="1">IF(H$12=0,0,H18/H$12)</f>
        <v>0</v>
      </c>
      <c r="K18" s="8"/>
      <c r="L18" s="23">
        <f t="shared" ref="L18:L49" si="2">+D18-H18</f>
        <v>-6332436.0800000029</v>
      </c>
      <c r="M18" s="8"/>
      <c r="N18" s="34">
        <f t="shared" ref="N18:N49" si="3">IF(H18=0,0,L18/H18)</f>
        <v>-8.5109880821309218</v>
      </c>
      <c r="O18" s="13"/>
      <c r="P18" s="23" cm="1">
        <f t="array" ref="P18">SUM(OSRRefP22x_0)</f>
        <v>-2882939.4799999995</v>
      </c>
      <c r="Q18" s="23"/>
      <c r="R18" s="34">
        <f t="shared" ref="R18:R49" si="4">IF(P$12=0,0,P18/P$12)</f>
        <v>0</v>
      </c>
      <c r="S18" s="23"/>
      <c r="T18" s="23" cm="1">
        <f t="array" ref="T18">SUM(OSRRefT22x_0)</f>
        <v>2840823.7500000005</v>
      </c>
      <c r="U18" s="23"/>
      <c r="V18" s="34">
        <f t="shared" ref="V18:V49" si="5">IF(T$12=0,0,T18/T$12)</f>
        <v>0</v>
      </c>
      <c r="W18" s="8"/>
      <c r="X18" s="23">
        <f t="shared" ref="X18:X49" si="6">+P18-T18</f>
        <v>-5723763.2300000004</v>
      </c>
      <c r="Y18" s="8"/>
      <c r="Z18" s="34">
        <f t="shared" ref="Z18:Z49" si="7">IF(T18=0,0,X18/T18)</f>
        <v>-2.0148251823084764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-5731591.2000000011</v>
      </c>
      <c r="E19" s="2"/>
      <c r="F19" s="5">
        <f t="shared" si="0"/>
        <v>0</v>
      </c>
      <c r="G19" s="2"/>
      <c r="H19" s="2">
        <f>SUM(OSRRefH22_0x_0)</f>
        <v>570244.29</v>
      </c>
      <c r="I19" s="2"/>
      <c r="J19" s="5">
        <f t="shared" si="1"/>
        <v>0</v>
      </c>
      <c r="K19" s="2"/>
      <c r="L19" s="2">
        <f t="shared" si="2"/>
        <v>-6301835.4900000012</v>
      </c>
      <c r="M19" s="2"/>
      <c r="N19" s="5">
        <f t="shared" si="3"/>
        <v>-11.051115461410408</v>
      </c>
      <c r="O19" s="11"/>
      <c r="P19" s="2">
        <f>SUM(OSRRefP22_0x_0)</f>
        <v>-4778379.8899999997</v>
      </c>
      <c r="Q19" s="2"/>
      <c r="R19" s="5">
        <f t="shared" si="4"/>
        <v>0</v>
      </c>
      <c r="S19" s="2"/>
      <c r="T19" s="2">
        <f>SUM(OSRRefT22_0x_0)</f>
        <v>1080416.2299999997</v>
      </c>
      <c r="U19" s="2"/>
      <c r="V19" s="5">
        <f t="shared" si="5"/>
        <v>0</v>
      </c>
      <c r="W19" s="2"/>
      <c r="X19" s="2">
        <f t="shared" si="6"/>
        <v>-5858796.1199999992</v>
      </c>
      <c r="Y19" s="2"/>
      <c r="Z19" s="5">
        <f t="shared" si="7"/>
        <v>-5.4227213154693175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7902.26</v>
      </c>
      <c r="E20" s="3"/>
      <c r="F20" s="7">
        <f t="shared" si="0"/>
        <v>0</v>
      </c>
      <c r="G20" s="3"/>
      <c r="H20" s="6">
        <v>7326.22</v>
      </c>
      <c r="I20" s="3"/>
      <c r="J20" s="7">
        <f t="shared" si="1"/>
        <v>0</v>
      </c>
      <c r="K20" s="3"/>
      <c r="L20" s="6">
        <f t="shared" si="2"/>
        <v>576.04</v>
      </c>
      <c r="M20" s="3"/>
      <c r="N20" s="7">
        <f t="shared" si="3"/>
        <v>7.862717745303853E-2</v>
      </c>
      <c r="O20" s="9"/>
      <c r="P20" s="6">
        <v>101461.82</v>
      </c>
      <c r="Q20" s="3"/>
      <c r="R20" s="7">
        <f t="shared" si="4"/>
        <v>0</v>
      </c>
      <c r="S20" s="3"/>
      <c r="T20" s="6">
        <v>93764.74</v>
      </c>
      <c r="U20" s="3"/>
      <c r="V20" s="7">
        <f t="shared" si="5"/>
        <v>0</v>
      </c>
      <c r="W20" s="3"/>
      <c r="X20" s="6">
        <f t="shared" si="6"/>
        <v>7697.0800000000017</v>
      </c>
      <c r="Y20" s="3"/>
      <c r="Z20" s="7">
        <f t="shared" si="7"/>
        <v>8.2089280042796489E-2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-5002.62</v>
      </c>
      <c r="E21" s="3"/>
      <c r="F21" s="7">
        <f t="shared" si="0"/>
        <v>0</v>
      </c>
      <c r="G21" s="3"/>
      <c r="H21" s="6">
        <v>596.76</v>
      </c>
      <c r="I21" s="3"/>
      <c r="J21" s="7">
        <f t="shared" si="1"/>
        <v>0</v>
      </c>
      <c r="K21" s="3"/>
      <c r="L21" s="6">
        <f t="shared" si="2"/>
        <v>-5599.38</v>
      </c>
      <c r="M21" s="3"/>
      <c r="N21" s="7">
        <f t="shared" si="3"/>
        <v>-9.3829680273476779</v>
      </c>
      <c r="O21" s="9"/>
      <c r="P21" s="6">
        <v>13532.86</v>
      </c>
      <c r="Q21" s="3"/>
      <c r="R21" s="7">
        <f t="shared" si="4"/>
        <v>0</v>
      </c>
      <c r="S21" s="3"/>
      <c r="T21" s="6">
        <v>7948.31</v>
      </c>
      <c r="U21" s="3"/>
      <c r="V21" s="7">
        <f t="shared" si="5"/>
        <v>0</v>
      </c>
      <c r="W21" s="3"/>
      <c r="X21" s="6">
        <f t="shared" si="6"/>
        <v>5584.55</v>
      </c>
      <c r="Y21" s="3"/>
      <c r="Z21" s="7">
        <f t="shared" si="7"/>
        <v>0.70260847903516599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20065.64</v>
      </c>
      <c r="E22" s="3"/>
      <c r="F22" s="7">
        <f t="shared" si="0"/>
        <v>0</v>
      </c>
      <c r="G22" s="3"/>
      <c r="H22" s="6">
        <v>22463.05</v>
      </c>
      <c r="I22" s="3"/>
      <c r="J22" s="7">
        <f t="shared" si="1"/>
        <v>0</v>
      </c>
      <c r="K22" s="3"/>
      <c r="L22" s="6">
        <f t="shared" si="2"/>
        <v>-2397.41</v>
      </c>
      <c r="M22" s="3"/>
      <c r="N22" s="7">
        <f t="shared" si="3"/>
        <v>-0.106726824718816</v>
      </c>
      <c r="O22" s="9"/>
      <c r="P22" s="6">
        <v>255190.58</v>
      </c>
      <c r="Q22" s="3"/>
      <c r="R22" s="7">
        <f t="shared" si="4"/>
        <v>0</v>
      </c>
      <c r="S22" s="3"/>
      <c r="T22" s="6">
        <v>272586.58</v>
      </c>
      <c r="U22" s="3"/>
      <c r="V22" s="7">
        <f t="shared" si="5"/>
        <v>0</v>
      </c>
      <c r="W22" s="3"/>
      <c r="X22" s="6">
        <f t="shared" si="6"/>
        <v>-17396.000000000029</v>
      </c>
      <c r="Y22" s="3"/>
      <c r="Z22" s="7">
        <f t="shared" si="7"/>
        <v>-6.3818255469510005E-2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500111.07</v>
      </c>
      <c r="I23" s="3"/>
      <c r="J23" s="7">
        <f t="shared" si="1"/>
        <v>0</v>
      </c>
      <c r="K23" s="3"/>
      <c r="L23" s="6">
        <f t="shared" si="2"/>
        <v>-500111.07</v>
      </c>
      <c r="M23" s="3"/>
      <c r="N23" s="7">
        <f t="shared" si="3"/>
        <v>-1</v>
      </c>
      <c r="O23" s="9"/>
      <c r="P23" s="6">
        <v>3286.99</v>
      </c>
      <c r="Q23" s="3"/>
      <c r="R23" s="7">
        <f t="shared" si="4"/>
        <v>0</v>
      </c>
      <c r="S23" s="3"/>
      <c r="T23" s="6">
        <v>503255.82</v>
      </c>
      <c r="U23" s="3"/>
      <c r="V23" s="7">
        <f t="shared" si="5"/>
        <v>0</v>
      </c>
      <c r="W23" s="3"/>
      <c r="X23" s="6">
        <f t="shared" si="6"/>
        <v>-499968.83</v>
      </c>
      <c r="Y23" s="3"/>
      <c r="Z23" s="7">
        <f t="shared" si="7"/>
        <v>-0.99346855044815974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-3105049.68</v>
      </c>
      <c r="E24" s="3"/>
      <c r="F24" s="7">
        <f t="shared" si="0"/>
        <v>0</v>
      </c>
      <c r="G24" s="3"/>
      <c r="H24" s="6">
        <v>1033541.89</v>
      </c>
      <c r="I24" s="3"/>
      <c r="J24" s="7">
        <f t="shared" si="1"/>
        <v>0</v>
      </c>
      <c r="K24" s="3"/>
      <c r="L24" s="6">
        <f t="shared" si="2"/>
        <v>-4138591.5700000003</v>
      </c>
      <c r="M24" s="3"/>
      <c r="N24" s="7">
        <f t="shared" si="3"/>
        <v>-4.0042804360837279</v>
      </c>
      <c r="O24" s="9"/>
      <c r="P24" s="6">
        <v>-3012490.45</v>
      </c>
      <c r="Q24" s="3"/>
      <c r="R24" s="7">
        <f t="shared" si="4"/>
        <v>0</v>
      </c>
      <c r="S24" s="3"/>
      <c r="T24" s="6">
        <v>1131542.27</v>
      </c>
      <c r="U24" s="3"/>
      <c r="V24" s="7">
        <f t="shared" si="5"/>
        <v>0</v>
      </c>
      <c r="W24" s="3"/>
      <c r="X24" s="6">
        <f t="shared" si="6"/>
        <v>-4144032.72</v>
      </c>
      <c r="Y24" s="3"/>
      <c r="Z24" s="7">
        <f t="shared" si="7"/>
        <v>-3.6622871543278714</v>
      </c>
    </row>
    <row r="25" spans="1:26" s="69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2636</v>
      </c>
      <c r="I25" s="3"/>
      <c r="J25" s="7">
        <f t="shared" si="1"/>
        <v>0</v>
      </c>
      <c r="K25" s="3"/>
      <c r="L25" s="6">
        <f t="shared" si="2"/>
        <v>-2636</v>
      </c>
      <c r="M25" s="3"/>
      <c r="N25" s="7">
        <f t="shared" si="3"/>
        <v>-1</v>
      </c>
      <c r="O25" s="9"/>
      <c r="P25" s="6">
        <v>4855</v>
      </c>
      <c r="Q25" s="3"/>
      <c r="R25" s="7">
        <f t="shared" si="4"/>
        <v>0</v>
      </c>
      <c r="S25" s="3"/>
      <c r="T25" s="6">
        <v>7482</v>
      </c>
      <c r="U25" s="3"/>
      <c r="V25" s="7">
        <f t="shared" si="5"/>
        <v>0</v>
      </c>
      <c r="W25" s="3"/>
      <c r="X25" s="6">
        <f t="shared" si="6"/>
        <v>-2627</v>
      </c>
      <c r="Y25" s="3"/>
      <c r="Z25" s="7">
        <f t="shared" si="7"/>
        <v>-0.35110932905640202</v>
      </c>
    </row>
    <row r="26" spans="1:26" s="69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3837.38</v>
      </c>
      <c r="E26" s="3"/>
      <c r="F26" s="7">
        <f t="shared" si="0"/>
        <v>0</v>
      </c>
      <c r="G26" s="3"/>
      <c r="H26" s="6">
        <v>585.27</v>
      </c>
      <c r="I26" s="3"/>
      <c r="J26" s="7">
        <f t="shared" si="1"/>
        <v>0</v>
      </c>
      <c r="K26" s="3"/>
      <c r="L26" s="6">
        <f t="shared" si="2"/>
        <v>3252.11</v>
      </c>
      <c r="M26" s="3"/>
      <c r="N26" s="7">
        <f t="shared" si="3"/>
        <v>5.5565978095579824</v>
      </c>
      <c r="O26" s="9"/>
      <c r="P26" s="6">
        <v>21429.43</v>
      </c>
      <c r="Q26" s="3"/>
      <c r="R26" s="7">
        <f t="shared" si="4"/>
        <v>0</v>
      </c>
      <c r="S26" s="3"/>
      <c r="T26" s="6">
        <v>8163.56</v>
      </c>
      <c r="U26" s="3"/>
      <c r="V26" s="7">
        <f t="shared" si="5"/>
        <v>0</v>
      </c>
      <c r="W26" s="3"/>
      <c r="X26" s="6">
        <f t="shared" si="6"/>
        <v>13265.869999999999</v>
      </c>
      <c r="Y26" s="3"/>
      <c r="Z26" s="7">
        <f t="shared" si="7"/>
        <v>1.625010412124122</v>
      </c>
    </row>
    <row r="27" spans="1:26" s="69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7767.14</v>
      </c>
      <c r="E27" s="3"/>
      <c r="F27" s="7">
        <f t="shared" si="0"/>
        <v>0</v>
      </c>
      <c r="G27" s="3"/>
      <c r="H27" s="6">
        <v>10991.56</v>
      </c>
      <c r="I27" s="3"/>
      <c r="J27" s="7">
        <f t="shared" si="1"/>
        <v>0</v>
      </c>
      <c r="K27" s="3"/>
      <c r="L27" s="6">
        <f t="shared" si="2"/>
        <v>-3224.4199999999992</v>
      </c>
      <c r="M27" s="3"/>
      <c r="N27" s="7">
        <f t="shared" si="3"/>
        <v>-0.2933541735658996</v>
      </c>
      <c r="O27" s="9"/>
      <c r="P27" s="6">
        <v>100473.55</v>
      </c>
      <c r="Q27" s="3"/>
      <c r="R27" s="7">
        <f t="shared" si="4"/>
        <v>0</v>
      </c>
      <c r="S27" s="3"/>
      <c r="T27" s="6">
        <v>84623.14</v>
      </c>
      <c r="U27" s="3"/>
      <c r="V27" s="7">
        <f t="shared" si="5"/>
        <v>0</v>
      </c>
      <c r="W27" s="3"/>
      <c r="X27" s="6">
        <f t="shared" si="6"/>
        <v>15850.410000000003</v>
      </c>
      <c r="Y27" s="3"/>
      <c r="Z27" s="7">
        <f t="shared" si="7"/>
        <v>0.18730585983928277</v>
      </c>
    </row>
    <row r="28" spans="1:26" s="69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4603.3</v>
      </c>
      <c r="E28" s="3"/>
      <c r="F28" s="7">
        <f t="shared" si="0"/>
        <v>0</v>
      </c>
      <c r="G28" s="3"/>
      <c r="H28" s="6">
        <v>6643.52</v>
      </c>
      <c r="I28" s="3"/>
      <c r="J28" s="7">
        <f t="shared" si="1"/>
        <v>0</v>
      </c>
      <c r="K28" s="3"/>
      <c r="L28" s="6">
        <f t="shared" si="2"/>
        <v>-2040.2200000000003</v>
      </c>
      <c r="M28" s="3"/>
      <c r="N28" s="7">
        <f t="shared" si="3"/>
        <v>-0.30709924859110832</v>
      </c>
      <c r="O28" s="9"/>
      <c r="P28" s="6">
        <v>85098.52</v>
      </c>
      <c r="Q28" s="3"/>
      <c r="R28" s="7">
        <f t="shared" si="4"/>
        <v>0</v>
      </c>
      <c r="S28" s="3"/>
      <c r="T28" s="6">
        <v>55571.360000000001</v>
      </c>
      <c r="U28" s="3"/>
      <c r="V28" s="7">
        <f t="shared" si="5"/>
        <v>0</v>
      </c>
      <c r="W28" s="3"/>
      <c r="X28" s="6">
        <f t="shared" si="6"/>
        <v>29527.160000000003</v>
      </c>
      <c r="Y28" s="3"/>
      <c r="Z28" s="7">
        <f t="shared" si="7"/>
        <v>0.53133772504397958</v>
      </c>
    </row>
    <row r="29" spans="1:26" s="69" customFormat="1" ht="15" hidden="1" customHeight="1" outlineLevel="2" x14ac:dyDescent="0.3">
      <c r="A29" s="21"/>
      <c r="B29" s="9" t="str">
        <f>CONCATENATE("          ","6120"," - ","RETIREES HEALTH INSURANCE")</f>
        <v xml:space="preserve">          6120 - RETIREES HEALTH INSURANCE</v>
      </c>
      <c r="C29" s="9"/>
      <c r="D29" s="6">
        <v>-2667836.2200000002</v>
      </c>
      <c r="E29" s="3"/>
      <c r="F29" s="7">
        <f t="shared" si="0"/>
        <v>0</v>
      </c>
      <c r="G29" s="3"/>
      <c r="H29" s="6">
        <v>-1015521.92</v>
      </c>
      <c r="I29" s="3"/>
      <c r="J29" s="7">
        <f t="shared" si="1"/>
        <v>0</v>
      </c>
      <c r="K29" s="3"/>
      <c r="L29" s="6">
        <f t="shared" si="2"/>
        <v>-1652314.3000000003</v>
      </c>
      <c r="M29" s="3"/>
      <c r="N29" s="7">
        <f t="shared" si="3"/>
        <v>1.627059216998487</v>
      </c>
      <c r="O29" s="9"/>
      <c r="P29" s="6">
        <v>-2371414.06</v>
      </c>
      <c r="Q29" s="3"/>
      <c r="R29" s="7">
        <f t="shared" si="4"/>
        <v>0</v>
      </c>
      <c r="S29" s="3"/>
      <c r="T29" s="6">
        <v>-1092215.8</v>
      </c>
      <c r="U29" s="3"/>
      <c r="V29" s="7">
        <f t="shared" si="5"/>
        <v>0</v>
      </c>
      <c r="W29" s="3"/>
      <c r="X29" s="6">
        <f t="shared" si="6"/>
        <v>-1279198.26</v>
      </c>
      <c r="Y29" s="3"/>
      <c r="Z29" s="7">
        <f t="shared" si="7"/>
        <v>1.1711955274772623</v>
      </c>
    </row>
    <row r="30" spans="1:26" s="69" customFormat="1" ht="15" hidden="1" customHeight="1" outlineLevel="2" x14ac:dyDescent="0.3">
      <c r="A30" s="21"/>
      <c r="B30" s="9" t="str">
        <f>CONCATENATE("          ","6156"," - ","EMPLOYEE MEALS")</f>
        <v xml:space="preserve">          6156 - EMPLOYEE MEALS</v>
      </c>
      <c r="C30" s="9"/>
      <c r="D30" s="6">
        <v>2121.6</v>
      </c>
      <c r="E30" s="3"/>
      <c r="F30" s="7">
        <f t="shared" si="0"/>
        <v>0</v>
      </c>
      <c r="G30" s="3"/>
      <c r="H30" s="6">
        <v>870.87</v>
      </c>
      <c r="I30" s="3"/>
      <c r="J30" s="7">
        <f t="shared" si="1"/>
        <v>0</v>
      </c>
      <c r="K30" s="3"/>
      <c r="L30" s="6">
        <f t="shared" si="2"/>
        <v>1250.73</v>
      </c>
      <c r="M30" s="3"/>
      <c r="N30" s="7">
        <f t="shared" si="3"/>
        <v>1.4361845051500224</v>
      </c>
      <c r="O30" s="9"/>
      <c r="P30" s="6">
        <v>20195.87</v>
      </c>
      <c r="Q30" s="3"/>
      <c r="R30" s="7">
        <f t="shared" si="4"/>
        <v>0</v>
      </c>
      <c r="S30" s="3"/>
      <c r="T30" s="6">
        <v>7694.25</v>
      </c>
      <c r="U30" s="3"/>
      <c r="V30" s="7">
        <f t="shared" si="5"/>
        <v>0</v>
      </c>
      <c r="W30" s="3"/>
      <c r="X30" s="6">
        <f t="shared" si="6"/>
        <v>12501.619999999999</v>
      </c>
      <c r="Y30" s="3"/>
      <c r="Z30" s="7">
        <f t="shared" si="7"/>
        <v>1.6248003379146765</v>
      </c>
    </row>
    <row r="31" spans="1:26" s="68" customFormat="1" ht="15" customHeight="1" outlineLevel="1" collapsed="1" x14ac:dyDescent="0.3">
      <c r="A31" s="20"/>
      <c r="B31" s="11" t="str">
        <f>CONCATENATE("     ","*Payroll                                          ")</f>
        <v xml:space="preserve">     *Payroll                                          </v>
      </c>
      <c r="C31" s="11"/>
      <c r="D31" s="2">
        <f>SUM(OSRRefD22_1x_0)</f>
        <v>90278.39</v>
      </c>
      <c r="E31" s="2"/>
      <c r="F31" s="5">
        <f t="shared" si="0"/>
        <v>0</v>
      </c>
      <c r="G31" s="2"/>
      <c r="H31" s="2">
        <f>SUM(OSRRefH22_1x_0)</f>
        <v>119645.82</v>
      </c>
      <c r="I31" s="2"/>
      <c r="J31" s="5">
        <f t="shared" si="1"/>
        <v>0</v>
      </c>
      <c r="K31" s="2"/>
      <c r="L31" s="2">
        <f t="shared" si="2"/>
        <v>-29367.430000000008</v>
      </c>
      <c r="M31" s="2"/>
      <c r="N31" s="5">
        <f t="shared" si="3"/>
        <v>-0.24545303797491635</v>
      </c>
      <c r="O31" s="11"/>
      <c r="P31" s="2">
        <f>SUM(OSRRefP22_1x_0)</f>
        <v>1234381.8199999998</v>
      </c>
      <c r="Q31" s="2"/>
      <c r="R31" s="5">
        <f t="shared" si="4"/>
        <v>0</v>
      </c>
      <c r="S31" s="2"/>
      <c r="T31" s="2">
        <f>SUM(OSRRefT22_1x_0)</f>
        <v>1143105.2600000002</v>
      </c>
      <c r="U31" s="2"/>
      <c r="V31" s="5">
        <f t="shared" si="5"/>
        <v>0</v>
      </c>
      <c r="W31" s="2"/>
      <c r="X31" s="2">
        <f t="shared" si="6"/>
        <v>91276.55999999959</v>
      </c>
      <c r="Y31" s="2"/>
      <c r="Z31" s="5">
        <f t="shared" si="7"/>
        <v>7.9849654440396475E-2</v>
      </c>
    </row>
    <row r="32" spans="1:26" s="69" customFormat="1" ht="15" hidden="1" customHeight="1" outlineLevel="2" x14ac:dyDescent="0.3">
      <c r="A32" s="21"/>
      <c r="B32" s="9" t="str">
        <f>CONCATENATE("          ","6001"," - ","ADMINISTRATIVE SALARIES")</f>
        <v xml:space="preserve">          6001 - ADMINISTRATIVE SALARIES</v>
      </c>
      <c r="C32" s="9"/>
      <c r="D32" s="6">
        <v>22228.13</v>
      </c>
      <c r="E32" s="3"/>
      <c r="F32" s="7">
        <f t="shared" si="0"/>
        <v>0</v>
      </c>
      <c r="G32" s="3"/>
      <c r="H32" s="6">
        <v>52855.03</v>
      </c>
      <c r="I32" s="3"/>
      <c r="J32" s="7">
        <f t="shared" si="1"/>
        <v>0</v>
      </c>
      <c r="K32" s="3"/>
      <c r="L32" s="6">
        <f t="shared" si="2"/>
        <v>-30626.899999999998</v>
      </c>
      <c r="M32" s="3"/>
      <c r="N32" s="7">
        <f t="shared" si="3"/>
        <v>-0.57945100021700868</v>
      </c>
      <c r="O32" s="9"/>
      <c r="P32" s="6">
        <v>333710.57</v>
      </c>
      <c r="Q32" s="3"/>
      <c r="R32" s="7">
        <f t="shared" si="4"/>
        <v>0</v>
      </c>
      <c r="S32" s="3"/>
      <c r="T32" s="6">
        <v>325179.7</v>
      </c>
      <c r="U32" s="3"/>
      <c r="V32" s="7">
        <f t="shared" si="5"/>
        <v>0</v>
      </c>
      <c r="W32" s="3"/>
      <c r="X32" s="6">
        <f t="shared" si="6"/>
        <v>8530.8699999999953</v>
      </c>
      <c r="Y32" s="3"/>
      <c r="Z32" s="7">
        <f t="shared" si="7"/>
        <v>2.6234325205417176E-2</v>
      </c>
    </row>
    <row r="33" spans="1:26" s="69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43788.15</v>
      </c>
      <c r="E33" s="3"/>
      <c r="F33" s="7">
        <f t="shared" si="0"/>
        <v>0</v>
      </c>
      <c r="G33" s="3"/>
      <c r="H33" s="6">
        <v>45813.25</v>
      </c>
      <c r="I33" s="3"/>
      <c r="J33" s="7">
        <f t="shared" si="1"/>
        <v>0</v>
      </c>
      <c r="K33" s="3"/>
      <c r="L33" s="6">
        <f t="shared" si="2"/>
        <v>-2025.0999999999985</v>
      </c>
      <c r="M33" s="3"/>
      <c r="N33" s="7">
        <f t="shared" si="3"/>
        <v>-4.4203369112647509E-2</v>
      </c>
      <c r="O33" s="9"/>
      <c r="P33" s="6">
        <v>598263.15</v>
      </c>
      <c r="Q33" s="3"/>
      <c r="R33" s="7">
        <f t="shared" si="4"/>
        <v>0</v>
      </c>
      <c r="S33" s="3"/>
      <c r="T33" s="6">
        <v>581348.59</v>
      </c>
      <c r="U33" s="3"/>
      <c r="V33" s="7">
        <f t="shared" si="5"/>
        <v>0</v>
      </c>
      <c r="W33" s="3"/>
      <c r="X33" s="6">
        <f t="shared" si="6"/>
        <v>16914.560000000056</v>
      </c>
      <c r="Y33" s="3"/>
      <c r="Z33" s="7">
        <f t="shared" si="7"/>
        <v>2.9095383202013197E-2</v>
      </c>
    </row>
    <row r="34" spans="1:26" s="69" customFormat="1" ht="15" hidden="1" customHeight="1" outlineLevel="2" x14ac:dyDescent="0.3">
      <c r="A34" s="21"/>
      <c r="B34" s="9" t="str">
        <f>CONCATENATE("          ","6004"," - ","STAFF HOURLY")</f>
        <v xml:space="preserve">          6004 - STAFF HOURLY</v>
      </c>
      <c r="C34" s="9"/>
      <c r="D34" s="6">
        <v>17911.8</v>
      </c>
      <c r="E34" s="3"/>
      <c r="F34" s="7">
        <f t="shared" si="0"/>
        <v>0</v>
      </c>
      <c r="G34" s="3"/>
      <c r="H34" s="6">
        <v>17307.849999999999</v>
      </c>
      <c r="I34" s="3"/>
      <c r="J34" s="7">
        <f t="shared" si="1"/>
        <v>0</v>
      </c>
      <c r="K34" s="3"/>
      <c r="L34" s="6">
        <f t="shared" si="2"/>
        <v>603.95000000000073</v>
      </c>
      <c r="M34" s="3"/>
      <c r="N34" s="7">
        <f t="shared" si="3"/>
        <v>3.4894570960575737E-2</v>
      </c>
      <c r="O34" s="9"/>
      <c r="P34" s="6">
        <v>246214.3</v>
      </c>
      <c r="Q34" s="3"/>
      <c r="R34" s="7">
        <f t="shared" si="4"/>
        <v>0</v>
      </c>
      <c r="S34" s="3"/>
      <c r="T34" s="6">
        <v>204780.37</v>
      </c>
      <c r="U34" s="3"/>
      <c r="V34" s="7">
        <f t="shared" si="5"/>
        <v>0</v>
      </c>
      <c r="W34" s="3"/>
      <c r="X34" s="6">
        <f t="shared" si="6"/>
        <v>41433.929999999993</v>
      </c>
      <c r="Y34" s="3"/>
      <c r="Z34" s="7">
        <f t="shared" si="7"/>
        <v>0.20233350491553459</v>
      </c>
    </row>
    <row r="35" spans="1:26" s="69" customFormat="1" ht="15" hidden="1" customHeight="1" outlineLevel="2" x14ac:dyDescent="0.3">
      <c r="A35" s="21"/>
      <c r="B35" s="9" t="str">
        <f>CONCATENATE("          ","6005"," - ","TEMPORARY WAGES-HOURLY")</f>
        <v xml:space="preserve">          6005 - TEMPORARY WAGES-HOURLY</v>
      </c>
      <c r="C35" s="9"/>
      <c r="D35" s="6">
        <v>6350.31</v>
      </c>
      <c r="E35" s="3"/>
      <c r="F35" s="7">
        <f t="shared" si="0"/>
        <v>0</v>
      </c>
      <c r="G35" s="3"/>
      <c r="H35" s="6">
        <v>1984.5</v>
      </c>
      <c r="I35" s="3"/>
      <c r="J35" s="7">
        <f t="shared" si="1"/>
        <v>0</v>
      </c>
      <c r="K35" s="3"/>
      <c r="L35" s="6">
        <f t="shared" si="2"/>
        <v>4365.8100000000004</v>
      </c>
      <c r="M35" s="3"/>
      <c r="N35" s="7">
        <f t="shared" si="3"/>
        <v>2.1999546485260772</v>
      </c>
      <c r="O35" s="9"/>
      <c r="P35" s="6">
        <v>40206.42</v>
      </c>
      <c r="Q35" s="3"/>
      <c r="R35" s="7">
        <f t="shared" si="4"/>
        <v>0</v>
      </c>
      <c r="S35" s="3"/>
      <c r="T35" s="6">
        <v>60188.51</v>
      </c>
      <c r="U35" s="3"/>
      <c r="V35" s="7">
        <f t="shared" si="5"/>
        <v>0</v>
      </c>
      <c r="W35" s="3"/>
      <c r="X35" s="6">
        <f t="shared" si="6"/>
        <v>-19982.090000000004</v>
      </c>
      <c r="Y35" s="3"/>
      <c r="Z35" s="7">
        <f t="shared" si="7"/>
        <v>-0.33199177052231404</v>
      </c>
    </row>
    <row r="36" spans="1:26" s="69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4512.18</v>
      </c>
      <c r="Q36" s="3"/>
      <c r="R36" s="7">
        <f t="shared" si="4"/>
        <v>0</v>
      </c>
      <c r="S36" s="3"/>
      <c r="T36" s="6">
        <v>-44841.01</v>
      </c>
      <c r="U36" s="3"/>
      <c r="V36" s="7">
        <f t="shared" si="5"/>
        <v>0</v>
      </c>
      <c r="W36" s="3"/>
      <c r="X36" s="6">
        <f t="shared" si="6"/>
        <v>49353.19</v>
      </c>
      <c r="Y36" s="3"/>
      <c r="Z36" s="7">
        <f t="shared" si="7"/>
        <v>-1.1006261901772507</v>
      </c>
    </row>
    <row r="37" spans="1:26" s="69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1685.19</v>
      </c>
      <c r="I37" s="3"/>
      <c r="J37" s="7">
        <f t="shared" si="1"/>
        <v>0</v>
      </c>
      <c r="K37" s="3"/>
      <c r="L37" s="6">
        <f t="shared" si="2"/>
        <v>-1685.19</v>
      </c>
      <c r="M37" s="3"/>
      <c r="N37" s="7">
        <f t="shared" si="3"/>
        <v>-1</v>
      </c>
      <c r="O37" s="9"/>
      <c r="P37" s="6">
        <v>11475.2</v>
      </c>
      <c r="Q37" s="3"/>
      <c r="R37" s="7">
        <f t="shared" si="4"/>
        <v>0</v>
      </c>
      <c r="S37" s="3"/>
      <c r="T37" s="6">
        <v>16449.099999999999</v>
      </c>
      <c r="U37" s="3"/>
      <c r="V37" s="7">
        <f t="shared" si="5"/>
        <v>0</v>
      </c>
      <c r="W37" s="3"/>
      <c r="X37" s="6">
        <f t="shared" si="6"/>
        <v>-4973.8999999999978</v>
      </c>
      <c r="Y37" s="3"/>
      <c r="Z37" s="7">
        <f t="shared" si="7"/>
        <v>-0.30238128529828368</v>
      </c>
    </row>
    <row r="38" spans="1:26" s="68" customFormat="1" ht="15" customHeight="1" outlineLevel="1" collapsed="1" x14ac:dyDescent="0.3">
      <c r="A38" s="20"/>
      <c r="B38" s="11" t="str">
        <f>CONCATENATE("     ","Advertising/Promo                                 ")</f>
        <v xml:space="preserve">     Advertising/Promo                                 </v>
      </c>
      <c r="C38" s="11"/>
      <c r="D38" s="2">
        <f>SUM(OSRRefD22_2x_0)</f>
        <v>267.52999999999997</v>
      </c>
      <c r="E38" s="2"/>
      <c r="F38" s="5">
        <f t="shared" si="0"/>
        <v>0</v>
      </c>
      <c r="G38" s="2"/>
      <c r="H38" s="2">
        <f>SUM(OSRRefH22_2x_0)</f>
        <v>173.21</v>
      </c>
      <c r="I38" s="2"/>
      <c r="J38" s="5">
        <f t="shared" si="1"/>
        <v>0</v>
      </c>
      <c r="K38" s="2"/>
      <c r="L38" s="2">
        <f t="shared" si="2"/>
        <v>94.319999999999965</v>
      </c>
      <c r="M38" s="2"/>
      <c r="N38" s="5">
        <f t="shared" si="3"/>
        <v>0.54454130823855418</v>
      </c>
      <c r="O38" s="11"/>
      <c r="P38" s="2">
        <f>SUM(OSRRefP22_2x_0)</f>
        <v>4849.1499999999996</v>
      </c>
      <c r="Q38" s="2"/>
      <c r="R38" s="5">
        <f t="shared" si="4"/>
        <v>0</v>
      </c>
      <c r="S38" s="2"/>
      <c r="T38" s="2">
        <f>SUM(OSRRefT22_2x_0)</f>
        <v>2150.38</v>
      </c>
      <c r="U38" s="2"/>
      <c r="V38" s="5">
        <f t="shared" si="5"/>
        <v>0</v>
      </c>
      <c r="W38" s="2"/>
      <c r="X38" s="2">
        <f t="shared" si="6"/>
        <v>2698.7699999999995</v>
      </c>
      <c r="Y38" s="2"/>
      <c r="Z38" s="5">
        <f t="shared" si="7"/>
        <v>1.2550200429691494</v>
      </c>
    </row>
    <row r="39" spans="1:26" s="69" customFormat="1" ht="15" hidden="1" customHeight="1" outlineLevel="2" x14ac:dyDescent="0.3">
      <c r="A39" s="21"/>
      <c r="B39" s="9" t="str">
        <f>CONCATENATE("          ","6362"," - ","ADVERTISING EXPENSE")</f>
        <v xml:space="preserve">          6362 - ADVERTISING EXPENSE</v>
      </c>
      <c r="C39" s="9"/>
      <c r="D39" s="6">
        <v>267.52999999999997</v>
      </c>
      <c r="E39" s="3"/>
      <c r="F39" s="7">
        <f t="shared" si="0"/>
        <v>0</v>
      </c>
      <c r="G39" s="3"/>
      <c r="H39" s="6">
        <v>173.21</v>
      </c>
      <c r="I39" s="3"/>
      <c r="J39" s="7">
        <f t="shared" si="1"/>
        <v>0</v>
      </c>
      <c r="K39" s="3"/>
      <c r="L39" s="6">
        <f t="shared" si="2"/>
        <v>94.319999999999965</v>
      </c>
      <c r="M39" s="3"/>
      <c r="N39" s="7">
        <f t="shared" si="3"/>
        <v>0.54454130823855418</v>
      </c>
      <c r="O39" s="9"/>
      <c r="P39" s="6">
        <v>4849.1499999999996</v>
      </c>
      <c r="Q39" s="3"/>
      <c r="R39" s="7">
        <f t="shared" si="4"/>
        <v>0</v>
      </c>
      <c r="S39" s="3"/>
      <c r="T39" s="6">
        <v>2150.38</v>
      </c>
      <c r="U39" s="3"/>
      <c r="V39" s="7">
        <f t="shared" si="5"/>
        <v>0</v>
      </c>
      <c r="W39" s="3"/>
      <c r="X39" s="6">
        <f t="shared" si="6"/>
        <v>2698.7699999999995</v>
      </c>
      <c r="Y39" s="3"/>
      <c r="Z39" s="7">
        <f t="shared" si="7"/>
        <v>1.2550200429691494</v>
      </c>
    </row>
    <row r="40" spans="1:26" s="68" customFormat="1" ht="15" customHeight="1" outlineLevel="1" collapsed="1" x14ac:dyDescent="0.3">
      <c r="A40" s="20"/>
      <c r="B40" s="11" t="str">
        <f>CONCATENATE("     ","Bank/card Fees                                    ")</f>
        <v xml:space="preserve">     Bank/card Fees                                    </v>
      </c>
      <c r="C40" s="11"/>
      <c r="D40" s="2">
        <f>SUM(OSRRefD22_3x_0)</f>
        <v>382.6</v>
      </c>
      <c r="E40" s="2"/>
      <c r="F40" s="5">
        <f t="shared" si="0"/>
        <v>0</v>
      </c>
      <c r="G40" s="2"/>
      <c r="H40" s="2">
        <f>SUM(OSRRefH22_3x_0)</f>
        <v>3.07</v>
      </c>
      <c r="I40" s="2"/>
      <c r="J40" s="5">
        <f t="shared" si="1"/>
        <v>0</v>
      </c>
      <c r="K40" s="2"/>
      <c r="L40" s="2">
        <f t="shared" si="2"/>
        <v>379.53000000000003</v>
      </c>
      <c r="M40" s="2"/>
      <c r="N40" s="5">
        <f t="shared" si="3"/>
        <v>123.62540716612379</v>
      </c>
      <c r="O40" s="11"/>
      <c r="P40" s="2">
        <f>SUM(OSRRefP22_3x_0)</f>
        <v>13559.82</v>
      </c>
      <c r="Q40" s="2"/>
      <c r="R40" s="5">
        <f t="shared" si="4"/>
        <v>0</v>
      </c>
      <c r="S40" s="2"/>
      <c r="T40" s="2">
        <f>SUM(OSRRefT22_3x_0)</f>
        <v>6999.14</v>
      </c>
      <c r="U40" s="2"/>
      <c r="V40" s="5">
        <f t="shared" si="5"/>
        <v>0</v>
      </c>
      <c r="W40" s="2"/>
      <c r="X40" s="2">
        <f t="shared" si="6"/>
        <v>6560.6799999999994</v>
      </c>
      <c r="Y40" s="2"/>
      <c r="Z40" s="5">
        <f t="shared" si="7"/>
        <v>0.93735516077689529</v>
      </c>
    </row>
    <row r="41" spans="1:26" s="69" customFormat="1" ht="15" hidden="1" customHeight="1" outlineLevel="2" x14ac:dyDescent="0.3">
      <c r="A41" s="21"/>
      <c r="B41" s="9" t="str">
        <f>CONCATENATE("          ","6381"," - ","BANK/CREDIT CARD FEES")</f>
        <v xml:space="preserve">          6381 - BANK/CREDIT CARD FEES</v>
      </c>
      <c r="C41" s="9"/>
      <c r="D41" s="6">
        <v>382.6</v>
      </c>
      <c r="E41" s="3"/>
      <c r="F41" s="7">
        <f t="shared" si="0"/>
        <v>0</v>
      </c>
      <c r="G41" s="3"/>
      <c r="H41" s="6">
        <v>3.07</v>
      </c>
      <c r="I41" s="3"/>
      <c r="J41" s="7">
        <f t="shared" si="1"/>
        <v>0</v>
      </c>
      <c r="K41" s="3"/>
      <c r="L41" s="6">
        <f t="shared" si="2"/>
        <v>379.53000000000003</v>
      </c>
      <c r="M41" s="3"/>
      <c r="N41" s="7">
        <f t="shared" si="3"/>
        <v>123.62540716612379</v>
      </c>
      <c r="O41" s="9"/>
      <c r="P41" s="6">
        <v>13559.82</v>
      </c>
      <c r="Q41" s="3"/>
      <c r="R41" s="7">
        <f t="shared" si="4"/>
        <v>0</v>
      </c>
      <c r="S41" s="3"/>
      <c r="T41" s="6">
        <v>6999.14</v>
      </c>
      <c r="U41" s="3"/>
      <c r="V41" s="7">
        <f t="shared" si="5"/>
        <v>0</v>
      </c>
      <c r="W41" s="3"/>
      <c r="X41" s="6">
        <f t="shared" si="6"/>
        <v>6560.6799999999994</v>
      </c>
      <c r="Y41" s="3"/>
      <c r="Z41" s="7">
        <f t="shared" si="7"/>
        <v>0.93735516077689529</v>
      </c>
    </row>
    <row r="42" spans="1:26" s="68" customFormat="1" ht="15" customHeight="1" outlineLevel="1" collapsed="1" x14ac:dyDescent="0.3">
      <c r="A42" s="20"/>
      <c r="B42" s="11" t="str">
        <f>CONCATENATE("     ","Board                                             ")</f>
        <v xml:space="preserve">     Board                                             </v>
      </c>
      <c r="C42" s="11"/>
      <c r="D42" s="2">
        <f>SUM(OSRRefD22_4x_0)</f>
        <v>10196.77</v>
      </c>
      <c r="E42" s="2"/>
      <c r="F42" s="5">
        <f t="shared" si="0"/>
        <v>0</v>
      </c>
      <c r="G42" s="2"/>
      <c r="H42" s="2">
        <f>SUM(OSRRefH22_4x_0)</f>
        <v>1048.1099999999999</v>
      </c>
      <c r="I42" s="2"/>
      <c r="J42" s="5">
        <f t="shared" si="1"/>
        <v>0</v>
      </c>
      <c r="K42" s="2"/>
      <c r="L42" s="2">
        <f t="shared" si="2"/>
        <v>9148.66</v>
      </c>
      <c r="M42" s="2"/>
      <c r="N42" s="5">
        <f t="shared" si="3"/>
        <v>8.7287212220091401</v>
      </c>
      <c r="O42" s="11"/>
      <c r="P42" s="2">
        <f>SUM(OSRRefP22_4x_0)</f>
        <v>36852.18</v>
      </c>
      <c r="Q42" s="2"/>
      <c r="R42" s="5">
        <f t="shared" si="4"/>
        <v>0</v>
      </c>
      <c r="S42" s="2"/>
      <c r="T42" s="2">
        <f>SUM(OSRRefT22_4x_0)</f>
        <v>15246.13</v>
      </c>
      <c r="U42" s="2"/>
      <c r="V42" s="5">
        <f t="shared" si="5"/>
        <v>0</v>
      </c>
      <c r="W42" s="2"/>
      <c r="X42" s="2">
        <f t="shared" si="6"/>
        <v>21606.050000000003</v>
      </c>
      <c r="Y42" s="2"/>
      <c r="Z42" s="5">
        <f t="shared" si="7"/>
        <v>1.4171497947347953</v>
      </c>
    </row>
    <row r="43" spans="1:26" s="69" customFormat="1" ht="15" hidden="1" customHeight="1" outlineLevel="2" x14ac:dyDescent="0.3">
      <c r="A43" s="21"/>
      <c r="B43" s="9" t="str">
        <f>CONCATENATE("          ","6397"," - ","BOARD EXPENSES")</f>
        <v xml:space="preserve">          6397 - BOARD EXPENSES</v>
      </c>
      <c r="C43" s="9"/>
      <c r="D43" s="6">
        <v>10196.77</v>
      </c>
      <c r="E43" s="3"/>
      <c r="F43" s="7">
        <f t="shared" si="0"/>
        <v>0</v>
      </c>
      <c r="G43" s="3"/>
      <c r="H43" s="6">
        <v>1048.1099999999999</v>
      </c>
      <c r="I43" s="3"/>
      <c r="J43" s="7">
        <f t="shared" si="1"/>
        <v>0</v>
      </c>
      <c r="K43" s="3"/>
      <c r="L43" s="6">
        <f t="shared" si="2"/>
        <v>9148.66</v>
      </c>
      <c r="M43" s="3"/>
      <c r="N43" s="7">
        <f t="shared" si="3"/>
        <v>8.7287212220091401</v>
      </c>
      <c r="O43" s="9"/>
      <c r="P43" s="6">
        <v>36852.18</v>
      </c>
      <c r="Q43" s="3"/>
      <c r="R43" s="7">
        <f t="shared" si="4"/>
        <v>0</v>
      </c>
      <c r="S43" s="3"/>
      <c r="T43" s="6">
        <v>15246.13</v>
      </c>
      <c r="U43" s="3"/>
      <c r="V43" s="7">
        <f t="shared" si="5"/>
        <v>0</v>
      </c>
      <c r="W43" s="3"/>
      <c r="X43" s="6">
        <f t="shared" si="6"/>
        <v>21606.050000000003</v>
      </c>
      <c r="Y43" s="3"/>
      <c r="Z43" s="7">
        <f t="shared" si="7"/>
        <v>1.4171497947347953</v>
      </c>
    </row>
    <row r="44" spans="1:26" s="68" customFormat="1" ht="15" customHeight="1" outlineLevel="1" collapsed="1" x14ac:dyDescent="0.3">
      <c r="A44" s="20"/>
      <c r="B44" s="11" t="str">
        <f>CONCATENATE("     ","Depreciation                                      ")</f>
        <v xml:space="preserve">     Depreciation                                      </v>
      </c>
      <c r="C44" s="11"/>
      <c r="D44" s="2">
        <f>SUM(OSRRefD22_5x_0)</f>
        <v>2002.06</v>
      </c>
      <c r="E44" s="2"/>
      <c r="F44" s="5">
        <f t="shared" si="0"/>
        <v>0</v>
      </c>
      <c r="G44" s="2"/>
      <c r="H44" s="2">
        <f>SUM(OSRRefH22_5x_0)</f>
        <v>6971.93</v>
      </c>
      <c r="I44" s="2"/>
      <c r="J44" s="5">
        <f t="shared" si="1"/>
        <v>0</v>
      </c>
      <c r="K44" s="2"/>
      <c r="L44" s="2">
        <f t="shared" si="2"/>
        <v>-4969.8700000000008</v>
      </c>
      <c r="M44" s="2"/>
      <c r="N44" s="5">
        <f t="shared" si="3"/>
        <v>-0.71283991663714363</v>
      </c>
      <c r="O44" s="11"/>
      <c r="P44" s="2">
        <f>SUM(OSRRefP22_5x_0)</f>
        <v>50358.86</v>
      </c>
      <c r="Q44" s="2"/>
      <c r="R44" s="5">
        <f t="shared" si="4"/>
        <v>0</v>
      </c>
      <c r="S44" s="2"/>
      <c r="T44" s="2">
        <f>SUM(OSRRefT22_5x_0)</f>
        <v>85883.73</v>
      </c>
      <c r="U44" s="2"/>
      <c r="V44" s="5">
        <f t="shared" si="5"/>
        <v>0</v>
      </c>
      <c r="W44" s="2"/>
      <c r="X44" s="2">
        <f t="shared" si="6"/>
        <v>-35524.869999999995</v>
      </c>
      <c r="Y44" s="2"/>
      <c r="Z44" s="5">
        <f t="shared" si="7"/>
        <v>-0.4136391141837924</v>
      </c>
    </row>
    <row r="45" spans="1:26" s="69" customFormat="1" ht="15" hidden="1" customHeight="1" outlineLevel="2" x14ac:dyDescent="0.3">
      <c r="A45" s="21"/>
      <c r="B45" s="9" t="str">
        <f>CONCATENATE("          ","6322"," - ","EQUIPMENT DEPRECIATION EXPENSE")</f>
        <v xml:space="preserve">          6322 - EQUIPMENT DEPRECIATION EXPENSE</v>
      </c>
      <c r="C45" s="9"/>
      <c r="D45" s="6">
        <v>2002.06</v>
      </c>
      <c r="E45" s="3"/>
      <c r="F45" s="7">
        <f t="shared" si="0"/>
        <v>0</v>
      </c>
      <c r="G45" s="3"/>
      <c r="H45" s="6">
        <v>6971.93</v>
      </c>
      <c r="I45" s="3"/>
      <c r="J45" s="7">
        <f t="shared" si="1"/>
        <v>0</v>
      </c>
      <c r="K45" s="3"/>
      <c r="L45" s="6">
        <f t="shared" si="2"/>
        <v>-4969.8700000000008</v>
      </c>
      <c r="M45" s="3"/>
      <c r="N45" s="7">
        <f t="shared" si="3"/>
        <v>-0.71283991663714363</v>
      </c>
      <c r="O45" s="9"/>
      <c r="P45" s="6">
        <v>50358.86</v>
      </c>
      <c r="Q45" s="3"/>
      <c r="R45" s="7">
        <f t="shared" si="4"/>
        <v>0</v>
      </c>
      <c r="S45" s="3"/>
      <c r="T45" s="6">
        <v>85883.73</v>
      </c>
      <c r="U45" s="3"/>
      <c r="V45" s="7">
        <f t="shared" si="5"/>
        <v>0</v>
      </c>
      <c r="W45" s="3"/>
      <c r="X45" s="6">
        <f t="shared" si="6"/>
        <v>-35524.869999999995</v>
      </c>
      <c r="Y45" s="3"/>
      <c r="Z45" s="7">
        <f t="shared" si="7"/>
        <v>-0.4136391141837924</v>
      </c>
    </row>
    <row r="46" spans="1:26" s="68" customFormat="1" ht="15" customHeight="1" outlineLevel="1" collapsed="1" x14ac:dyDescent="0.3">
      <c r="A46" s="20"/>
      <c r="B46" s="11" t="str">
        <f>CONCATENATE("     ","Donations                                         ")</f>
        <v xml:space="preserve">     Donations                                         </v>
      </c>
      <c r="C46" s="11"/>
      <c r="D46" s="2">
        <f>SUM(OSRRefD22_6x_0)</f>
        <v>2469.2399999999998</v>
      </c>
      <c r="E46" s="2"/>
      <c r="F46" s="5">
        <f t="shared" si="0"/>
        <v>0</v>
      </c>
      <c r="G46" s="2"/>
      <c r="H46" s="2">
        <f>SUM(OSRRefH22_6x_0)</f>
        <v>263.25</v>
      </c>
      <c r="I46" s="2"/>
      <c r="J46" s="5">
        <f t="shared" si="1"/>
        <v>0</v>
      </c>
      <c r="K46" s="2"/>
      <c r="L46" s="2">
        <f t="shared" si="2"/>
        <v>2205.9899999999998</v>
      </c>
      <c r="M46" s="2"/>
      <c r="N46" s="5">
        <f t="shared" si="3"/>
        <v>8.3798290598290581</v>
      </c>
      <c r="O46" s="11"/>
      <c r="P46" s="2">
        <f>SUM(OSRRefP22_6x_0)</f>
        <v>27769.24</v>
      </c>
      <c r="Q46" s="2"/>
      <c r="R46" s="5">
        <f t="shared" si="4"/>
        <v>0</v>
      </c>
      <c r="S46" s="2"/>
      <c r="T46" s="2">
        <f>SUM(OSRRefT22_6x_0)</f>
        <v>26763.25</v>
      </c>
      <c r="U46" s="2"/>
      <c r="V46" s="5">
        <f t="shared" si="5"/>
        <v>0</v>
      </c>
      <c r="W46" s="2"/>
      <c r="X46" s="2">
        <f t="shared" si="6"/>
        <v>1005.9900000000016</v>
      </c>
      <c r="Y46" s="2"/>
      <c r="Z46" s="5">
        <f t="shared" si="7"/>
        <v>3.7588484208756469E-2</v>
      </c>
    </row>
    <row r="47" spans="1:26" s="69" customFormat="1" ht="15" hidden="1" customHeight="1" outlineLevel="2" x14ac:dyDescent="0.3">
      <c r="A47" s="21"/>
      <c r="B47" s="9" t="str">
        <f>CONCATENATE("          ","6399"," - ","DONATION-ON CAMPUS")</f>
        <v xml:space="preserve">          6399 - DONATION-ON CAMPUS</v>
      </c>
      <c r="C47" s="9"/>
      <c r="D47" s="6">
        <v>2469.2399999999998</v>
      </c>
      <c r="E47" s="3"/>
      <c r="F47" s="7">
        <f t="shared" si="0"/>
        <v>0</v>
      </c>
      <c r="G47" s="3"/>
      <c r="H47" s="6">
        <v>263.25</v>
      </c>
      <c r="I47" s="3"/>
      <c r="J47" s="7">
        <f t="shared" si="1"/>
        <v>0</v>
      </c>
      <c r="K47" s="3"/>
      <c r="L47" s="6">
        <f t="shared" si="2"/>
        <v>2205.9899999999998</v>
      </c>
      <c r="M47" s="3"/>
      <c r="N47" s="7">
        <f t="shared" si="3"/>
        <v>8.3798290598290581</v>
      </c>
      <c r="O47" s="9"/>
      <c r="P47" s="6">
        <v>27769.24</v>
      </c>
      <c r="Q47" s="3"/>
      <c r="R47" s="7">
        <f t="shared" si="4"/>
        <v>0</v>
      </c>
      <c r="S47" s="3"/>
      <c r="T47" s="6">
        <v>26763.25</v>
      </c>
      <c r="U47" s="3"/>
      <c r="V47" s="7">
        <f t="shared" si="5"/>
        <v>0</v>
      </c>
      <c r="W47" s="3"/>
      <c r="X47" s="6">
        <f t="shared" si="6"/>
        <v>1005.9900000000016</v>
      </c>
      <c r="Y47" s="3"/>
      <c r="Z47" s="7">
        <f t="shared" si="7"/>
        <v>3.7588484208756469E-2</v>
      </c>
    </row>
    <row r="48" spans="1:26" s="68" customFormat="1" ht="15" customHeight="1" outlineLevel="1" collapsed="1" x14ac:dyDescent="0.3">
      <c r="A48" s="20"/>
      <c r="B48" s="11" t="str">
        <f>CONCATENATE("     ","Employees' Appreciation                           ")</f>
        <v xml:space="preserve">     Employees' Appreciation                           </v>
      </c>
      <c r="C48" s="11"/>
      <c r="D48" s="2">
        <f>SUM(OSRRefD22_7x_0)</f>
        <v>0</v>
      </c>
      <c r="E48" s="2"/>
      <c r="F48" s="5">
        <f t="shared" si="0"/>
        <v>0</v>
      </c>
      <c r="G48" s="2"/>
      <c r="H48" s="2">
        <f>SUM(OSRRefH22_7x_0)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SUM(OSRRefP22_7x_0)</f>
        <v>895.18</v>
      </c>
      <c r="Q48" s="2"/>
      <c r="R48" s="5">
        <f t="shared" si="4"/>
        <v>0</v>
      </c>
      <c r="S48" s="2"/>
      <c r="T48" s="2">
        <f>SUM(OSRRefT22_7x_0)</f>
        <v>81.56</v>
      </c>
      <c r="U48" s="2"/>
      <c r="V48" s="5">
        <f t="shared" si="5"/>
        <v>0</v>
      </c>
      <c r="W48" s="2"/>
      <c r="X48" s="2">
        <f t="shared" si="6"/>
        <v>813.61999999999989</v>
      </c>
      <c r="Y48" s="2"/>
      <c r="Z48" s="5">
        <f t="shared" si="7"/>
        <v>9.9757233938204983</v>
      </c>
    </row>
    <row r="49" spans="1:26" s="69" customFormat="1" ht="15" hidden="1" customHeight="1" outlineLevel="2" x14ac:dyDescent="0.3">
      <c r="A49" s="21"/>
      <c r="B49" s="9" t="str">
        <f>CONCATENATE("          ","6277"," - ","EMPLOYEE APPRECIATION")</f>
        <v xml:space="preserve">          6277 - EMPLOYEE APPRECIATION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895.18</v>
      </c>
      <c r="Q49" s="3"/>
      <c r="R49" s="7">
        <f t="shared" si="4"/>
        <v>0</v>
      </c>
      <c r="S49" s="3"/>
      <c r="T49" s="6">
        <v>81.56</v>
      </c>
      <c r="U49" s="3"/>
      <c r="V49" s="7">
        <f t="shared" si="5"/>
        <v>0</v>
      </c>
      <c r="W49" s="3"/>
      <c r="X49" s="6">
        <f t="shared" si="6"/>
        <v>813.61999999999989</v>
      </c>
      <c r="Y49" s="3"/>
      <c r="Z49" s="7">
        <f t="shared" si="7"/>
        <v>9.9757233938204983</v>
      </c>
    </row>
    <row r="50" spans="1:26" s="68" customFormat="1" ht="15" customHeight="1" outlineLevel="1" collapsed="1" x14ac:dyDescent="0.3">
      <c r="A50" s="20"/>
      <c r="B50" s="11" t="str">
        <f>CONCATENATE("     ","Equipment Rental                                  ")</f>
        <v xml:space="preserve">     Equipment Rental                                  </v>
      </c>
      <c r="C50" s="11"/>
      <c r="D50" s="2">
        <f>SUM(OSRRefD22_8x_0)</f>
        <v>-19.62</v>
      </c>
      <c r="E50" s="2"/>
      <c r="F50" s="5">
        <f t="shared" ref="F50:F86" si="8">IF(D$12=0,0,D50/D$12)</f>
        <v>0</v>
      </c>
      <c r="G50" s="2"/>
      <c r="H50" s="2">
        <f>SUM(OSRRefH22_8x_0)</f>
        <v>208.97</v>
      </c>
      <c r="I50" s="2"/>
      <c r="J50" s="5">
        <f t="shared" ref="J50:J86" si="9">IF(H$12=0,0,H50/H$12)</f>
        <v>0</v>
      </c>
      <c r="K50" s="2"/>
      <c r="L50" s="2">
        <f t="shared" ref="L50:L86" si="10">+D50-H50</f>
        <v>-228.59</v>
      </c>
      <c r="M50" s="2"/>
      <c r="N50" s="5">
        <f t="shared" ref="N50:N86" si="11">IF(H50=0,0,L50/H50)</f>
        <v>-1.0938890749868402</v>
      </c>
      <c r="O50" s="11"/>
      <c r="P50" s="2">
        <f>SUM(OSRRefP22_8x_0)</f>
        <v>2279.0500000000002</v>
      </c>
      <c r="Q50" s="2"/>
      <c r="R50" s="5">
        <f t="shared" ref="R50:R86" si="12">IF(P$12=0,0,P50/P$12)</f>
        <v>0</v>
      </c>
      <c r="S50" s="2"/>
      <c r="T50" s="2">
        <f>SUM(OSRRefT22_8x_0)</f>
        <v>2598.9</v>
      </c>
      <c r="U50" s="2"/>
      <c r="V50" s="5">
        <f t="shared" ref="V50:V86" si="13">IF(T$12=0,0,T50/T$12)</f>
        <v>0</v>
      </c>
      <c r="W50" s="2"/>
      <c r="X50" s="2">
        <f t="shared" ref="X50:X86" si="14">+P50-T50</f>
        <v>-319.84999999999991</v>
      </c>
      <c r="Y50" s="2"/>
      <c r="Z50" s="5">
        <f t="shared" ref="Z50:Z86" si="15">IF(T50=0,0,X50/T50)</f>
        <v>-0.12307129939589823</v>
      </c>
    </row>
    <row r="51" spans="1:26" s="69" customFormat="1" ht="15" hidden="1" customHeight="1" outlineLevel="2" x14ac:dyDescent="0.3">
      <c r="A51" s="21"/>
      <c r="B51" s="9" t="str">
        <f>CONCATENATE("          ","6351"," - ","EQUIPMENT RENTAL")</f>
        <v xml:space="preserve">          6351 - EQUIPMENT RENTAL</v>
      </c>
      <c r="C51" s="9"/>
      <c r="D51" s="6">
        <v>-19.62</v>
      </c>
      <c r="E51" s="3"/>
      <c r="F51" s="7">
        <f t="shared" si="8"/>
        <v>0</v>
      </c>
      <c r="G51" s="3"/>
      <c r="H51" s="6">
        <v>208.97</v>
      </c>
      <c r="I51" s="3"/>
      <c r="J51" s="7">
        <f t="shared" si="9"/>
        <v>0</v>
      </c>
      <c r="K51" s="3"/>
      <c r="L51" s="6">
        <f t="shared" si="10"/>
        <v>-228.59</v>
      </c>
      <c r="M51" s="3"/>
      <c r="N51" s="7">
        <f t="shared" si="11"/>
        <v>-1.0938890749868402</v>
      </c>
      <c r="O51" s="9"/>
      <c r="P51" s="6">
        <v>2279.0500000000002</v>
      </c>
      <c r="Q51" s="3"/>
      <c r="R51" s="7">
        <f t="shared" si="12"/>
        <v>0</v>
      </c>
      <c r="S51" s="3"/>
      <c r="T51" s="6">
        <v>2598.9</v>
      </c>
      <c r="U51" s="3"/>
      <c r="V51" s="7">
        <f t="shared" si="13"/>
        <v>0</v>
      </c>
      <c r="W51" s="3"/>
      <c r="X51" s="6">
        <f t="shared" si="14"/>
        <v>-319.84999999999991</v>
      </c>
      <c r="Y51" s="3"/>
      <c r="Z51" s="7">
        <f t="shared" si="15"/>
        <v>-0.12307129939589823</v>
      </c>
    </row>
    <row r="52" spans="1:26" s="68" customFormat="1" ht="15" customHeight="1" outlineLevel="1" collapsed="1" x14ac:dyDescent="0.3">
      <c r="A52" s="20"/>
      <c r="B52" s="11" t="str">
        <f>CONCATENATE("     ","Freight out/Postage                               ")</f>
        <v xml:space="preserve">     Freight out/Postage                               </v>
      </c>
      <c r="C52" s="11"/>
      <c r="D52" s="2">
        <f>SUM(OSRRefD22_9x_0)</f>
        <v>129.72</v>
      </c>
      <c r="E52" s="2"/>
      <c r="F52" s="5">
        <f t="shared" si="8"/>
        <v>0</v>
      </c>
      <c r="G52" s="2"/>
      <c r="H52" s="2">
        <f>SUM(OSRRefH22_9x_0)</f>
        <v>85.68</v>
      </c>
      <c r="I52" s="2"/>
      <c r="J52" s="5">
        <f t="shared" si="9"/>
        <v>0</v>
      </c>
      <c r="K52" s="2"/>
      <c r="L52" s="2">
        <f t="shared" si="10"/>
        <v>44.039999999999992</v>
      </c>
      <c r="M52" s="2"/>
      <c r="N52" s="5">
        <f t="shared" si="11"/>
        <v>0.5140056022408962</v>
      </c>
      <c r="O52" s="11"/>
      <c r="P52" s="2">
        <f>SUM(OSRRefP22_9x_0)</f>
        <v>1875.96</v>
      </c>
      <c r="Q52" s="2"/>
      <c r="R52" s="5">
        <f t="shared" si="12"/>
        <v>0</v>
      </c>
      <c r="S52" s="2"/>
      <c r="T52" s="2">
        <f>SUM(OSRRefT22_9x_0)</f>
        <v>1265.3800000000001</v>
      </c>
      <c r="U52" s="2"/>
      <c r="V52" s="5">
        <f t="shared" si="13"/>
        <v>0</v>
      </c>
      <c r="W52" s="2"/>
      <c r="X52" s="2">
        <f t="shared" si="14"/>
        <v>610.57999999999993</v>
      </c>
      <c r="Y52" s="2"/>
      <c r="Z52" s="5">
        <f t="shared" si="15"/>
        <v>0.48252698794038146</v>
      </c>
    </row>
    <row r="53" spans="1:26" s="69" customFormat="1" ht="15" hidden="1" customHeight="1" outlineLevel="2" x14ac:dyDescent="0.3">
      <c r="A53" s="21"/>
      <c r="B53" s="9" t="str">
        <f>CONCATENATE("          ","6305"," - ","FREIGHT OUT")</f>
        <v xml:space="preserve">          6305 - FREIGHT OUT</v>
      </c>
      <c r="C53" s="9"/>
      <c r="D53" s="6"/>
      <c r="E53" s="3"/>
      <c r="F53" s="7">
        <f t="shared" si="8"/>
        <v>0</v>
      </c>
      <c r="G53" s="3"/>
      <c r="H53" s="6"/>
      <c r="I53" s="3"/>
      <c r="J53" s="7">
        <f t="shared" si="9"/>
        <v>0</v>
      </c>
      <c r="K53" s="3"/>
      <c r="L53" s="6">
        <f t="shared" si="10"/>
        <v>0</v>
      </c>
      <c r="M53" s="3"/>
      <c r="N53" s="7">
        <f t="shared" si="11"/>
        <v>0</v>
      </c>
      <c r="O53" s="9"/>
      <c r="P53" s="6"/>
      <c r="Q53" s="3"/>
      <c r="R53" s="7">
        <f t="shared" si="12"/>
        <v>0</v>
      </c>
      <c r="S53" s="3"/>
      <c r="T53" s="6">
        <v>5.41</v>
      </c>
      <c r="U53" s="3"/>
      <c r="V53" s="7">
        <f t="shared" si="13"/>
        <v>0</v>
      </c>
      <c r="W53" s="3"/>
      <c r="X53" s="6">
        <f t="shared" si="14"/>
        <v>-5.41</v>
      </c>
      <c r="Y53" s="3"/>
      <c r="Z53" s="7">
        <f t="shared" si="15"/>
        <v>-1</v>
      </c>
    </row>
    <row r="54" spans="1:26" s="69" customFormat="1" ht="15" hidden="1" customHeight="1" outlineLevel="2" x14ac:dyDescent="0.3">
      <c r="A54" s="21"/>
      <c r="B54" s="9" t="str">
        <f>CONCATENATE("          ","6307"," - ","POSTAGE")</f>
        <v xml:space="preserve">          6307 - POSTAGE</v>
      </c>
      <c r="C54" s="9"/>
      <c r="D54" s="6">
        <v>129.72</v>
      </c>
      <c r="E54" s="3"/>
      <c r="F54" s="7">
        <f t="shared" si="8"/>
        <v>0</v>
      </c>
      <c r="G54" s="3"/>
      <c r="H54" s="6">
        <v>85.68</v>
      </c>
      <c r="I54" s="3"/>
      <c r="J54" s="7">
        <f t="shared" si="9"/>
        <v>0</v>
      </c>
      <c r="K54" s="3"/>
      <c r="L54" s="6">
        <f t="shared" si="10"/>
        <v>44.039999999999992</v>
      </c>
      <c r="M54" s="3"/>
      <c r="N54" s="7">
        <f t="shared" si="11"/>
        <v>0.5140056022408962</v>
      </c>
      <c r="O54" s="9"/>
      <c r="P54" s="6">
        <v>1875.96</v>
      </c>
      <c r="Q54" s="3"/>
      <c r="R54" s="7">
        <f t="shared" si="12"/>
        <v>0</v>
      </c>
      <c r="S54" s="3"/>
      <c r="T54" s="6">
        <v>1259.97</v>
      </c>
      <c r="U54" s="3"/>
      <c r="V54" s="7">
        <f t="shared" si="13"/>
        <v>0</v>
      </c>
      <c r="W54" s="3"/>
      <c r="X54" s="6">
        <f t="shared" si="14"/>
        <v>615.99</v>
      </c>
      <c r="Y54" s="3"/>
      <c r="Z54" s="7">
        <f t="shared" si="15"/>
        <v>0.48889259268077812</v>
      </c>
    </row>
    <row r="55" spans="1:26" s="68" customFormat="1" ht="15" customHeight="1" outlineLevel="1" collapsed="1" x14ac:dyDescent="0.3">
      <c r="A55" s="20"/>
      <c r="B55" s="11" t="str">
        <f>CONCATENATE("     ","General                                           ")</f>
        <v xml:space="preserve">     General                                           </v>
      </c>
      <c r="C55" s="11"/>
      <c r="D55" s="2">
        <f>SUM(OSRRefD22_10x_0)</f>
        <v>7230.63</v>
      </c>
      <c r="E55" s="2"/>
      <c r="F55" s="5">
        <f t="shared" si="8"/>
        <v>0</v>
      </c>
      <c r="G55" s="2"/>
      <c r="H55" s="2">
        <f>SUM(OSRRefH22_10x_0)</f>
        <v>197.75</v>
      </c>
      <c r="I55" s="2"/>
      <c r="J55" s="5">
        <f t="shared" si="9"/>
        <v>0</v>
      </c>
      <c r="K55" s="2"/>
      <c r="L55" s="2">
        <f t="shared" si="10"/>
        <v>7032.88</v>
      </c>
      <c r="M55" s="2"/>
      <c r="N55" s="5">
        <f t="shared" si="11"/>
        <v>35.564500632111255</v>
      </c>
      <c r="O55" s="11"/>
      <c r="P55" s="2">
        <f>SUM(OSRRefP22_10x_0)</f>
        <v>8564.02</v>
      </c>
      <c r="Q55" s="2"/>
      <c r="R55" s="5">
        <f t="shared" si="12"/>
        <v>0</v>
      </c>
      <c r="S55" s="2"/>
      <c r="T55" s="2">
        <f>SUM(OSRRefT22_10x_0)</f>
        <v>577.09</v>
      </c>
      <c r="U55" s="2"/>
      <c r="V55" s="5">
        <f t="shared" si="13"/>
        <v>0</v>
      </c>
      <c r="W55" s="2"/>
      <c r="X55" s="2">
        <f t="shared" si="14"/>
        <v>7986.93</v>
      </c>
      <c r="Y55" s="2"/>
      <c r="Z55" s="5">
        <f t="shared" si="15"/>
        <v>13.840007624460656</v>
      </c>
    </row>
    <row r="56" spans="1:26" s="69" customFormat="1" ht="15" hidden="1" customHeight="1" outlineLevel="2" x14ac:dyDescent="0.3">
      <c r="A56" s="21"/>
      <c r="B56" s="9" t="str">
        <f>CONCATENATE("          ","6279"," - ","GENERAL EXPENSE")</f>
        <v xml:space="preserve">          6279 - GENERAL EXPENSE</v>
      </c>
      <c r="C56" s="9"/>
      <c r="D56" s="6">
        <v>7230.63</v>
      </c>
      <c r="E56" s="3"/>
      <c r="F56" s="7">
        <f t="shared" si="8"/>
        <v>0</v>
      </c>
      <c r="G56" s="3"/>
      <c r="H56" s="6">
        <v>197.75</v>
      </c>
      <c r="I56" s="3"/>
      <c r="J56" s="7">
        <f t="shared" si="9"/>
        <v>0</v>
      </c>
      <c r="K56" s="3"/>
      <c r="L56" s="6">
        <f t="shared" si="10"/>
        <v>7032.88</v>
      </c>
      <c r="M56" s="3"/>
      <c r="N56" s="7">
        <f t="shared" si="11"/>
        <v>35.564500632111255</v>
      </c>
      <c r="O56" s="9"/>
      <c r="P56" s="6">
        <v>8564.02</v>
      </c>
      <c r="Q56" s="3"/>
      <c r="R56" s="7">
        <f t="shared" si="12"/>
        <v>0</v>
      </c>
      <c r="S56" s="3"/>
      <c r="T56" s="6">
        <v>577.09</v>
      </c>
      <c r="U56" s="3"/>
      <c r="V56" s="7">
        <f t="shared" si="13"/>
        <v>0</v>
      </c>
      <c r="W56" s="3"/>
      <c r="X56" s="6">
        <f t="shared" si="14"/>
        <v>7986.93</v>
      </c>
      <c r="Y56" s="3"/>
      <c r="Z56" s="7">
        <f t="shared" si="15"/>
        <v>13.840007624460656</v>
      </c>
    </row>
    <row r="57" spans="1:26" s="68" customFormat="1" ht="15" customHeight="1" outlineLevel="1" collapsed="1" x14ac:dyDescent="0.3">
      <c r="A57" s="20"/>
      <c r="B57" s="11" t="str">
        <f>CONCATENATE("     ","Insurance                                         ")</f>
        <v xml:space="preserve">     Insurance                                         </v>
      </c>
      <c r="C57" s="11"/>
      <c r="D57" s="2">
        <f>SUM(OSRRefD22_11x_0)</f>
        <v>-166.18</v>
      </c>
      <c r="E57" s="2"/>
      <c r="F57" s="5">
        <f t="shared" si="8"/>
        <v>0</v>
      </c>
      <c r="G57" s="2"/>
      <c r="H57" s="2">
        <f>SUM(OSRRefH22_11x_0)</f>
        <v>845.16</v>
      </c>
      <c r="I57" s="2"/>
      <c r="J57" s="5">
        <f t="shared" si="9"/>
        <v>0</v>
      </c>
      <c r="K57" s="2"/>
      <c r="L57" s="2">
        <f t="shared" si="10"/>
        <v>-1011.3399999999999</v>
      </c>
      <c r="M57" s="2"/>
      <c r="N57" s="5">
        <f t="shared" si="11"/>
        <v>-1.1966254910312839</v>
      </c>
      <c r="O57" s="11"/>
      <c r="P57" s="2">
        <f>SUM(OSRRefP22_11x_0)</f>
        <v>5719.48</v>
      </c>
      <c r="Q57" s="2"/>
      <c r="R57" s="5">
        <f t="shared" si="12"/>
        <v>0</v>
      </c>
      <c r="S57" s="2"/>
      <c r="T57" s="2">
        <f>SUM(OSRRefT22_11x_0)</f>
        <v>5175.53</v>
      </c>
      <c r="U57" s="2"/>
      <c r="V57" s="5">
        <f t="shared" si="13"/>
        <v>0</v>
      </c>
      <c r="W57" s="2"/>
      <c r="X57" s="2">
        <f t="shared" si="14"/>
        <v>543.94999999999982</v>
      </c>
      <c r="Y57" s="2"/>
      <c r="Z57" s="5">
        <f t="shared" si="15"/>
        <v>0.10510034721081703</v>
      </c>
    </row>
    <row r="58" spans="1:26" s="69" customFormat="1" ht="15" hidden="1" customHeight="1" outlineLevel="2" x14ac:dyDescent="0.3">
      <c r="A58" s="21"/>
      <c r="B58" s="9" t="str">
        <f>CONCATENATE("          ","6314"," - ","LIABILITY INSURANCE")</f>
        <v xml:space="preserve">          6314 - LIABILITY INSURANCE</v>
      </c>
      <c r="C58" s="9"/>
      <c r="D58" s="6">
        <v>-166.18</v>
      </c>
      <c r="E58" s="3"/>
      <c r="F58" s="7">
        <f t="shared" si="8"/>
        <v>0</v>
      </c>
      <c r="G58" s="3"/>
      <c r="H58" s="6">
        <v>845.16</v>
      </c>
      <c r="I58" s="3"/>
      <c r="J58" s="7">
        <f t="shared" si="9"/>
        <v>0</v>
      </c>
      <c r="K58" s="3"/>
      <c r="L58" s="6">
        <f t="shared" si="10"/>
        <v>-1011.3399999999999</v>
      </c>
      <c r="M58" s="3"/>
      <c r="N58" s="7">
        <f t="shared" si="11"/>
        <v>-1.1966254910312839</v>
      </c>
      <c r="O58" s="9"/>
      <c r="P58" s="6">
        <v>5719.48</v>
      </c>
      <c r="Q58" s="3"/>
      <c r="R58" s="7">
        <f t="shared" si="12"/>
        <v>0</v>
      </c>
      <c r="S58" s="3"/>
      <c r="T58" s="6">
        <v>5175.53</v>
      </c>
      <c r="U58" s="3"/>
      <c r="V58" s="7">
        <f t="shared" si="13"/>
        <v>0</v>
      </c>
      <c r="W58" s="3"/>
      <c r="X58" s="6">
        <f t="shared" si="14"/>
        <v>543.94999999999982</v>
      </c>
      <c r="Y58" s="3"/>
      <c r="Z58" s="7">
        <f t="shared" si="15"/>
        <v>0.10510034721081703</v>
      </c>
    </row>
    <row r="59" spans="1:26" s="68" customFormat="1" ht="15" customHeight="1" outlineLevel="1" collapsed="1" x14ac:dyDescent="0.3">
      <c r="A59" s="20"/>
      <c r="B59" s="11" t="str">
        <f>CONCATENATE("     ","Professional Services                             ")</f>
        <v xml:space="preserve">     Professional Services                             </v>
      </c>
      <c r="C59" s="11"/>
      <c r="D59" s="2">
        <f>SUM(OSRRefD22_12x_0)</f>
        <v>1245</v>
      </c>
      <c r="E59" s="2"/>
      <c r="F59" s="5">
        <f t="shared" si="8"/>
        <v>0</v>
      </c>
      <c r="G59" s="2"/>
      <c r="H59" s="2">
        <f>SUM(OSRRefH22_12x_0)</f>
        <v>643.47</v>
      </c>
      <c r="I59" s="2"/>
      <c r="J59" s="5">
        <f t="shared" si="9"/>
        <v>0</v>
      </c>
      <c r="K59" s="2"/>
      <c r="L59" s="2">
        <f t="shared" si="10"/>
        <v>601.53</v>
      </c>
      <c r="M59" s="2"/>
      <c r="N59" s="5">
        <f t="shared" si="11"/>
        <v>0.93482213623012722</v>
      </c>
      <c r="O59" s="11"/>
      <c r="P59" s="2">
        <f>SUM(OSRRefP22_12x_0)</f>
        <v>119590.64</v>
      </c>
      <c r="Q59" s="2"/>
      <c r="R59" s="5">
        <f t="shared" si="12"/>
        <v>0</v>
      </c>
      <c r="S59" s="2"/>
      <c r="T59" s="2">
        <f>SUM(OSRRefT22_12x_0)</f>
        <v>108065.59000000001</v>
      </c>
      <c r="U59" s="2"/>
      <c r="V59" s="5">
        <f t="shared" si="13"/>
        <v>0</v>
      </c>
      <c r="W59" s="2"/>
      <c r="X59" s="2">
        <f t="shared" si="14"/>
        <v>11525.049999999988</v>
      </c>
      <c r="Y59" s="2"/>
      <c r="Z59" s="5">
        <f t="shared" si="15"/>
        <v>0.10664865661678234</v>
      </c>
    </row>
    <row r="60" spans="1:26" s="69" customFormat="1" ht="15" hidden="1" customHeight="1" outlineLevel="2" x14ac:dyDescent="0.3">
      <c r="A60" s="21"/>
      <c r="B60" s="9" t="str">
        <f>CONCATENATE("          ","6331"," - ","INDIRECT COSTS-AUXILIARY ORGAN")</f>
        <v xml:space="preserve">          6331 - INDIRECT COSTS-AUXILIARY ORGAN</v>
      </c>
      <c r="C60" s="9"/>
      <c r="D60" s="6"/>
      <c r="E60" s="3"/>
      <c r="F60" s="7">
        <f t="shared" si="8"/>
        <v>0</v>
      </c>
      <c r="G60" s="3"/>
      <c r="H60" s="6"/>
      <c r="I60" s="3"/>
      <c r="J60" s="7">
        <f t="shared" si="9"/>
        <v>0</v>
      </c>
      <c r="K60" s="3"/>
      <c r="L60" s="6">
        <f t="shared" si="10"/>
        <v>0</v>
      </c>
      <c r="M60" s="3"/>
      <c r="N60" s="7">
        <f t="shared" si="11"/>
        <v>0</v>
      </c>
      <c r="O60" s="9"/>
      <c r="P60" s="6">
        <v>89851</v>
      </c>
      <c r="Q60" s="3"/>
      <c r="R60" s="7">
        <f t="shared" si="12"/>
        <v>0</v>
      </c>
      <c r="S60" s="3"/>
      <c r="T60" s="6">
        <v>92418</v>
      </c>
      <c r="U60" s="3"/>
      <c r="V60" s="7">
        <f t="shared" si="13"/>
        <v>0</v>
      </c>
      <c r="W60" s="3"/>
      <c r="X60" s="6">
        <f t="shared" si="14"/>
        <v>-2567</v>
      </c>
      <c r="Y60" s="3"/>
      <c r="Z60" s="7">
        <f t="shared" si="15"/>
        <v>-2.7775974377285809E-2</v>
      </c>
    </row>
    <row r="61" spans="1:26" s="69" customFormat="1" ht="15" hidden="1" customHeight="1" outlineLevel="2" x14ac:dyDescent="0.3">
      <c r="A61" s="21"/>
      <c r="B61" s="9" t="str">
        <f>CONCATENATE("          ","6334"," - ","LEGAL COUNCIL EXPENSE")</f>
        <v xml:space="preserve">          6334 - LEGAL COUNCIL EXPENSE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3455</v>
      </c>
      <c r="Q61" s="3"/>
      <c r="R61" s="7">
        <f t="shared" si="12"/>
        <v>0</v>
      </c>
      <c r="S61" s="3"/>
      <c r="T61" s="6">
        <v>6979.24</v>
      </c>
      <c r="U61" s="3"/>
      <c r="V61" s="7">
        <f t="shared" si="13"/>
        <v>0</v>
      </c>
      <c r="W61" s="3"/>
      <c r="X61" s="6">
        <f t="shared" si="14"/>
        <v>-3524.24</v>
      </c>
      <c r="Y61" s="3"/>
      <c r="Z61" s="7">
        <f t="shared" si="15"/>
        <v>-0.5049604254904545</v>
      </c>
    </row>
    <row r="62" spans="1:26" s="69" customFormat="1" ht="15" hidden="1" customHeight="1" outlineLevel="2" x14ac:dyDescent="0.3">
      <c r="A62" s="21"/>
      <c r="B62" s="9" t="str">
        <f>CONCATENATE("          ","6336"," - ","PROFESSIONAL SERVICES")</f>
        <v xml:space="preserve">          6336 - PROFESSIONAL SERVICES</v>
      </c>
      <c r="C62" s="9"/>
      <c r="D62" s="6">
        <v>1245</v>
      </c>
      <c r="E62" s="3"/>
      <c r="F62" s="7">
        <f t="shared" si="8"/>
        <v>0</v>
      </c>
      <c r="G62" s="3"/>
      <c r="H62" s="6">
        <v>643.47</v>
      </c>
      <c r="I62" s="3"/>
      <c r="J62" s="7">
        <f t="shared" si="9"/>
        <v>0</v>
      </c>
      <c r="K62" s="3"/>
      <c r="L62" s="6">
        <f t="shared" si="10"/>
        <v>601.53</v>
      </c>
      <c r="M62" s="3"/>
      <c r="N62" s="7">
        <f t="shared" si="11"/>
        <v>0.93482213623012722</v>
      </c>
      <c r="O62" s="9"/>
      <c r="P62" s="6">
        <v>26284.639999999999</v>
      </c>
      <c r="Q62" s="3"/>
      <c r="R62" s="7">
        <f t="shared" si="12"/>
        <v>0</v>
      </c>
      <c r="S62" s="3"/>
      <c r="T62" s="6">
        <v>8668.35</v>
      </c>
      <c r="U62" s="3"/>
      <c r="V62" s="7">
        <f t="shared" si="13"/>
        <v>0</v>
      </c>
      <c r="W62" s="3"/>
      <c r="X62" s="6">
        <f t="shared" si="14"/>
        <v>17616.29</v>
      </c>
      <c r="Y62" s="3"/>
      <c r="Z62" s="7">
        <f t="shared" si="15"/>
        <v>2.0322541198728707</v>
      </c>
    </row>
    <row r="63" spans="1:26" s="68" customFormat="1" ht="15" customHeight="1" outlineLevel="1" collapsed="1" x14ac:dyDescent="0.3">
      <c r="A63" s="20"/>
      <c r="B63" s="11" t="str">
        <f>CONCATENATE("     ","Repair and Maintenance                            ")</f>
        <v xml:space="preserve">     Repair and Maintenance                            </v>
      </c>
      <c r="C63" s="11"/>
      <c r="D63" s="2">
        <f>SUM(OSRRefD22_13x_0)</f>
        <v>19794.41</v>
      </c>
      <c r="E63" s="2"/>
      <c r="F63" s="5">
        <f t="shared" si="8"/>
        <v>0</v>
      </c>
      <c r="G63" s="2"/>
      <c r="H63" s="2">
        <f>SUM(OSRRefH22_13x_0)</f>
        <v>21679.37</v>
      </c>
      <c r="I63" s="2"/>
      <c r="J63" s="5">
        <f t="shared" si="9"/>
        <v>0</v>
      </c>
      <c r="K63" s="2"/>
      <c r="L63" s="2">
        <f t="shared" si="10"/>
        <v>-1884.9599999999991</v>
      </c>
      <c r="M63" s="2"/>
      <c r="N63" s="5">
        <f t="shared" si="11"/>
        <v>-8.6947176048012428E-2</v>
      </c>
      <c r="O63" s="11"/>
      <c r="P63" s="2">
        <f>SUM(OSRRefP22_13x_0)</f>
        <v>287958.22000000003</v>
      </c>
      <c r="Q63" s="2"/>
      <c r="R63" s="5">
        <f t="shared" si="12"/>
        <v>0</v>
      </c>
      <c r="S63" s="2"/>
      <c r="T63" s="2">
        <f>SUM(OSRRefT22_13x_0)</f>
        <v>286993.28999999998</v>
      </c>
      <c r="U63" s="2"/>
      <c r="V63" s="5">
        <f t="shared" si="13"/>
        <v>0</v>
      </c>
      <c r="W63" s="2"/>
      <c r="X63" s="2">
        <f t="shared" si="14"/>
        <v>964.93000000005122</v>
      </c>
      <c r="Y63" s="2"/>
      <c r="Z63" s="5">
        <f t="shared" si="15"/>
        <v>3.3622040431678778E-3</v>
      </c>
    </row>
    <row r="64" spans="1:26" s="69" customFormat="1" ht="15" hidden="1" customHeight="1" outlineLevel="2" x14ac:dyDescent="0.3">
      <c r="A64" s="21"/>
      <c r="B64" s="9" t="str">
        <f>CONCATENATE("          ","6371"," - ","COMPUTER SOFTWARE MAINTENANCE")</f>
        <v xml:space="preserve">          6371 - COMPUTER SOFTWARE MAINTENANCE</v>
      </c>
      <c r="C64" s="9"/>
      <c r="D64" s="6">
        <v>9046.75</v>
      </c>
      <c r="E64" s="3"/>
      <c r="F64" s="7">
        <f t="shared" si="8"/>
        <v>0</v>
      </c>
      <c r="G64" s="3"/>
      <c r="H64" s="6">
        <v>6281.98</v>
      </c>
      <c r="I64" s="3"/>
      <c r="J64" s="7">
        <f t="shared" si="9"/>
        <v>0</v>
      </c>
      <c r="K64" s="3"/>
      <c r="L64" s="6">
        <f t="shared" si="10"/>
        <v>2764.7700000000004</v>
      </c>
      <c r="M64" s="3"/>
      <c r="N64" s="7">
        <f t="shared" si="11"/>
        <v>0.44011123881324049</v>
      </c>
      <c r="O64" s="9"/>
      <c r="P64" s="6">
        <v>128314.65</v>
      </c>
      <c r="Q64" s="3"/>
      <c r="R64" s="7">
        <f t="shared" si="12"/>
        <v>0</v>
      </c>
      <c r="S64" s="3"/>
      <c r="T64" s="6">
        <v>99100.72</v>
      </c>
      <c r="U64" s="3"/>
      <c r="V64" s="7">
        <f t="shared" si="13"/>
        <v>0</v>
      </c>
      <c r="W64" s="3"/>
      <c r="X64" s="6">
        <f t="shared" si="14"/>
        <v>29213.929999999993</v>
      </c>
      <c r="Y64" s="3"/>
      <c r="Z64" s="7">
        <f t="shared" si="15"/>
        <v>0.29479029012100005</v>
      </c>
    </row>
    <row r="65" spans="1:26" s="69" customFormat="1" ht="15" hidden="1" customHeight="1" outlineLevel="2" x14ac:dyDescent="0.3">
      <c r="A65" s="21"/>
      <c r="B65" s="9" t="str">
        <f>CONCATENATE("          ","6372"," - ","COMPUTER HARDWARE MAINTENANCE")</f>
        <v xml:space="preserve">          6372 - COMPUTER HARDWARE MAINTENANCE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4760.47</v>
      </c>
      <c r="Q65" s="3"/>
      <c r="R65" s="7">
        <f t="shared" si="12"/>
        <v>0</v>
      </c>
      <c r="S65" s="3"/>
      <c r="T65" s="6"/>
      <c r="U65" s="3"/>
      <c r="V65" s="7">
        <f t="shared" si="13"/>
        <v>0</v>
      </c>
      <c r="W65" s="3"/>
      <c r="X65" s="6">
        <f t="shared" si="14"/>
        <v>4760.47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1"/>
      <c r="B66" s="9" t="str">
        <f>CONCATENATE("          ","6373"," - ","MAINTENANCE CONTRACTS")</f>
        <v xml:space="preserve">          6373 - MAINTENANCE CONTRACTS</v>
      </c>
      <c r="C66" s="9"/>
      <c r="D66" s="6">
        <v>10747.66</v>
      </c>
      <c r="E66" s="3"/>
      <c r="F66" s="7">
        <f t="shared" si="8"/>
        <v>0</v>
      </c>
      <c r="G66" s="3"/>
      <c r="H66" s="6">
        <v>15312.39</v>
      </c>
      <c r="I66" s="3"/>
      <c r="J66" s="7">
        <f t="shared" si="9"/>
        <v>0</v>
      </c>
      <c r="K66" s="3"/>
      <c r="L66" s="6">
        <f t="shared" si="10"/>
        <v>-4564.7299999999996</v>
      </c>
      <c r="M66" s="3"/>
      <c r="N66" s="7">
        <f t="shared" si="11"/>
        <v>-0.29810695782957458</v>
      </c>
      <c r="O66" s="9"/>
      <c r="P66" s="6">
        <v>152938.41</v>
      </c>
      <c r="Q66" s="3"/>
      <c r="R66" s="7">
        <f t="shared" si="12"/>
        <v>0</v>
      </c>
      <c r="S66" s="3"/>
      <c r="T66" s="6">
        <v>185460.14</v>
      </c>
      <c r="U66" s="3"/>
      <c r="V66" s="7">
        <f t="shared" si="13"/>
        <v>0</v>
      </c>
      <c r="W66" s="3"/>
      <c r="X66" s="6">
        <f t="shared" si="14"/>
        <v>-32521.73000000001</v>
      </c>
      <c r="Y66" s="3"/>
      <c r="Z66" s="7">
        <f t="shared" si="15"/>
        <v>-0.17535697967228972</v>
      </c>
    </row>
    <row r="67" spans="1:26" s="69" customFormat="1" ht="15" hidden="1" customHeight="1" outlineLevel="2" x14ac:dyDescent="0.3">
      <c r="A67" s="21"/>
      <c r="B67" s="9" t="str">
        <f>CONCATENATE("          ","6375"," - ","OUTSIDE REPAIRS &amp; MAINTENANCE")</f>
        <v xml:space="preserve">          6375 - OUTSIDE REPAIRS &amp; MAINTENANCE</v>
      </c>
      <c r="C67" s="9"/>
      <c r="D67" s="6"/>
      <c r="E67" s="3"/>
      <c r="F67" s="7">
        <f t="shared" si="8"/>
        <v>0</v>
      </c>
      <c r="G67" s="3"/>
      <c r="H67" s="6">
        <v>85</v>
      </c>
      <c r="I67" s="3"/>
      <c r="J67" s="7">
        <f t="shared" si="9"/>
        <v>0</v>
      </c>
      <c r="K67" s="3"/>
      <c r="L67" s="6">
        <f t="shared" si="10"/>
        <v>-85</v>
      </c>
      <c r="M67" s="3"/>
      <c r="N67" s="7">
        <f t="shared" si="11"/>
        <v>-1</v>
      </c>
      <c r="O67" s="9"/>
      <c r="P67" s="6">
        <v>1944.69</v>
      </c>
      <c r="Q67" s="3"/>
      <c r="R67" s="7">
        <f t="shared" si="12"/>
        <v>0</v>
      </c>
      <c r="S67" s="3"/>
      <c r="T67" s="6">
        <v>2432.4299999999998</v>
      </c>
      <c r="U67" s="3"/>
      <c r="V67" s="7">
        <f t="shared" si="13"/>
        <v>0</v>
      </c>
      <c r="W67" s="3"/>
      <c r="X67" s="6">
        <f t="shared" si="14"/>
        <v>-487.73999999999978</v>
      </c>
      <c r="Y67" s="3"/>
      <c r="Z67" s="7">
        <f t="shared" si="15"/>
        <v>-0.20051553384886711</v>
      </c>
    </row>
    <row r="68" spans="1:26" s="68" customFormat="1" ht="15" customHeight="1" outlineLevel="1" collapsed="1" x14ac:dyDescent="0.3">
      <c r="A68" s="20"/>
      <c r="B68" s="11" t="str">
        <f>CONCATENATE("     ","Services                                          ")</f>
        <v xml:space="preserve">     Services                                          </v>
      </c>
      <c r="C68" s="11"/>
      <c r="D68" s="2">
        <f>SUM(OSRRefD22_14x_0)</f>
        <v>2225.33</v>
      </c>
      <c r="E68" s="2"/>
      <c r="F68" s="5">
        <f t="shared" si="8"/>
        <v>0</v>
      </c>
      <c r="G68" s="2"/>
      <c r="H68" s="2">
        <f>SUM(OSRRefH22_14x_0)</f>
        <v>1242.68</v>
      </c>
      <c r="I68" s="2"/>
      <c r="J68" s="5">
        <f t="shared" si="9"/>
        <v>0</v>
      </c>
      <c r="K68" s="2"/>
      <c r="L68" s="2">
        <f t="shared" si="10"/>
        <v>982.64999999999986</v>
      </c>
      <c r="M68" s="2"/>
      <c r="N68" s="5">
        <f t="shared" si="11"/>
        <v>0.79075063572279247</v>
      </c>
      <c r="O68" s="11"/>
      <c r="P68" s="2">
        <f>SUM(OSRRefP22_14x_0)</f>
        <v>11291.15</v>
      </c>
      <c r="Q68" s="2"/>
      <c r="R68" s="5">
        <f t="shared" si="12"/>
        <v>0</v>
      </c>
      <c r="S68" s="2"/>
      <c r="T68" s="2">
        <f>SUM(OSRRefT22_14x_0)</f>
        <v>7444.36</v>
      </c>
      <c r="U68" s="2"/>
      <c r="V68" s="5">
        <f t="shared" si="13"/>
        <v>0</v>
      </c>
      <c r="W68" s="2"/>
      <c r="X68" s="2">
        <f t="shared" si="14"/>
        <v>3846.79</v>
      </c>
      <c r="Y68" s="2"/>
      <c r="Z68" s="5">
        <f t="shared" si="15"/>
        <v>0.51673884658990166</v>
      </c>
    </row>
    <row r="69" spans="1:26" s="69" customFormat="1" ht="15" hidden="1" customHeight="1" outlineLevel="2" x14ac:dyDescent="0.3">
      <c r="A69" s="21"/>
      <c r="B69" s="9" t="str">
        <f>CONCATENATE("          ","6281"," - ","STORAGE FEE")</f>
        <v xml:space="preserve">          6281 - STORAGE FEE</v>
      </c>
      <c r="C69" s="9"/>
      <c r="D69" s="6">
        <v>2225.33</v>
      </c>
      <c r="E69" s="3"/>
      <c r="F69" s="7">
        <f t="shared" si="8"/>
        <v>0</v>
      </c>
      <c r="G69" s="3"/>
      <c r="H69" s="6">
        <v>1242.68</v>
      </c>
      <c r="I69" s="3"/>
      <c r="J69" s="7">
        <f t="shared" si="9"/>
        <v>0</v>
      </c>
      <c r="K69" s="3"/>
      <c r="L69" s="6">
        <f t="shared" si="10"/>
        <v>982.64999999999986</v>
      </c>
      <c r="M69" s="3"/>
      <c r="N69" s="7">
        <f t="shared" si="11"/>
        <v>0.79075063572279247</v>
      </c>
      <c r="O69" s="9"/>
      <c r="P69" s="6">
        <v>11291.15</v>
      </c>
      <c r="Q69" s="3"/>
      <c r="R69" s="7">
        <f t="shared" si="12"/>
        <v>0</v>
      </c>
      <c r="S69" s="3"/>
      <c r="T69" s="6">
        <v>7444.36</v>
      </c>
      <c r="U69" s="3"/>
      <c r="V69" s="7">
        <f t="shared" si="13"/>
        <v>0</v>
      </c>
      <c r="W69" s="3"/>
      <c r="X69" s="6">
        <f t="shared" si="14"/>
        <v>3846.79</v>
      </c>
      <c r="Y69" s="3"/>
      <c r="Z69" s="7">
        <f t="shared" si="15"/>
        <v>0.51673884658990166</v>
      </c>
    </row>
    <row r="70" spans="1:26" s="68" customFormat="1" ht="15" customHeight="1" outlineLevel="1" collapsed="1" x14ac:dyDescent="0.3">
      <c r="A70" s="20"/>
      <c r="B70" s="11" t="str">
        <f>CONCATENATE("     ","Subscriptions &amp; Dues                              ")</f>
        <v xml:space="preserve">     Subscriptions &amp; Dues                              </v>
      </c>
      <c r="C70" s="11"/>
      <c r="D70" s="2">
        <f>SUM(OSRRefD22_15x_0)</f>
        <v>1103.31</v>
      </c>
      <c r="E70" s="2"/>
      <c r="F70" s="5">
        <f t="shared" si="8"/>
        <v>0</v>
      </c>
      <c r="G70" s="2"/>
      <c r="H70" s="2">
        <f>SUM(OSRRefH22_15x_0)</f>
        <v>0</v>
      </c>
      <c r="I70" s="2"/>
      <c r="J70" s="5">
        <f t="shared" si="9"/>
        <v>0</v>
      </c>
      <c r="K70" s="2"/>
      <c r="L70" s="2">
        <f t="shared" si="10"/>
        <v>1103.31</v>
      </c>
      <c r="M70" s="2"/>
      <c r="N70" s="5">
        <f t="shared" si="11"/>
        <v>0</v>
      </c>
      <c r="O70" s="11"/>
      <c r="P70" s="2">
        <f>SUM(OSRRefP22_15x_0)</f>
        <v>9456.2100000000009</v>
      </c>
      <c r="Q70" s="2"/>
      <c r="R70" s="5">
        <f t="shared" si="12"/>
        <v>0</v>
      </c>
      <c r="S70" s="2"/>
      <c r="T70" s="2">
        <f>SUM(OSRRefT22_15x_0)</f>
        <v>10122.99</v>
      </c>
      <c r="U70" s="2"/>
      <c r="V70" s="5">
        <f t="shared" si="13"/>
        <v>0</v>
      </c>
      <c r="W70" s="2"/>
      <c r="X70" s="2">
        <f t="shared" si="14"/>
        <v>-666.77999999999884</v>
      </c>
      <c r="Y70" s="2"/>
      <c r="Z70" s="5">
        <f t="shared" si="15"/>
        <v>-6.586789081091643E-2</v>
      </c>
    </row>
    <row r="71" spans="1:26" s="69" customFormat="1" ht="15" hidden="1" customHeight="1" outlineLevel="2" x14ac:dyDescent="0.3">
      <c r="A71" s="21"/>
      <c r="B71" s="9" t="str">
        <f>CONCATENATE("          ","6258"," - ","MEMBERSHIP DUES")</f>
        <v xml:space="preserve">          6258 - MEMBERSHIP DUES</v>
      </c>
      <c r="C71" s="9"/>
      <c r="D71" s="6">
        <v>1103.31</v>
      </c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1103.31</v>
      </c>
      <c r="M71" s="3"/>
      <c r="N71" s="7">
        <f t="shared" si="11"/>
        <v>0</v>
      </c>
      <c r="O71" s="9"/>
      <c r="P71" s="6">
        <v>8177.31</v>
      </c>
      <c r="Q71" s="3"/>
      <c r="R71" s="7">
        <f t="shared" si="12"/>
        <v>0</v>
      </c>
      <c r="S71" s="3"/>
      <c r="T71" s="6">
        <v>10122.99</v>
      </c>
      <c r="U71" s="3"/>
      <c r="V71" s="7">
        <f t="shared" si="13"/>
        <v>0</v>
      </c>
      <c r="W71" s="3"/>
      <c r="X71" s="6">
        <f t="shared" si="14"/>
        <v>-1945.6799999999994</v>
      </c>
      <c r="Y71" s="3"/>
      <c r="Z71" s="7">
        <f t="shared" si="15"/>
        <v>-0.19220408199553685</v>
      </c>
    </row>
    <row r="72" spans="1:26" s="69" customFormat="1" ht="15" hidden="1" customHeight="1" outlineLevel="2" x14ac:dyDescent="0.3">
      <c r="A72" s="21"/>
      <c r="B72" s="9" t="str">
        <f>CONCATENATE("          ","6275"," - ","SUBSCRIPTIONS")</f>
        <v xml:space="preserve">          6275 - SUBSCRIPTIONS</v>
      </c>
      <c r="C72" s="9"/>
      <c r="D72" s="6"/>
      <c r="E72" s="3"/>
      <c r="F72" s="7">
        <f t="shared" si="8"/>
        <v>0</v>
      </c>
      <c r="G72" s="3"/>
      <c r="H72" s="6"/>
      <c r="I72" s="3"/>
      <c r="J72" s="7">
        <f t="shared" si="9"/>
        <v>0</v>
      </c>
      <c r="K72" s="3"/>
      <c r="L72" s="6">
        <f t="shared" si="10"/>
        <v>0</v>
      </c>
      <c r="M72" s="3"/>
      <c r="N72" s="7">
        <f t="shared" si="11"/>
        <v>0</v>
      </c>
      <c r="O72" s="9"/>
      <c r="P72" s="6">
        <v>1278.9000000000001</v>
      </c>
      <c r="Q72" s="3"/>
      <c r="R72" s="7">
        <f t="shared" si="12"/>
        <v>0</v>
      </c>
      <c r="S72" s="3"/>
      <c r="T72" s="6"/>
      <c r="U72" s="3"/>
      <c r="V72" s="7">
        <f t="shared" si="13"/>
        <v>0</v>
      </c>
      <c r="W72" s="3"/>
      <c r="X72" s="6">
        <f t="shared" si="14"/>
        <v>1278.9000000000001</v>
      </c>
      <c r="Y72" s="3"/>
      <c r="Z72" s="7">
        <f t="shared" si="15"/>
        <v>0</v>
      </c>
    </row>
    <row r="73" spans="1:26" s="68" customFormat="1" ht="15" customHeight="1" outlineLevel="1" collapsed="1" x14ac:dyDescent="0.3">
      <c r="A73" s="20"/>
      <c r="B73" s="11" t="str">
        <f>CONCATENATE("     ","Supplies                                          ")</f>
        <v xml:space="preserve">     Supplies                                          </v>
      </c>
      <c r="C73" s="11"/>
      <c r="D73" s="2">
        <f>SUM(OSRRefD22_16x_0)</f>
        <v>2396.1</v>
      </c>
      <c r="E73" s="2"/>
      <c r="F73" s="5">
        <f t="shared" si="8"/>
        <v>0</v>
      </c>
      <c r="G73" s="2"/>
      <c r="H73" s="2">
        <f>SUM(OSRRefH22_16x_0)</f>
        <v>17831.96</v>
      </c>
      <c r="I73" s="2"/>
      <c r="J73" s="5">
        <f t="shared" si="9"/>
        <v>0</v>
      </c>
      <c r="K73" s="2"/>
      <c r="L73" s="2">
        <f t="shared" si="10"/>
        <v>-15435.859999999999</v>
      </c>
      <c r="M73" s="2"/>
      <c r="N73" s="5">
        <f t="shared" si="11"/>
        <v>-0.86562890450629093</v>
      </c>
      <c r="O73" s="11"/>
      <c r="P73" s="2">
        <f>SUM(OSRRefP22_16x_0)</f>
        <v>48280.72</v>
      </c>
      <c r="Q73" s="2"/>
      <c r="R73" s="5">
        <f t="shared" si="12"/>
        <v>0</v>
      </c>
      <c r="S73" s="2"/>
      <c r="T73" s="2">
        <f>SUM(OSRRefT22_16x_0)</f>
        <v>26772.219999999998</v>
      </c>
      <c r="U73" s="2"/>
      <c r="V73" s="5">
        <f t="shared" si="13"/>
        <v>0</v>
      </c>
      <c r="W73" s="2"/>
      <c r="X73" s="2">
        <f t="shared" si="14"/>
        <v>21508.500000000004</v>
      </c>
      <c r="Y73" s="2"/>
      <c r="Z73" s="5">
        <f t="shared" si="15"/>
        <v>0.80338873653361598</v>
      </c>
    </row>
    <row r="74" spans="1:26" s="69" customFormat="1" ht="15" hidden="1" customHeight="1" outlineLevel="2" x14ac:dyDescent="0.3">
      <c r="A74" s="21"/>
      <c r="B74" s="9" t="str">
        <f>CONCATENATE("          ","6234"," - ","EXPENDABLE SUPPLIES &amp; EQUIPMEN")</f>
        <v xml:space="preserve">          6234 - EXPENDABLE SUPPLIES &amp; EQUIPMEN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2895.51</v>
      </c>
      <c r="Q74" s="3"/>
      <c r="R74" s="7">
        <f t="shared" si="12"/>
        <v>0</v>
      </c>
      <c r="S74" s="3"/>
      <c r="T74" s="6"/>
      <c r="U74" s="3"/>
      <c r="V74" s="7">
        <f t="shared" si="13"/>
        <v>0</v>
      </c>
      <c r="W74" s="3"/>
      <c r="X74" s="6">
        <f t="shared" si="14"/>
        <v>2895.51</v>
      </c>
      <c r="Y74" s="3"/>
      <c r="Z74" s="7">
        <f t="shared" si="15"/>
        <v>0</v>
      </c>
    </row>
    <row r="75" spans="1:26" s="69" customFormat="1" ht="15" hidden="1" customHeight="1" outlineLevel="2" x14ac:dyDescent="0.3">
      <c r="A75" s="21"/>
      <c r="B75" s="9" t="str">
        <f>CONCATENATE("          ","6235"," - ","COVID-19 EXPENSES")</f>
        <v xml:space="preserve">          6235 - COVID-19 EXPENSES</v>
      </c>
      <c r="C75" s="9"/>
      <c r="D75" s="6"/>
      <c r="E75" s="3"/>
      <c r="F75" s="7">
        <f t="shared" si="8"/>
        <v>0</v>
      </c>
      <c r="G75" s="3"/>
      <c r="H75" s="6"/>
      <c r="I75" s="3"/>
      <c r="J75" s="7">
        <f t="shared" si="9"/>
        <v>0</v>
      </c>
      <c r="K75" s="3"/>
      <c r="L75" s="6">
        <f t="shared" si="10"/>
        <v>0</v>
      </c>
      <c r="M75" s="3"/>
      <c r="N75" s="7">
        <f t="shared" si="11"/>
        <v>0</v>
      </c>
      <c r="O75" s="9"/>
      <c r="P75" s="6">
        <v>2636.13</v>
      </c>
      <c r="Q75" s="3"/>
      <c r="R75" s="7">
        <f t="shared" si="12"/>
        <v>0</v>
      </c>
      <c r="S75" s="3"/>
      <c r="T75" s="6">
        <v>810.3</v>
      </c>
      <c r="U75" s="3"/>
      <c r="V75" s="7">
        <f t="shared" si="13"/>
        <v>0</v>
      </c>
      <c r="W75" s="3"/>
      <c r="X75" s="6">
        <f t="shared" si="14"/>
        <v>1825.8300000000002</v>
      </c>
      <c r="Y75" s="3"/>
      <c r="Z75" s="7">
        <f t="shared" si="15"/>
        <v>2.2532765642354686</v>
      </c>
    </row>
    <row r="76" spans="1:26" s="69" customFormat="1" ht="15" hidden="1" customHeight="1" outlineLevel="2" x14ac:dyDescent="0.3">
      <c r="A76" s="21"/>
      <c r="B76" s="9" t="str">
        <f>CONCATENATE("          ","6241"," - ","OFFICE EXPENSE")</f>
        <v xml:space="preserve">          6241 - OFFICE EXPENSE</v>
      </c>
      <c r="C76" s="9"/>
      <c r="D76" s="6">
        <v>2371.1</v>
      </c>
      <c r="E76" s="3"/>
      <c r="F76" s="7">
        <f t="shared" si="8"/>
        <v>0</v>
      </c>
      <c r="G76" s="3"/>
      <c r="H76" s="6">
        <v>1289.96</v>
      </c>
      <c r="I76" s="3"/>
      <c r="J76" s="7">
        <f t="shared" si="9"/>
        <v>0</v>
      </c>
      <c r="K76" s="3"/>
      <c r="L76" s="6">
        <f t="shared" si="10"/>
        <v>1081.1399999999999</v>
      </c>
      <c r="M76" s="3"/>
      <c r="N76" s="7">
        <f t="shared" si="11"/>
        <v>0.83811901144221512</v>
      </c>
      <c r="O76" s="9"/>
      <c r="P76" s="6">
        <v>29624.29</v>
      </c>
      <c r="Q76" s="3"/>
      <c r="R76" s="7">
        <f t="shared" si="12"/>
        <v>0</v>
      </c>
      <c r="S76" s="3"/>
      <c r="T76" s="6">
        <v>9197.2099999999991</v>
      </c>
      <c r="U76" s="3"/>
      <c r="V76" s="7">
        <f t="shared" si="13"/>
        <v>0</v>
      </c>
      <c r="W76" s="3"/>
      <c r="X76" s="6">
        <f t="shared" si="14"/>
        <v>20427.080000000002</v>
      </c>
      <c r="Y76" s="3"/>
      <c r="Z76" s="7">
        <f t="shared" si="15"/>
        <v>2.2210083275254129</v>
      </c>
    </row>
    <row r="77" spans="1:26" s="69" customFormat="1" ht="15" hidden="1" customHeight="1" outlineLevel="2" x14ac:dyDescent="0.3">
      <c r="A77" s="21"/>
      <c r="B77" s="9" t="str">
        <f>CONCATENATE("          ","6244"," - ","SAFETY SUPPLY EXPENSE")</f>
        <v xml:space="preserve">          6244 - SAFETY SUPPLY EXPENSE</v>
      </c>
      <c r="C77" s="9"/>
      <c r="D77" s="6">
        <v>25</v>
      </c>
      <c r="E77" s="3"/>
      <c r="F77" s="7">
        <f t="shared" si="8"/>
        <v>0</v>
      </c>
      <c r="G77" s="3"/>
      <c r="H77" s="6">
        <v>125</v>
      </c>
      <c r="I77" s="3"/>
      <c r="J77" s="7">
        <f t="shared" si="9"/>
        <v>0</v>
      </c>
      <c r="K77" s="3"/>
      <c r="L77" s="6">
        <f t="shared" si="10"/>
        <v>-100</v>
      </c>
      <c r="M77" s="3"/>
      <c r="N77" s="7">
        <f t="shared" si="11"/>
        <v>-0.8</v>
      </c>
      <c r="O77" s="9"/>
      <c r="P77" s="6">
        <v>1278.6300000000001</v>
      </c>
      <c r="Q77" s="3"/>
      <c r="R77" s="7">
        <f t="shared" si="12"/>
        <v>0</v>
      </c>
      <c r="S77" s="3"/>
      <c r="T77" s="6">
        <v>347.71</v>
      </c>
      <c r="U77" s="3"/>
      <c r="V77" s="7">
        <f t="shared" si="13"/>
        <v>0</v>
      </c>
      <c r="W77" s="3"/>
      <c r="X77" s="6">
        <f t="shared" si="14"/>
        <v>930.92000000000007</v>
      </c>
      <c r="Y77" s="3"/>
      <c r="Z77" s="7">
        <f t="shared" si="15"/>
        <v>2.6772885450519115</v>
      </c>
    </row>
    <row r="78" spans="1:26" s="69" customFormat="1" ht="15" hidden="1" customHeight="1" outlineLevel="2" x14ac:dyDescent="0.3">
      <c r="A78" s="21"/>
      <c r="B78" s="9" t="str">
        <f>CONCATENATE("          ","6248"," - ","UNIFORMS")</f>
        <v xml:space="preserve">          6248 - UNIFORMS</v>
      </c>
      <c r="C78" s="9"/>
      <c r="D78" s="6"/>
      <c r="E78" s="3"/>
      <c r="F78" s="7">
        <f t="shared" si="8"/>
        <v>0</v>
      </c>
      <c r="G78" s="3"/>
      <c r="H78" s="6">
        <v>16417</v>
      </c>
      <c r="I78" s="3"/>
      <c r="J78" s="7">
        <f t="shared" si="9"/>
        <v>0</v>
      </c>
      <c r="K78" s="3"/>
      <c r="L78" s="6">
        <f t="shared" si="10"/>
        <v>-16417</v>
      </c>
      <c r="M78" s="3"/>
      <c r="N78" s="7">
        <f t="shared" si="11"/>
        <v>-1</v>
      </c>
      <c r="O78" s="9"/>
      <c r="P78" s="6">
        <v>11846.16</v>
      </c>
      <c r="Q78" s="3"/>
      <c r="R78" s="7">
        <f t="shared" si="12"/>
        <v>0</v>
      </c>
      <c r="S78" s="3"/>
      <c r="T78" s="6">
        <v>16417</v>
      </c>
      <c r="U78" s="3"/>
      <c r="V78" s="7">
        <f t="shared" si="13"/>
        <v>0</v>
      </c>
      <c r="W78" s="3"/>
      <c r="X78" s="6">
        <f t="shared" si="14"/>
        <v>-4570.84</v>
      </c>
      <c r="Y78" s="3"/>
      <c r="Z78" s="7">
        <f t="shared" si="15"/>
        <v>-0.27842114880916125</v>
      </c>
    </row>
    <row r="79" spans="1:26" s="68" customFormat="1" ht="15" customHeight="1" outlineLevel="1" collapsed="1" x14ac:dyDescent="0.3">
      <c r="A79" s="20"/>
      <c r="B79" s="11" t="str">
        <f>CONCATENATE("     ","Telephone/Data Lines                              ")</f>
        <v xml:space="preserve">     Telephone/Data Lines                              </v>
      </c>
      <c r="C79" s="11"/>
      <c r="D79" s="2">
        <f>SUM(OSRRefD22_17x_0)</f>
        <v>1546.5</v>
      </c>
      <c r="E79" s="2"/>
      <c r="F79" s="5">
        <f t="shared" si="8"/>
        <v>0</v>
      </c>
      <c r="G79" s="2"/>
      <c r="H79" s="2">
        <f>SUM(OSRRefH22_17x_0)</f>
        <v>2945.9399999999996</v>
      </c>
      <c r="I79" s="2"/>
      <c r="J79" s="5">
        <f t="shared" si="9"/>
        <v>0</v>
      </c>
      <c r="K79" s="2"/>
      <c r="L79" s="2">
        <f t="shared" si="10"/>
        <v>-1399.4399999999996</v>
      </c>
      <c r="M79" s="2"/>
      <c r="N79" s="5">
        <f t="shared" si="11"/>
        <v>-0.4750402248518299</v>
      </c>
      <c r="O79" s="11"/>
      <c r="P79" s="2">
        <f>SUM(OSRRefP22_17x_0)</f>
        <v>27816.33</v>
      </c>
      <c r="Q79" s="2"/>
      <c r="R79" s="5">
        <f t="shared" si="12"/>
        <v>0</v>
      </c>
      <c r="S79" s="2"/>
      <c r="T79" s="2">
        <f>SUM(OSRRefT22_17x_0)</f>
        <v>25128.5</v>
      </c>
      <c r="U79" s="2"/>
      <c r="V79" s="5">
        <f t="shared" si="13"/>
        <v>0</v>
      </c>
      <c r="W79" s="2"/>
      <c r="X79" s="2">
        <f t="shared" si="14"/>
        <v>2687.8300000000017</v>
      </c>
      <c r="Y79" s="2"/>
      <c r="Z79" s="5">
        <f t="shared" si="15"/>
        <v>0.10696340808245625</v>
      </c>
    </row>
    <row r="80" spans="1:26" s="69" customFormat="1" ht="15" hidden="1" customHeight="1" outlineLevel="2" x14ac:dyDescent="0.3">
      <c r="A80" s="21"/>
      <c r="B80" s="9" t="str">
        <f>CONCATENATE("          ","6303"," - ","DATA PHONE LINES")</f>
        <v xml:space="preserve">          6303 - DATA PHONE LINES</v>
      </c>
      <c r="C80" s="9"/>
      <c r="D80" s="6">
        <v>271.97000000000003</v>
      </c>
      <c r="E80" s="3"/>
      <c r="F80" s="7">
        <f t="shared" si="8"/>
        <v>0</v>
      </c>
      <c r="G80" s="3"/>
      <c r="H80" s="6">
        <v>241.97</v>
      </c>
      <c r="I80" s="3"/>
      <c r="J80" s="7">
        <f t="shared" si="9"/>
        <v>0</v>
      </c>
      <c r="K80" s="3"/>
      <c r="L80" s="6">
        <f t="shared" si="10"/>
        <v>30.000000000000028</v>
      </c>
      <c r="M80" s="3"/>
      <c r="N80" s="7">
        <f t="shared" si="11"/>
        <v>0.12398231185684187</v>
      </c>
      <c r="O80" s="9"/>
      <c r="P80" s="6">
        <v>2139.7399999999998</v>
      </c>
      <c r="Q80" s="3"/>
      <c r="R80" s="7">
        <f t="shared" si="12"/>
        <v>0</v>
      </c>
      <c r="S80" s="3"/>
      <c r="T80" s="6">
        <v>1727.78</v>
      </c>
      <c r="U80" s="3"/>
      <c r="V80" s="7">
        <f t="shared" si="13"/>
        <v>0</v>
      </c>
      <c r="W80" s="3"/>
      <c r="X80" s="6">
        <f t="shared" si="14"/>
        <v>411.95999999999981</v>
      </c>
      <c r="Y80" s="3"/>
      <c r="Z80" s="7">
        <f t="shared" si="15"/>
        <v>0.23843313384805925</v>
      </c>
    </row>
    <row r="81" spans="1:26" s="69" customFormat="1" ht="15" hidden="1" customHeight="1" outlineLevel="2" x14ac:dyDescent="0.3">
      <c r="A81" s="21"/>
      <c r="B81" s="9" t="str">
        <f>CONCATENATE("          ","6309"," - ","TELEPHONE")</f>
        <v xml:space="preserve">          6309 - TELEPHONE</v>
      </c>
      <c r="C81" s="9"/>
      <c r="D81" s="6">
        <v>1274.53</v>
      </c>
      <c r="E81" s="3"/>
      <c r="F81" s="7">
        <f t="shared" si="8"/>
        <v>0</v>
      </c>
      <c r="G81" s="3"/>
      <c r="H81" s="6">
        <v>2703.97</v>
      </c>
      <c r="I81" s="3"/>
      <c r="J81" s="7">
        <f t="shared" si="9"/>
        <v>0</v>
      </c>
      <c r="K81" s="3"/>
      <c r="L81" s="6">
        <f t="shared" si="10"/>
        <v>-1429.4399999999998</v>
      </c>
      <c r="M81" s="3"/>
      <c r="N81" s="7">
        <f t="shared" si="11"/>
        <v>-0.52864491839776329</v>
      </c>
      <c r="O81" s="9"/>
      <c r="P81" s="6">
        <v>25676.59</v>
      </c>
      <c r="Q81" s="3"/>
      <c r="R81" s="7">
        <f t="shared" si="12"/>
        <v>0</v>
      </c>
      <c r="S81" s="3"/>
      <c r="T81" s="6">
        <v>23400.720000000001</v>
      </c>
      <c r="U81" s="3"/>
      <c r="V81" s="7">
        <f t="shared" si="13"/>
        <v>0</v>
      </c>
      <c r="W81" s="3"/>
      <c r="X81" s="6">
        <f t="shared" si="14"/>
        <v>2275.869999999999</v>
      </c>
      <c r="Y81" s="3"/>
      <c r="Z81" s="7">
        <f t="shared" si="15"/>
        <v>9.7256409204503055E-2</v>
      </c>
    </row>
    <row r="82" spans="1:26" s="68" customFormat="1" ht="15" customHeight="1" outlineLevel="1" collapsed="1" x14ac:dyDescent="0.3">
      <c r="A82" s="20"/>
      <c r="B82" s="11" t="str">
        <f>CONCATENATE("     ","Training                                          ")</f>
        <v xml:space="preserve">     Training                                          </v>
      </c>
      <c r="C82" s="11"/>
      <c r="D82" s="2">
        <f>SUM(OSRRefD22_18x_0)</f>
        <v>2103.9899999999998</v>
      </c>
      <c r="E82" s="2"/>
      <c r="F82" s="5">
        <f t="shared" si="8"/>
        <v>0</v>
      </c>
      <c r="G82" s="2"/>
      <c r="H82" s="2">
        <f>SUM(OSRRefH22_18x_0)</f>
        <v>0</v>
      </c>
      <c r="I82" s="2"/>
      <c r="J82" s="5">
        <f t="shared" si="9"/>
        <v>0</v>
      </c>
      <c r="K82" s="2"/>
      <c r="L82" s="2">
        <f t="shared" si="10"/>
        <v>2103.9899999999998</v>
      </c>
      <c r="M82" s="2"/>
      <c r="N82" s="5">
        <f t="shared" si="11"/>
        <v>0</v>
      </c>
      <c r="O82" s="11"/>
      <c r="P82" s="2">
        <f>SUM(OSRRefP22_18x_0)</f>
        <v>3911.98</v>
      </c>
      <c r="Q82" s="2"/>
      <c r="R82" s="5">
        <f t="shared" si="12"/>
        <v>0</v>
      </c>
      <c r="S82" s="2"/>
      <c r="T82" s="2">
        <f>SUM(OSRRefT22_18x_0)</f>
        <v>5225.5</v>
      </c>
      <c r="U82" s="2"/>
      <c r="V82" s="5">
        <f t="shared" si="13"/>
        <v>0</v>
      </c>
      <c r="W82" s="2"/>
      <c r="X82" s="2">
        <f t="shared" si="14"/>
        <v>-1313.52</v>
      </c>
      <c r="Y82" s="2"/>
      <c r="Z82" s="5">
        <f t="shared" si="15"/>
        <v>-0.25136733326954358</v>
      </c>
    </row>
    <row r="83" spans="1:26" s="69" customFormat="1" ht="15" hidden="1" customHeight="1" outlineLevel="2" x14ac:dyDescent="0.3">
      <c r="A83" s="21"/>
      <c r="B83" s="9" t="str">
        <f>CONCATENATE("          ","6376"," - ","TRAINING")</f>
        <v xml:space="preserve">          6376 - TRAINING</v>
      </c>
      <c r="C83" s="9"/>
      <c r="D83" s="6">
        <v>2103.9899999999998</v>
      </c>
      <c r="E83" s="3"/>
      <c r="F83" s="7">
        <f t="shared" si="8"/>
        <v>0</v>
      </c>
      <c r="G83" s="3"/>
      <c r="H83" s="6"/>
      <c r="I83" s="3"/>
      <c r="J83" s="7">
        <f t="shared" si="9"/>
        <v>0</v>
      </c>
      <c r="K83" s="3"/>
      <c r="L83" s="6">
        <f t="shared" si="10"/>
        <v>2103.9899999999998</v>
      </c>
      <c r="M83" s="3"/>
      <c r="N83" s="7">
        <f t="shared" si="11"/>
        <v>0</v>
      </c>
      <c r="O83" s="9"/>
      <c r="P83" s="6">
        <v>3911.98</v>
      </c>
      <c r="Q83" s="3"/>
      <c r="R83" s="7">
        <f t="shared" si="12"/>
        <v>0</v>
      </c>
      <c r="S83" s="3"/>
      <c r="T83" s="6">
        <v>5225.5</v>
      </c>
      <c r="U83" s="3"/>
      <c r="V83" s="7">
        <f t="shared" si="13"/>
        <v>0</v>
      </c>
      <c r="W83" s="3"/>
      <c r="X83" s="6">
        <f t="shared" si="14"/>
        <v>-1313.52</v>
      </c>
      <c r="Y83" s="3"/>
      <c r="Z83" s="7">
        <f t="shared" si="15"/>
        <v>-0.25136733326954358</v>
      </c>
    </row>
    <row r="84" spans="1:26" s="68" customFormat="1" ht="15" customHeight="1" outlineLevel="1" collapsed="1" x14ac:dyDescent="0.3">
      <c r="A84" s="20"/>
      <c r="B84" s="11" t="str">
        <f>CONCATENATE("     ","Travel                                            ")</f>
        <v xml:space="preserve">     Travel                                            </v>
      </c>
      <c r="C84" s="11"/>
      <c r="D84" s="2">
        <f>SUM(OSRRefD22_19x_0)</f>
        <v>0</v>
      </c>
      <c r="E84" s="2"/>
      <c r="F84" s="5">
        <f t="shared" si="8"/>
        <v>0</v>
      </c>
      <c r="G84" s="2"/>
      <c r="H84" s="2">
        <f>SUM(OSRRefH22_19x_0)</f>
        <v>0</v>
      </c>
      <c r="I84" s="2"/>
      <c r="J84" s="5">
        <f t="shared" si="9"/>
        <v>0</v>
      </c>
      <c r="K84" s="2"/>
      <c r="L84" s="2">
        <f t="shared" si="10"/>
        <v>0</v>
      </c>
      <c r="M84" s="2"/>
      <c r="N84" s="5">
        <f t="shared" si="11"/>
        <v>0</v>
      </c>
      <c r="O84" s="11"/>
      <c r="P84" s="2">
        <f>SUM(OSRRefP22_19x_0)</f>
        <v>30.4</v>
      </c>
      <c r="Q84" s="2"/>
      <c r="R84" s="5">
        <f t="shared" si="12"/>
        <v>0</v>
      </c>
      <c r="S84" s="2"/>
      <c r="T84" s="2">
        <f>SUM(OSRRefT22_19x_0)</f>
        <v>808.72</v>
      </c>
      <c r="U84" s="2"/>
      <c r="V84" s="5">
        <f t="shared" si="13"/>
        <v>0</v>
      </c>
      <c r="W84" s="2"/>
      <c r="X84" s="2">
        <f t="shared" si="14"/>
        <v>-778.32</v>
      </c>
      <c r="Y84" s="2"/>
      <c r="Z84" s="5">
        <f t="shared" si="15"/>
        <v>-0.96240973390048479</v>
      </c>
    </row>
    <row r="85" spans="1:26" s="69" customFormat="1" ht="15" hidden="1" customHeight="1" outlineLevel="2" x14ac:dyDescent="0.3">
      <c r="A85" s="21"/>
      <c r="B85" s="9" t="str">
        <f>CONCATENATE("          ","6292"," - ","TRAVEL/CONFERENCE")</f>
        <v xml:space="preserve">          6292 - TRAVEL/CONFERENCE</v>
      </c>
      <c r="C85" s="9"/>
      <c r="D85" s="6"/>
      <c r="E85" s="3"/>
      <c r="F85" s="7">
        <f t="shared" si="8"/>
        <v>0</v>
      </c>
      <c r="G85" s="3"/>
      <c r="H85" s="6"/>
      <c r="I85" s="3"/>
      <c r="J85" s="7">
        <f t="shared" si="9"/>
        <v>0</v>
      </c>
      <c r="K85" s="3"/>
      <c r="L85" s="6">
        <f t="shared" si="10"/>
        <v>0</v>
      </c>
      <c r="M85" s="3"/>
      <c r="N85" s="7">
        <f t="shared" si="11"/>
        <v>0</v>
      </c>
      <c r="O85" s="9"/>
      <c r="P85" s="6">
        <v>0</v>
      </c>
      <c r="Q85" s="3"/>
      <c r="R85" s="7">
        <f t="shared" si="12"/>
        <v>0</v>
      </c>
      <c r="S85" s="3"/>
      <c r="T85" s="6">
        <v>720</v>
      </c>
      <c r="U85" s="3"/>
      <c r="V85" s="7">
        <f t="shared" si="13"/>
        <v>0</v>
      </c>
      <c r="W85" s="3"/>
      <c r="X85" s="6">
        <f t="shared" si="14"/>
        <v>-720</v>
      </c>
      <c r="Y85" s="3"/>
      <c r="Z85" s="7">
        <f t="shared" si="15"/>
        <v>-1</v>
      </c>
    </row>
    <row r="86" spans="1:26" s="69" customFormat="1" ht="15" hidden="1" customHeight="1" outlineLevel="2" x14ac:dyDescent="0.3">
      <c r="A86" s="21"/>
      <c r="B86" s="9" t="str">
        <f>CONCATENATE("          ","6294"," - ","TRAVEL OPERATIONAL")</f>
        <v xml:space="preserve">          6294 - TRAVEL OPERATIONAL</v>
      </c>
      <c r="C86" s="9"/>
      <c r="D86" s="6"/>
      <c r="E86" s="3"/>
      <c r="F86" s="7">
        <f t="shared" si="8"/>
        <v>0</v>
      </c>
      <c r="G86" s="3"/>
      <c r="H86" s="6"/>
      <c r="I86" s="3"/>
      <c r="J86" s="7">
        <f t="shared" si="9"/>
        <v>0</v>
      </c>
      <c r="K86" s="3"/>
      <c r="L86" s="6">
        <f t="shared" si="10"/>
        <v>0</v>
      </c>
      <c r="M86" s="3"/>
      <c r="N86" s="7">
        <f t="shared" si="11"/>
        <v>0</v>
      </c>
      <c r="O86" s="9"/>
      <c r="P86" s="6">
        <v>30.4</v>
      </c>
      <c r="Q86" s="3"/>
      <c r="R86" s="7">
        <f t="shared" si="12"/>
        <v>0</v>
      </c>
      <c r="S86" s="3"/>
      <c r="T86" s="6">
        <v>88.72</v>
      </c>
      <c r="U86" s="3"/>
      <c r="V86" s="7">
        <f t="shared" si="13"/>
        <v>0</v>
      </c>
      <c r="W86" s="3"/>
      <c r="X86" s="6">
        <f t="shared" si="14"/>
        <v>-58.32</v>
      </c>
      <c r="Y86" s="3"/>
      <c r="Z86" s="7">
        <f t="shared" si="15"/>
        <v>-0.65734896302975654</v>
      </c>
    </row>
    <row r="87" spans="1:26" s="64" customFormat="1" ht="15" customHeight="1" x14ac:dyDescent="0.3">
      <c r="A87" s="37"/>
      <c r="B87" s="37"/>
      <c r="C87" s="37"/>
      <c r="D87" s="2"/>
      <c r="E87" s="2"/>
      <c r="F87" s="5"/>
      <c r="G87" s="2"/>
      <c r="H87" s="2"/>
      <c r="I87" s="2"/>
      <c r="J87" s="5"/>
      <c r="K87" s="2"/>
      <c r="L87" s="2"/>
      <c r="M87" s="2"/>
      <c r="N87" s="5"/>
      <c r="O87" s="37"/>
      <c r="P87" s="2"/>
      <c r="Q87" s="2"/>
      <c r="R87" s="5"/>
      <c r="S87" s="2"/>
      <c r="T87" s="2"/>
      <c r="U87" s="2"/>
      <c r="V87" s="5"/>
      <c r="W87" s="2"/>
      <c r="X87" s="2"/>
      <c r="Y87" s="2"/>
      <c r="Z87" s="5"/>
    </row>
    <row r="88" spans="1:26" s="62" customFormat="1" ht="15" customHeight="1" x14ac:dyDescent="0.3">
      <c r="A88" s="13"/>
      <c r="B88" s="27" t="s">
        <v>290</v>
      </c>
      <c r="C88" s="13"/>
      <c r="D88" s="8">
        <f>SUM(0)</f>
        <v>0</v>
      </c>
      <c r="E88" s="8"/>
      <c r="F88" s="14">
        <f>IF(D$12=0,0,D88/D$12)</f>
        <v>0</v>
      </c>
      <c r="G88" s="8"/>
      <c r="H88" s="8">
        <f>SUM(0)</f>
        <v>0</v>
      </c>
      <c r="I88" s="8"/>
      <c r="J88" s="14">
        <f>IF(H$12=0,0,H88/H$12)</f>
        <v>0</v>
      </c>
      <c r="K88" s="8"/>
      <c r="L88" s="8">
        <f>+D88-H88</f>
        <v>0</v>
      </c>
      <c r="M88" s="8"/>
      <c r="N88" s="14">
        <f>IF(H88=0,0,L88/H88)</f>
        <v>0</v>
      </c>
      <c r="O88" s="13"/>
      <c r="P88" s="8">
        <f>SUM(0)</f>
        <v>0</v>
      </c>
      <c r="Q88" s="8"/>
      <c r="R88" s="14">
        <f>IF(P$12=0,0,P88/P$12)</f>
        <v>0</v>
      </c>
      <c r="S88" s="8"/>
      <c r="T88" s="8">
        <f>SUM(0)</f>
        <v>0</v>
      </c>
      <c r="U88" s="8"/>
      <c r="V88" s="14">
        <f>IF(T$12=0,0,T88/T$12)</f>
        <v>0</v>
      </c>
      <c r="W88" s="8"/>
      <c r="X88" s="8">
        <f>+P88-T88</f>
        <v>0</v>
      </c>
      <c r="Y88" s="8"/>
      <c r="Z88" s="14">
        <f>IF(T88=0,0,X88/T88)</f>
        <v>0</v>
      </c>
    </row>
    <row r="89" spans="1:26" ht="15" customHeight="1" x14ac:dyDescent="0.3">
      <c r="A89" s="12"/>
      <c r="B89" s="13"/>
      <c r="C89" s="13"/>
      <c r="D89" s="4"/>
      <c r="E89" s="4"/>
      <c r="F89" s="10"/>
      <c r="G89" s="4"/>
      <c r="H89" s="4"/>
      <c r="I89" s="4"/>
      <c r="J89" s="10"/>
      <c r="K89" s="4"/>
      <c r="L89" s="4"/>
      <c r="M89" s="4"/>
      <c r="N89" s="10"/>
      <c r="O89" s="13"/>
      <c r="P89" s="4"/>
      <c r="Q89" s="4"/>
      <c r="R89" s="10"/>
      <c r="S89" s="4"/>
      <c r="T89" s="4"/>
      <c r="U89" s="4"/>
      <c r="V89" s="10"/>
      <c r="W89" s="4"/>
      <c r="X89" s="4"/>
      <c r="Y89" s="4"/>
      <c r="Z89" s="10"/>
    </row>
    <row r="90" spans="1:26" s="62" customFormat="1" ht="15" customHeight="1" x14ac:dyDescent="0.3">
      <c r="A90" s="13"/>
      <c r="B90" s="28" t="s">
        <v>291</v>
      </c>
      <c r="C90" s="28"/>
      <c r="D90" s="22">
        <f>+D16-D18+D88</f>
        <v>5588405.4200000027</v>
      </c>
      <c r="E90" s="15"/>
      <c r="F90" s="24">
        <f>IF(D$12=0,0,D90/D$12)</f>
        <v>0</v>
      </c>
      <c r="G90" s="15"/>
      <c r="H90" s="22">
        <f>+H16-H18+H88</f>
        <v>-744030.65999999992</v>
      </c>
      <c r="I90" s="15"/>
      <c r="J90" s="24">
        <f>IF(H$12=0,0,H90/H$12)</f>
        <v>0</v>
      </c>
      <c r="K90" s="17"/>
      <c r="L90" s="22">
        <f>+D90-H90</f>
        <v>6332436.0800000029</v>
      </c>
      <c r="M90" s="17"/>
      <c r="N90" s="24">
        <f>IF(H90=0,0,L90/H90)</f>
        <v>-8.5109880821309218</v>
      </c>
      <c r="O90" s="27"/>
      <c r="P90" s="22">
        <f>+P16-P18+P88</f>
        <v>2882939.4799999995</v>
      </c>
      <c r="Q90" s="15"/>
      <c r="R90" s="24">
        <f>IF(P$12=0,0,P90/P$12)</f>
        <v>0</v>
      </c>
      <c r="S90" s="15"/>
      <c r="T90" s="22">
        <f>+T16-T18+T88</f>
        <v>-2840823.7500000005</v>
      </c>
      <c r="U90" s="15"/>
      <c r="V90" s="24">
        <f>IF(T$12=0,0,T90/T$12)</f>
        <v>0</v>
      </c>
      <c r="W90" s="17"/>
      <c r="X90" s="22">
        <f>+P90-T90</f>
        <v>5723763.2300000004</v>
      </c>
      <c r="Y90" s="17"/>
      <c r="Z90" s="24">
        <f>IF(T90=0,0,X90/T90)</f>
        <v>-2.0148251823084764</v>
      </c>
    </row>
    <row r="91" spans="1:26" ht="15" customHeight="1" x14ac:dyDescent="0.3">
      <c r="A91" s="12"/>
      <c r="B91" s="13"/>
      <c r="C91" s="12"/>
      <c r="D91" s="4"/>
      <c r="E91" s="4"/>
      <c r="F91" s="10"/>
      <c r="G91" s="4"/>
      <c r="H91" s="4"/>
      <c r="I91" s="4"/>
      <c r="J91" s="10"/>
      <c r="K91" s="4"/>
      <c r="L91" s="4"/>
      <c r="M91" s="4"/>
      <c r="N91" s="10"/>
      <c r="P91" s="4"/>
      <c r="Q91" s="4"/>
      <c r="R91" s="10"/>
      <c r="S91" s="4"/>
      <c r="T91" s="4"/>
      <c r="U91" s="4"/>
      <c r="V91" s="10"/>
      <c r="W91" s="4"/>
      <c r="X91" s="4"/>
      <c r="Y91" s="4"/>
      <c r="Z91" s="10"/>
    </row>
    <row r="92" spans="1:26" s="62" customFormat="1" ht="15" customHeight="1" x14ac:dyDescent="0.3">
      <c r="A92" s="48"/>
      <c r="B92" s="13" t="s">
        <v>292</v>
      </c>
      <c r="C92" s="13"/>
      <c r="D92" s="8"/>
      <c r="E92" s="8"/>
      <c r="F92" s="14">
        <f>IF(D$12=0,0,D92/D$12)</f>
        <v>0</v>
      </c>
      <c r="G92" s="8"/>
      <c r="H92" s="8"/>
      <c r="I92" s="8"/>
      <c r="J92" s="14">
        <f>IF(H$12=0,0,H92/H$12)</f>
        <v>0</v>
      </c>
      <c r="K92" s="8"/>
      <c r="L92" s="8">
        <f>+D92-H92</f>
        <v>0</v>
      </c>
      <c r="M92" s="8"/>
      <c r="N92" s="14">
        <f>IF(H92=0,0,L92/H92)</f>
        <v>0</v>
      </c>
      <c r="O92" s="13"/>
      <c r="P92" s="8"/>
      <c r="Q92" s="8"/>
      <c r="R92" s="14">
        <f>IF(P$12=0,0,P92/P$12)</f>
        <v>0</v>
      </c>
      <c r="S92" s="8"/>
      <c r="T92" s="8"/>
      <c r="U92" s="8"/>
      <c r="V92" s="14">
        <f>IF(T$12=0,0,T92/T$12)</f>
        <v>0</v>
      </c>
      <c r="W92" s="8"/>
      <c r="X92" s="8">
        <f>+P92-T92</f>
        <v>0</v>
      </c>
      <c r="Y92" s="8"/>
      <c r="Z92" s="14">
        <f>IF(T92=0,0,X92/T92)</f>
        <v>0</v>
      </c>
    </row>
    <row r="93" spans="1:26" ht="15" customHeight="1" x14ac:dyDescent="0.3">
      <c r="A93" s="12"/>
      <c r="B93" s="13"/>
      <c r="C93" s="13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O93" s="13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2" customFormat="1" ht="15" customHeight="1" x14ac:dyDescent="0.3">
      <c r="A94" s="13"/>
      <c r="B94" s="28" t="s">
        <v>293</v>
      </c>
      <c r="C94" s="28"/>
      <c r="D94" s="29">
        <f>+D90-D92</f>
        <v>5588405.4200000027</v>
      </c>
      <c r="E94" s="15"/>
      <c r="F94" s="31">
        <f>IF(D$12=0,0,D94/D$12)</f>
        <v>0</v>
      </c>
      <c r="G94" s="15"/>
      <c r="H94" s="29">
        <f>+H90-H92</f>
        <v>-744030.65999999992</v>
      </c>
      <c r="I94" s="15"/>
      <c r="J94" s="31">
        <f>IF(H$12=0,0,H94/H$12)</f>
        <v>0</v>
      </c>
      <c r="K94" s="17"/>
      <c r="L94" s="29">
        <f>D94-H94</f>
        <v>6332436.0800000029</v>
      </c>
      <c r="M94" s="17"/>
      <c r="N94" s="31">
        <f>IF(H94=0,0,L94/H94)</f>
        <v>-8.5109880821309218</v>
      </c>
      <c r="O94" s="27"/>
      <c r="P94" s="29">
        <f>+P90-P92</f>
        <v>2882939.4799999995</v>
      </c>
      <c r="Q94" s="15"/>
      <c r="R94" s="31">
        <f>IF(P$12=0,0,P94/P$12)</f>
        <v>0</v>
      </c>
      <c r="S94" s="15"/>
      <c r="T94" s="29">
        <f>+T90-T92</f>
        <v>-2840823.7500000005</v>
      </c>
      <c r="U94" s="15"/>
      <c r="V94" s="31">
        <f>IF(T$12=0,0,T94/T$12)</f>
        <v>0</v>
      </c>
      <c r="W94" s="17"/>
      <c r="X94" s="29">
        <f>P94-T94</f>
        <v>5723763.2300000004</v>
      </c>
      <c r="Y94" s="17"/>
      <c r="Z94" s="31">
        <f>IF(T94=0,0,X94/T94)</f>
        <v>-2.0148251823084764</v>
      </c>
    </row>
    <row r="95" spans="1:26" ht="15" customHeight="1" x14ac:dyDescent="0.3">
      <c r="A95" s="12"/>
      <c r="B95" s="12"/>
      <c r="C95" s="12"/>
      <c r="D95" s="4"/>
      <c r="E95" s="4"/>
      <c r="F95" s="10"/>
      <c r="G95" s="4"/>
      <c r="H95" s="4"/>
      <c r="I95" s="4"/>
      <c r="J95" s="10"/>
      <c r="K95" s="4"/>
      <c r="L95" s="4"/>
      <c r="M95" s="4"/>
      <c r="N95" s="10"/>
      <c r="P95" s="4"/>
      <c r="Q95" s="4"/>
      <c r="R95" s="10"/>
      <c r="S95" s="4"/>
      <c r="T95" s="4"/>
      <c r="U95" s="4"/>
      <c r="V95" s="10"/>
      <c r="W95" s="4"/>
      <c r="X95" s="4"/>
      <c r="Y95" s="4"/>
      <c r="Z95" s="10"/>
    </row>
    <row r="96" spans="1:26" ht="15" customHeight="1" x14ac:dyDescent="0.3">
      <c r="A96" s="12"/>
      <c r="B96" s="12"/>
      <c r="C96" s="12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2" customFormat="1" ht="15" customHeight="1" x14ac:dyDescent="0.3">
      <c r="A97" s="13"/>
      <c r="B97" s="28" t="s">
        <v>296</v>
      </c>
      <c r="C97" s="28"/>
      <c r="D97" s="30">
        <f>SUM(D94:D96)</f>
        <v>5588405.4200000027</v>
      </c>
      <c r="E97" s="15"/>
      <c r="F97" s="35">
        <f>IF(D$12=0,0,D97/D$12)</f>
        <v>0</v>
      </c>
      <c r="G97" s="15"/>
      <c r="H97" s="30">
        <f>SUM(H94:H96)</f>
        <v>-744030.65999999992</v>
      </c>
      <c r="I97" s="15"/>
      <c r="J97" s="35">
        <f>IF(H$12=0,0,H97/H$12)</f>
        <v>0</v>
      </c>
      <c r="K97" s="17"/>
      <c r="L97" s="30">
        <f>+D97-H97</f>
        <v>6332436.0800000029</v>
      </c>
      <c r="M97" s="17"/>
      <c r="N97" s="35">
        <f>IF(H97=0,0,L97/H97)</f>
        <v>-8.5109880821309218</v>
      </c>
      <c r="O97" s="27"/>
      <c r="P97" s="30">
        <f>SUM(P94:P96)</f>
        <v>2882939.4799999995</v>
      </c>
      <c r="Q97" s="15"/>
      <c r="R97" s="35">
        <f>IF(P$12=0,0,P97/P$12)</f>
        <v>0</v>
      </c>
      <c r="S97" s="15"/>
      <c r="T97" s="30">
        <f>SUM(T94:T96)</f>
        <v>-2840823.7500000005</v>
      </c>
      <c r="U97" s="15"/>
      <c r="V97" s="35">
        <f>IF(T$12=0,0,T97/T$12)</f>
        <v>0</v>
      </c>
      <c r="W97" s="17"/>
      <c r="X97" s="30">
        <f>+P97-T97</f>
        <v>5723763.2300000004</v>
      </c>
      <c r="Y97" s="17"/>
      <c r="Z97" s="35">
        <f>IF(T97=0,0,X97/T97)</f>
        <v>-2.0148251823084764</v>
      </c>
    </row>
    <row r="98" spans="1:26" ht="15" customHeight="1" x14ac:dyDescent="0.3">
      <c r="A98" s="12"/>
      <c r="C98" s="12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6" ht="15" customHeight="1" x14ac:dyDescent="0.3">
      <c r="A99" s="12"/>
      <c r="B99" s="54">
        <v>44767.815830127314</v>
      </c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2"/>
      <c r="B100" s="53" t="s">
        <v>297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2"/>
      <c r="B101" s="51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5FC0B-D848-5F6F-D378-D94DCA4C8373}">
  <sheetPr>
    <tabColor rgb="FFFFC000"/>
    <outlinePr summaryBelow="0" summaryRight="0"/>
  </sheetPr>
  <dimension ref="A2:Z7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24847</v>
      </c>
      <c r="E12" s="8"/>
      <c r="F12" s="14"/>
      <c r="G12" s="8"/>
      <c r="H12" s="8">
        <f>SUM(OSRRefH13x_0)</f>
        <v>24975</v>
      </c>
      <c r="I12" s="8"/>
      <c r="J12" s="14"/>
      <c r="K12" s="8"/>
      <c r="L12" s="8">
        <f>+D12-H12</f>
        <v>-128</v>
      </c>
      <c r="M12" s="8"/>
      <c r="N12" s="14">
        <f>IF(H12=0,0,L12/H12)</f>
        <v>-5.125125125125125E-3</v>
      </c>
      <c r="O12" s="13"/>
      <c r="P12" s="8">
        <f>SUM(OSRRefP13x_0)</f>
        <v>462697</v>
      </c>
      <c r="Q12" s="8"/>
      <c r="R12" s="14"/>
      <c r="S12" s="8"/>
      <c r="T12" s="8">
        <f>SUM(OSRRefT13x_0)</f>
        <v>542161</v>
      </c>
      <c r="U12" s="8"/>
      <c r="V12" s="14"/>
      <c r="W12" s="8"/>
      <c r="X12" s="8">
        <f>+P12-T12</f>
        <v>-79464</v>
      </c>
      <c r="Y12" s="8"/>
      <c r="Z12" s="14">
        <f>IF(T12=0,0,X12/T12)</f>
        <v>-0.1465690080990702</v>
      </c>
    </row>
    <row r="13" spans="1:26" s="69" customFormat="1" ht="15" hidden="1" customHeight="1" outlineLevel="1" x14ac:dyDescent="0.3">
      <c r="A13" s="47"/>
      <c r="B13" s="9" t="str">
        <f>CONCATENATE("          ","4100"," - ","NON-TAXABLE SALES")</f>
        <v xml:space="preserve">          4100 - NON-TAXABLE SALES</v>
      </c>
      <c r="C13" s="9"/>
      <c r="D13" s="3">
        <f>--24847</f>
        <v>24847</v>
      </c>
      <c r="E13" s="3"/>
      <c r="F13" s="26"/>
      <c r="G13" s="3"/>
      <c r="H13" s="3">
        <f>--24975</f>
        <v>24975</v>
      </c>
      <c r="I13" s="3"/>
      <c r="J13" s="26"/>
      <c r="K13" s="3"/>
      <c r="L13" s="3">
        <f>+D13-H13</f>
        <v>-128</v>
      </c>
      <c r="M13" s="3"/>
      <c r="N13" s="26">
        <f>IF(H13=0,0,L13/H13)</f>
        <v>-5.125125125125125E-3</v>
      </c>
      <c r="O13" s="9"/>
      <c r="P13" s="3">
        <f>--462697</f>
        <v>462697</v>
      </c>
      <c r="Q13" s="3"/>
      <c r="R13" s="26"/>
      <c r="S13" s="3"/>
      <c r="T13" s="3">
        <f>--542161</f>
        <v>542161</v>
      </c>
      <c r="U13" s="3"/>
      <c r="V13" s="26"/>
      <c r="W13" s="3"/>
      <c r="X13" s="3">
        <f>+P13-T13</f>
        <v>-79464</v>
      </c>
      <c r="Y13" s="3"/>
      <c r="Z13" s="26">
        <f>IF(T13=0,0,X13/T13)</f>
        <v>-0.1465690080990702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2" customFormat="1" ht="15" customHeight="1" x14ac:dyDescent="0.3">
      <c r="A15" s="13"/>
      <c r="B15" s="27" t="s">
        <v>287</v>
      </c>
      <c r="C15" s="13"/>
      <c r="D15" s="8">
        <f>SUM(0)</f>
        <v>0</v>
      </c>
      <c r="E15" s="8"/>
      <c r="F15" s="14">
        <f>IF(D$12=0,0,D15/D$12)</f>
        <v>0</v>
      </c>
      <c r="G15" s="8"/>
      <c r="H15" s="8">
        <f>SUM(0)</f>
        <v>0</v>
      </c>
      <c r="I15" s="8"/>
      <c r="J15" s="14">
        <f>IF(H$12=0,0,H15/H$12)</f>
        <v>0</v>
      </c>
      <c r="K15" s="8"/>
      <c r="L15" s="8">
        <f>+D15-H15</f>
        <v>0</v>
      </c>
      <c r="M15" s="8"/>
      <c r="N15" s="14">
        <f>IF(H15=0,0,L15/H15)</f>
        <v>0</v>
      </c>
      <c r="O15" s="13"/>
      <c r="P15" s="8">
        <f>SUM(0)</f>
        <v>0</v>
      </c>
      <c r="Q15" s="8"/>
      <c r="R15" s="14">
        <f>IF(P$12=0,0,P15/P$12)</f>
        <v>0</v>
      </c>
      <c r="S15" s="8"/>
      <c r="T15" s="8">
        <f>SUM(0)</f>
        <v>0</v>
      </c>
      <c r="U15" s="8"/>
      <c r="V15" s="14">
        <f>IF(T$12=0,0,T15/T$12)</f>
        <v>0</v>
      </c>
      <c r="W15" s="8"/>
      <c r="X15" s="8">
        <f>+P15-T15</f>
        <v>0</v>
      </c>
      <c r="Y15" s="8"/>
      <c r="Z15" s="14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D12-D15</f>
        <v>24847</v>
      </c>
      <c r="E17" s="15"/>
      <c r="F17" s="24">
        <f>IF(D$12=0,0,D17/D$12)</f>
        <v>1</v>
      </c>
      <c r="G17" s="15"/>
      <c r="H17" s="22">
        <f>H12-H15</f>
        <v>24975</v>
      </c>
      <c r="I17" s="15"/>
      <c r="J17" s="24">
        <f>IF(H$12=0,0,H17/H$12)</f>
        <v>1</v>
      </c>
      <c r="K17" s="17"/>
      <c r="L17" s="22">
        <f>+D17-H17</f>
        <v>-128</v>
      </c>
      <c r="M17" s="17"/>
      <c r="N17" s="24">
        <f>IF(H17=0,0,L17/H17)</f>
        <v>-5.125125125125125E-3</v>
      </c>
      <c r="O17" s="27"/>
      <c r="P17" s="22">
        <f>P12-P15</f>
        <v>462697</v>
      </c>
      <c r="Q17" s="15"/>
      <c r="R17" s="24">
        <f>IF(P$12=0,0,P17/P$12)</f>
        <v>1</v>
      </c>
      <c r="S17" s="15"/>
      <c r="T17" s="22">
        <f>T12-T15</f>
        <v>542161</v>
      </c>
      <c r="U17" s="15"/>
      <c r="V17" s="24">
        <f>IF(T$12=0,0,T17/T$12)</f>
        <v>1</v>
      </c>
      <c r="W17" s="17"/>
      <c r="X17" s="22">
        <f>+P17-T17</f>
        <v>-79464</v>
      </c>
      <c r="Y17" s="17"/>
      <c r="Z17" s="24">
        <f>IF(T17=0,0,X17/T17)</f>
        <v>-0.1465690080990702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21260.300000000003</v>
      </c>
      <c r="E19" s="23"/>
      <c r="F19" s="34">
        <f t="shared" ref="F19:F61" si="0">IF(D$12=0,0,D19/D$12)</f>
        <v>0.85564856924377197</v>
      </c>
      <c r="G19" s="23"/>
      <c r="H19" s="23" cm="1">
        <f t="array" ref="H19">SUM(OSRRefH22x_0)</f>
        <v>17149.86</v>
      </c>
      <c r="I19" s="23"/>
      <c r="J19" s="34">
        <f t="shared" ref="J19:J61" si="1">IF(H$12=0,0,H19/H$12)</f>
        <v>0.68668108108108106</v>
      </c>
      <c r="K19" s="8"/>
      <c r="L19" s="23">
        <f t="shared" ref="L19:L61" si="2">+D19-H19</f>
        <v>4110.4400000000023</v>
      </c>
      <c r="M19" s="8"/>
      <c r="N19" s="34">
        <f t="shared" ref="N19:N61" si="3">IF(H19=0,0,L19/H19)</f>
        <v>0.23967775830240026</v>
      </c>
      <c r="O19" s="13"/>
      <c r="P19" s="23" cm="1">
        <f t="array" ref="P19">SUM(OSRRefP22x_0)</f>
        <v>426425.32999999996</v>
      </c>
      <c r="Q19" s="23"/>
      <c r="R19" s="34">
        <f t="shared" ref="R19:R61" si="4">IF(P$12=0,0,P19/P$12)</f>
        <v>0.92160815825475406</v>
      </c>
      <c r="S19" s="23"/>
      <c r="T19" s="23" cm="1">
        <f t="array" ref="T19">SUM(OSRRefT22x_0)</f>
        <v>436927.95000000007</v>
      </c>
      <c r="U19" s="23"/>
      <c r="V19" s="34">
        <f t="shared" ref="V19:V61" si="5">IF(T$12=0,0,T19/T$12)</f>
        <v>0.80590073797266881</v>
      </c>
      <c r="W19" s="8"/>
      <c r="X19" s="23">
        <f t="shared" ref="X19:X61" si="6">+P19-T19</f>
        <v>-10502.620000000112</v>
      </c>
      <c r="Y19" s="8"/>
      <c r="Z19" s="34">
        <f t="shared" ref="Z19:Z61" si="7">IF(T19=0,0,X19/T19)</f>
        <v>-2.4037418526327077E-2</v>
      </c>
    </row>
    <row r="20" spans="1:26" s="68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5665.8600000000006</v>
      </c>
      <c r="E20" s="2"/>
      <c r="F20" s="5">
        <f t="shared" si="0"/>
        <v>0.22802994325270659</v>
      </c>
      <c r="G20" s="2"/>
      <c r="H20" s="2">
        <f>SUM(OSRRefH22_0x_0)</f>
        <v>5094.6000000000013</v>
      </c>
      <c r="I20" s="2"/>
      <c r="J20" s="5">
        <f t="shared" si="1"/>
        <v>0.20398798798798803</v>
      </c>
      <c r="K20" s="2"/>
      <c r="L20" s="2">
        <f t="shared" si="2"/>
        <v>571.25999999999931</v>
      </c>
      <c r="M20" s="2"/>
      <c r="N20" s="5">
        <f t="shared" si="3"/>
        <v>0.11213049110823209</v>
      </c>
      <c r="O20" s="11"/>
      <c r="P20" s="2">
        <f>SUM(OSRRefP22_0x_0)</f>
        <v>52505.51</v>
      </c>
      <c r="Q20" s="2"/>
      <c r="R20" s="5">
        <f t="shared" si="4"/>
        <v>0.11347709191976607</v>
      </c>
      <c r="S20" s="2"/>
      <c r="T20" s="2">
        <f>SUM(OSRRefT22_0x_0)</f>
        <v>51863.28</v>
      </c>
      <c r="U20" s="2"/>
      <c r="V20" s="5">
        <f t="shared" si="5"/>
        <v>9.5660292791255735E-2</v>
      </c>
      <c r="W20" s="2"/>
      <c r="X20" s="2">
        <f t="shared" si="6"/>
        <v>642.2300000000032</v>
      </c>
      <c r="Y20" s="2"/>
      <c r="Z20" s="5">
        <f t="shared" si="7"/>
        <v>1.2383135042750926E-2</v>
      </c>
    </row>
    <row r="21" spans="1:26" s="69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1334</v>
      </c>
      <c r="E21" s="3"/>
      <c r="F21" s="7">
        <f t="shared" si="0"/>
        <v>5.3688574073328769E-2</v>
      </c>
      <c r="G21" s="3"/>
      <c r="H21" s="6">
        <v>984.04</v>
      </c>
      <c r="I21" s="3"/>
      <c r="J21" s="7">
        <f t="shared" si="1"/>
        <v>3.9401001001001003E-2</v>
      </c>
      <c r="K21" s="3"/>
      <c r="L21" s="6">
        <f t="shared" si="2"/>
        <v>349.96000000000004</v>
      </c>
      <c r="M21" s="3"/>
      <c r="N21" s="7">
        <f t="shared" si="3"/>
        <v>0.35563594975813995</v>
      </c>
      <c r="O21" s="9"/>
      <c r="P21" s="6">
        <v>12970.86</v>
      </c>
      <c r="Q21" s="3"/>
      <c r="R21" s="7">
        <f t="shared" si="4"/>
        <v>2.8033162090958016E-2</v>
      </c>
      <c r="S21" s="3"/>
      <c r="T21" s="6">
        <v>12230.81</v>
      </c>
      <c r="U21" s="3"/>
      <c r="V21" s="7">
        <f t="shared" si="5"/>
        <v>2.2559368895955261E-2</v>
      </c>
      <c r="W21" s="3"/>
      <c r="X21" s="6">
        <f t="shared" si="6"/>
        <v>740.05000000000109</v>
      </c>
      <c r="Y21" s="3"/>
      <c r="Z21" s="7">
        <f t="shared" si="7"/>
        <v>6.0507031014299224E-2</v>
      </c>
    </row>
    <row r="22" spans="1:26" s="69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/>
      <c r="E22" s="3"/>
      <c r="F22" s="7">
        <f t="shared" si="0"/>
        <v>0</v>
      </c>
      <c r="G22" s="3"/>
      <c r="H22" s="6">
        <v>81.56</v>
      </c>
      <c r="I22" s="3"/>
      <c r="J22" s="7">
        <f t="shared" si="1"/>
        <v>3.2656656656656659E-3</v>
      </c>
      <c r="K22" s="3"/>
      <c r="L22" s="6">
        <f t="shared" si="2"/>
        <v>-81.56</v>
      </c>
      <c r="M22" s="3"/>
      <c r="N22" s="7">
        <f t="shared" si="3"/>
        <v>-1</v>
      </c>
      <c r="O22" s="9"/>
      <c r="P22" s="6">
        <v>2029.38</v>
      </c>
      <c r="Q22" s="3"/>
      <c r="R22" s="7">
        <f t="shared" si="4"/>
        <v>4.3859804580535424E-3</v>
      </c>
      <c r="S22" s="3"/>
      <c r="T22" s="6">
        <v>975.2</v>
      </c>
      <c r="U22" s="3"/>
      <c r="V22" s="7">
        <f t="shared" si="5"/>
        <v>1.7987276842118855E-3</v>
      </c>
      <c r="W22" s="3"/>
      <c r="X22" s="6">
        <f t="shared" si="6"/>
        <v>1054.18</v>
      </c>
      <c r="Y22" s="3"/>
      <c r="Z22" s="7">
        <f t="shared" si="7"/>
        <v>1.0809885151763741</v>
      </c>
    </row>
    <row r="23" spans="1:26" s="69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2351.8000000000002</v>
      </c>
      <c r="E23" s="3"/>
      <c r="F23" s="7">
        <f t="shared" si="0"/>
        <v>9.4651265746367771E-2</v>
      </c>
      <c r="G23" s="3"/>
      <c r="H23" s="6">
        <v>1207.95</v>
      </c>
      <c r="I23" s="3"/>
      <c r="J23" s="7">
        <f t="shared" si="1"/>
        <v>4.8366366366366369E-2</v>
      </c>
      <c r="K23" s="3"/>
      <c r="L23" s="6">
        <f t="shared" si="2"/>
        <v>1143.8500000000001</v>
      </c>
      <c r="M23" s="3"/>
      <c r="N23" s="7">
        <f t="shared" si="3"/>
        <v>0.94693488968914286</v>
      </c>
      <c r="O23" s="9"/>
      <c r="P23" s="6">
        <v>13527.92</v>
      </c>
      <c r="Q23" s="3"/>
      <c r="R23" s="7">
        <f t="shared" si="4"/>
        <v>2.9237103331121662E-2</v>
      </c>
      <c r="S23" s="3"/>
      <c r="T23" s="6">
        <v>14650.7</v>
      </c>
      <c r="U23" s="3"/>
      <c r="V23" s="7">
        <f t="shared" si="5"/>
        <v>2.7022784744752944E-2</v>
      </c>
      <c r="W23" s="3"/>
      <c r="X23" s="6">
        <f t="shared" si="6"/>
        <v>-1122.7800000000007</v>
      </c>
      <c r="Y23" s="3"/>
      <c r="Z23" s="7">
        <f t="shared" si="7"/>
        <v>-7.6636611219941753E-2</v>
      </c>
    </row>
    <row r="24" spans="1:26" s="69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33.54</v>
      </c>
      <c r="I24" s="3"/>
      <c r="J24" s="7">
        <f t="shared" si="1"/>
        <v>1.3429429429429429E-3</v>
      </c>
      <c r="K24" s="3"/>
      <c r="L24" s="6">
        <f t="shared" si="2"/>
        <v>-33.54</v>
      </c>
      <c r="M24" s="3"/>
      <c r="N24" s="7">
        <f t="shared" si="3"/>
        <v>-1</v>
      </c>
      <c r="O24" s="9"/>
      <c r="P24" s="6">
        <v>401.17</v>
      </c>
      <c r="Q24" s="3"/>
      <c r="R24" s="7">
        <f t="shared" si="4"/>
        <v>8.6702528868784544E-4</v>
      </c>
      <c r="S24" s="3"/>
      <c r="T24" s="6">
        <v>437.82</v>
      </c>
      <c r="U24" s="3"/>
      <c r="V24" s="7">
        <f t="shared" si="5"/>
        <v>8.0754609793031958E-4</v>
      </c>
      <c r="W24" s="3"/>
      <c r="X24" s="6">
        <f t="shared" si="6"/>
        <v>-36.649999999999977</v>
      </c>
      <c r="Y24" s="3"/>
      <c r="Z24" s="7">
        <f t="shared" si="7"/>
        <v>-8.371020053903426E-2</v>
      </c>
    </row>
    <row r="25" spans="1:26" s="69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516.92999999999995</v>
      </c>
      <c r="E25" s="3"/>
      <c r="F25" s="7">
        <f t="shared" si="0"/>
        <v>2.0804523684951903E-2</v>
      </c>
      <c r="G25" s="3"/>
      <c r="H25" s="6">
        <v>1013.88</v>
      </c>
      <c r="I25" s="3"/>
      <c r="J25" s="7">
        <f t="shared" si="1"/>
        <v>4.0595795795795794E-2</v>
      </c>
      <c r="K25" s="3"/>
      <c r="L25" s="6">
        <f t="shared" si="2"/>
        <v>-496.95000000000005</v>
      </c>
      <c r="M25" s="3"/>
      <c r="N25" s="7">
        <f t="shared" si="3"/>
        <v>-0.49014676293052439</v>
      </c>
      <c r="O25" s="9"/>
      <c r="P25" s="6">
        <v>7717.2</v>
      </c>
      <c r="Q25" s="3"/>
      <c r="R25" s="7">
        <f t="shared" si="4"/>
        <v>1.6678733598877882E-2</v>
      </c>
      <c r="S25" s="3"/>
      <c r="T25" s="6">
        <v>9355.51</v>
      </c>
      <c r="U25" s="3"/>
      <c r="V25" s="7">
        <f t="shared" si="5"/>
        <v>1.7255962712183281E-2</v>
      </c>
      <c r="W25" s="3"/>
      <c r="X25" s="6">
        <f t="shared" si="6"/>
        <v>-1638.3100000000004</v>
      </c>
      <c r="Y25" s="3"/>
      <c r="Z25" s="7">
        <f t="shared" si="7"/>
        <v>-0.17511712349193154</v>
      </c>
    </row>
    <row r="26" spans="1:26" s="69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120</v>
      </c>
      <c r="E26" s="3"/>
      <c r="F26" s="7">
        <f t="shared" si="0"/>
        <v>4.8295568881555114E-3</v>
      </c>
      <c r="G26" s="3"/>
      <c r="H26" s="6">
        <v>96.01</v>
      </c>
      <c r="I26" s="3"/>
      <c r="J26" s="7">
        <f t="shared" si="1"/>
        <v>3.8442442442442443E-3</v>
      </c>
      <c r="K26" s="3"/>
      <c r="L26" s="6">
        <f t="shared" si="2"/>
        <v>23.989999999999995</v>
      </c>
      <c r="M26" s="3"/>
      <c r="N26" s="7">
        <f t="shared" si="3"/>
        <v>0.24986980522862196</v>
      </c>
      <c r="O26" s="9"/>
      <c r="P26" s="6">
        <v>515.15</v>
      </c>
      <c r="Q26" s="3"/>
      <c r="R26" s="7">
        <f t="shared" si="4"/>
        <v>1.1133636051238716E-3</v>
      </c>
      <c r="S26" s="3"/>
      <c r="T26" s="6">
        <v>1083.72</v>
      </c>
      <c r="U26" s="3"/>
      <c r="V26" s="7">
        <f t="shared" si="5"/>
        <v>1.9988896287265225E-3</v>
      </c>
      <c r="W26" s="3"/>
      <c r="X26" s="6">
        <f t="shared" si="6"/>
        <v>-568.57000000000005</v>
      </c>
      <c r="Y26" s="3"/>
      <c r="Z26" s="7">
        <f t="shared" si="7"/>
        <v>-0.52464658767947447</v>
      </c>
    </row>
    <row r="27" spans="1:26" s="69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640.03</v>
      </c>
      <c r="E27" s="3"/>
      <c r="F27" s="7">
        <f t="shared" si="0"/>
        <v>2.5758844126051433E-2</v>
      </c>
      <c r="G27" s="3"/>
      <c r="H27" s="6">
        <v>1040.1500000000001</v>
      </c>
      <c r="I27" s="3"/>
      <c r="J27" s="7">
        <f t="shared" si="1"/>
        <v>4.1647647647647654E-2</v>
      </c>
      <c r="K27" s="3"/>
      <c r="L27" s="6">
        <f t="shared" si="2"/>
        <v>-400.12000000000012</v>
      </c>
      <c r="M27" s="3"/>
      <c r="N27" s="7">
        <f t="shared" si="3"/>
        <v>-0.38467528721818978</v>
      </c>
      <c r="O27" s="9"/>
      <c r="P27" s="6">
        <v>8075.08</v>
      </c>
      <c r="Q27" s="3"/>
      <c r="R27" s="7">
        <f t="shared" si="4"/>
        <v>1.7452198739131657E-2</v>
      </c>
      <c r="S27" s="3"/>
      <c r="T27" s="6">
        <v>7280.39</v>
      </c>
      <c r="U27" s="3"/>
      <c r="V27" s="7">
        <f t="shared" si="5"/>
        <v>1.3428464976270886E-2</v>
      </c>
      <c r="W27" s="3"/>
      <c r="X27" s="6">
        <f t="shared" si="6"/>
        <v>794.6899999999996</v>
      </c>
      <c r="Y27" s="3"/>
      <c r="Z27" s="7">
        <f t="shared" si="7"/>
        <v>0.10915486670356939</v>
      </c>
    </row>
    <row r="28" spans="1:26" s="69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443.63</v>
      </c>
      <c r="E28" s="3"/>
      <c r="F28" s="7">
        <f t="shared" si="0"/>
        <v>1.7854469352436914E-2</v>
      </c>
      <c r="G28" s="3"/>
      <c r="H28" s="6">
        <v>637.47</v>
      </c>
      <c r="I28" s="3"/>
      <c r="J28" s="7">
        <f t="shared" si="1"/>
        <v>2.5524324324324325E-2</v>
      </c>
      <c r="K28" s="3"/>
      <c r="L28" s="6">
        <f t="shared" si="2"/>
        <v>-193.84000000000003</v>
      </c>
      <c r="M28" s="3"/>
      <c r="N28" s="7">
        <f t="shared" si="3"/>
        <v>-0.30407705460649131</v>
      </c>
      <c r="O28" s="9"/>
      <c r="P28" s="6">
        <v>5974.64</v>
      </c>
      <c r="Q28" s="3"/>
      <c r="R28" s="7">
        <f t="shared" si="4"/>
        <v>1.2912640453687835E-2</v>
      </c>
      <c r="S28" s="3"/>
      <c r="T28" s="6">
        <v>4228.6000000000004</v>
      </c>
      <c r="U28" s="3"/>
      <c r="V28" s="7">
        <f t="shared" si="5"/>
        <v>7.7995281844323002E-3</v>
      </c>
      <c r="W28" s="3"/>
      <c r="X28" s="6">
        <f t="shared" si="6"/>
        <v>1746.04</v>
      </c>
      <c r="Y28" s="3"/>
      <c r="Z28" s="7">
        <f t="shared" si="7"/>
        <v>0.41291207491841264</v>
      </c>
    </row>
    <row r="29" spans="1:26" s="69" customFormat="1" ht="15" hidden="1" customHeight="1" outlineLevel="2" x14ac:dyDescent="0.3">
      <c r="A29" s="21"/>
      <c r="B29" s="9" t="str">
        <f>CONCATENATE("          ","6156"," - ","EMPLOYEE MEALS")</f>
        <v xml:space="preserve">          6156 - EMPLOYEE MEALS</v>
      </c>
      <c r="C29" s="9"/>
      <c r="D29" s="6">
        <v>259.47000000000003</v>
      </c>
      <c r="E29" s="3"/>
      <c r="F29" s="7">
        <f t="shared" si="0"/>
        <v>1.0442709381414256E-2</v>
      </c>
      <c r="G29" s="3"/>
      <c r="H29" s="6"/>
      <c r="I29" s="3"/>
      <c r="J29" s="7">
        <f t="shared" si="1"/>
        <v>0</v>
      </c>
      <c r="K29" s="3"/>
      <c r="L29" s="6">
        <f t="shared" si="2"/>
        <v>259.47000000000003</v>
      </c>
      <c r="M29" s="3"/>
      <c r="N29" s="7">
        <f t="shared" si="3"/>
        <v>0</v>
      </c>
      <c r="O29" s="9"/>
      <c r="P29" s="6">
        <v>1294.1099999999999</v>
      </c>
      <c r="Q29" s="3"/>
      <c r="R29" s="7">
        <f t="shared" si="4"/>
        <v>2.7968843541237567E-3</v>
      </c>
      <c r="S29" s="3"/>
      <c r="T29" s="6">
        <v>1620.53</v>
      </c>
      <c r="U29" s="3"/>
      <c r="V29" s="7">
        <f t="shared" si="5"/>
        <v>2.9890198667923366E-3</v>
      </c>
      <c r="W29" s="3"/>
      <c r="X29" s="6">
        <f t="shared" si="6"/>
        <v>-326.42000000000007</v>
      </c>
      <c r="Y29" s="3"/>
      <c r="Z29" s="7">
        <f t="shared" si="7"/>
        <v>-0.20142792790013148</v>
      </c>
    </row>
    <row r="30" spans="1:26" s="68" customFormat="1" ht="15" customHeight="1" outlineLevel="1" collapsed="1" x14ac:dyDescent="0.3">
      <c r="A30" s="20"/>
      <c r="B30" s="11" t="str">
        <f>CONCATENATE("     ","*Payroll                                          ")</f>
        <v xml:space="preserve">     *Payroll                                          </v>
      </c>
      <c r="C30" s="11"/>
      <c r="D30" s="2">
        <f>SUM(OSRRefD22_1x_0)</f>
        <v>13021.23</v>
      </c>
      <c r="E30" s="2"/>
      <c r="F30" s="5">
        <f t="shared" si="0"/>
        <v>0.52405642532297658</v>
      </c>
      <c r="G30" s="2"/>
      <c r="H30" s="2">
        <f>SUM(OSRRefH22_1x_0)</f>
        <v>12043.56</v>
      </c>
      <c r="I30" s="2"/>
      <c r="J30" s="5">
        <f t="shared" si="1"/>
        <v>0.48222462462462462</v>
      </c>
      <c r="K30" s="2"/>
      <c r="L30" s="2">
        <f t="shared" si="2"/>
        <v>977.67000000000007</v>
      </c>
      <c r="M30" s="2"/>
      <c r="N30" s="5">
        <f t="shared" si="3"/>
        <v>8.1177824497075626E-2</v>
      </c>
      <c r="O30" s="11"/>
      <c r="P30" s="2">
        <f>SUM(OSRRefP22_1x_0)</f>
        <v>176605.34</v>
      </c>
      <c r="Q30" s="2"/>
      <c r="R30" s="5">
        <f t="shared" si="4"/>
        <v>0.38168680583621678</v>
      </c>
      <c r="S30" s="2"/>
      <c r="T30" s="2">
        <f>SUM(OSRRefT22_1x_0)</f>
        <v>164212.04</v>
      </c>
      <c r="U30" s="2"/>
      <c r="V30" s="5">
        <f t="shared" si="5"/>
        <v>0.30288427238403354</v>
      </c>
      <c r="W30" s="2"/>
      <c r="X30" s="2">
        <f t="shared" si="6"/>
        <v>12393.299999999988</v>
      </c>
      <c r="Y30" s="2"/>
      <c r="Z30" s="5">
        <f t="shared" si="7"/>
        <v>7.5471323539979082E-2</v>
      </c>
    </row>
    <row r="31" spans="1:26" s="69" customFormat="1" ht="15" hidden="1" customHeight="1" outlineLevel="2" x14ac:dyDescent="0.3">
      <c r="A31" s="21"/>
      <c r="B31" s="9" t="str">
        <f>CONCATENATE("          ","6001"," - ","ADMINISTRATIVE SALARIES")</f>
        <v xml:space="preserve">          6001 - ADMINISTRATIVE SALARIES</v>
      </c>
      <c r="C31" s="9"/>
      <c r="D31" s="6">
        <v>1397.47</v>
      </c>
      <c r="E31" s="3"/>
      <c r="F31" s="7">
        <f t="shared" si="0"/>
        <v>5.6243007204089028E-2</v>
      </c>
      <c r="G31" s="3"/>
      <c r="H31" s="6">
        <v>3583.28</v>
      </c>
      <c r="I31" s="3"/>
      <c r="J31" s="7">
        <f t="shared" si="1"/>
        <v>0.14347467467467467</v>
      </c>
      <c r="K31" s="3"/>
      <c r="L31" s="6">
        <f t="shared" si="2"/>
        <v>-2185.8100000000004</v>
      </c>
      <c r="M31" s="3"/>
      <c r="N31" s="7">
        <f t="shared" si="3"/>
        <v>-0.6100025674800742</v>
      </c>
      <c r="O31" s="9"/>
      <c r="P31" s="6">
        <v>52790.66</v>
      </c>
      <c r="Q31" s="3"/>
      <c r="R31" s="7">
        <f t="shared" si="4"/>
        <v>0.11409336995917416</v>
      </c>
      <c r="S31" s="3"/>
      <c r="T31" s="6">
        <v>51528.44</v>
      </c>
      <c r="U31" s="3"/>
      <c r="V31" s="7">
        <f t="shared" si="5"/>
        <v>9.5042690270971175E-2</v>
      </c>
      <c r="W31" s="3"/>
      <c r="X31" s="6">
        <f t="shared" si="6"/>
        <v>1262.2200000000012</v>
      </c>
      <c r="Y31" s="3"/>
      <c r="Z31" s="7">
        <f t="shared" si="7"/>
        <v>2.4495598935267614E-2</v>
      </c>
    </row>
    <row r="32" spans="1:26" s="69" customFormat="1" ht="15" hidden="1" customHeight="1" outlineLevel="2" x14ac:dyDescent="0.3">
      <c r="A32" s="21"/>
      <c r="B32" s="9" t="str">
        <f>CONCATENATE("          ","6002"," - ","STAFF SALARIES")</f>
        <v xml:space="preserve">          6002 - STAFF SALARIES</v>
      </c>
      <c r="C32" s="9"/>
      <c r="D32" s="6">
        <v>1550.4</v>
      </c>
      <c r="E32" s="3"/>
      <c r="F32" s="7">
        <f t="shared" si="0"/>
        <v>6.2397874994969217E-2</v>
      </c>
      <c r="G32" s="3"/>
      <c r="H32" s="6">
        <v>2582.3000000000002</v>
      </c>
      <c r="I32" s="3"/>
      <c r="J32" s="7">
        <f t="shared" si="1"/>
        <v>0.1033953953953954</v>
      </c>
      <c r="K32" s="3"/>
      <c r="L32" s="6">
        <f t="shared" si="2"/>
        <v>-1031.9000000000001</v>
      </c>
      <c r="M32" s="3"/>
      <c r="N32" s="7">
        <f t="shared" si="3"/>
        <v>-0.39960500329163923</v>
      </c>
      <c r="O32" s="9"/>
      <c r="P32" s="6">
        <v>21806.97</v>
      </c>
      <c r="Q32" s="3"/>
      <c r="R32" s="7">
        <f t="shared" si="4"/>
        <v>4.7130130517379624E-2</v>
      </c>
      <c r="S32" s="3"/>
      <c r="T32" s="6">
        <v>28372.28</v>
      </c>
      <c r="U32" s="3"/>
      <c r="V32" s="7">
        <f t="shared" si="5"/>
        <v>5.2331835008420008E-2</v>
      </c>
      <c r="W32" s="3"/>
      <c r="X32" s="6">
        <f t="shared" si="6"/>
        <v>-6565.3099999999977</v>
      </c>
      <c r="Y32" s="3"/>
      <c r="Z32" s="7">
        <f t="shared" si="7"/>
        <v>-0.2313987455361359</v>
      </c>
    </row>
    <row r="33" spans="1:26" s="69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>
        <v>3312.2</v>
      </c>
      <c r="E33" s="3"/>
      <c r="F33" s="7">
        <f t="shared" si="0"/>
        <v>0.13330381937457236</v>
      </c>
      <c r="G33" s="3"/>
      <c r="H33" s="6"/>
      <c r="I33" s="3"/>
      <c r="J33" s="7">
        <f t="shared" si="1"/>
        <v>0</v>
      </c>
      <c r="K33" s="3"/>
      <c r="L33" s="6">
        <f t="shared" si="2"/>
        <v>3312.2</v>
      </c>
      <c r="M33" s="3"/>
      <c r="N33" s="7">
        <f t="shared" si="3"/>
        <v>0</v>
      </c>
      <c r="O33" s="9"/>
      <c r="P33" s="6">
        <v>20014.52</v>
      </c>
      <c r="Q33" s="3"/>
      <c r="R33" s="7">
        <f t="shared" si="4"/>
        <v>4.3256213029261054E-2</v>
      </c>
      <c r="S33" s="3"/>
      <c r="T33" s="6"/>
      <c r="U33" s="3"/>
      <c r="V33" s="7">
        <f t="shared" si="5"/>
        <v>0</v>
      </c>
      <c r="W33" s="3"/>
      <c r="X33" s="6">
        <f t="shared" si="6"/>
        <v>20014.52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>
        <v>3131.91</v>
      </c>
      <c r="E34" s="3"/>
      <c r="F34" s="7">
        <f t="shared" si="0"/>
        <v>0.12604781261319273</v>
      </c>
      <c r="G34" s="3"/>
      <c r="H34" s="6">
        <v>5877.98</v>
      </c>
      <c r="I34" s="3"/>
      <c r="J34" s="7">
        <f t="shared" si="1"/>
        <v>0.23535455455455453</v>
      </c>
      <c r="K34" s="3"/>
      <c r="L34" s="6">
        <f t="shared" si="2"/>
        <v>-2746.0699999999997</v>
      </c>
      <c r="M34" s="3"/>
      <c r="N34" s="7">
        <f t="shared" si="3"/>
        <v>-0.46717920101803678</v>
      </c>
      <c r="O34" s="9"/>
      <c r="P34" s="6">
        <v>60021.41</v>
      </c>
      <c r="Q34" s="3"/>
      <c r="R34" s="7">
        <f t="shared" si="4"/>
        <v>0.12972076758656315</v>
      </c>
      <c r="S34" s="3"/>
      <c r="T34" s="6">
        <v>76121.66</v>
      </c>
      <c r="U34" s="3"/>
      <c r="V34" s="7">
        <f t="shared" si="5"/>
        <v>0.1404041603877815</v>
      </c>
      <c r="W34" s="3"/>
      <c r="X34" s="6">
        <f t="shared" si="6"/>
        <v>-16100.25</v>
      </c>
      <c r="Y34" s="3"/>
      <c r="Z34" s="7">
        <f t="shared" si="7"/>
        <v>-0.21150681685081485</v>
      </c>
    </row>
    <row r="35" spans="1:26" s="69" customFormat="1" ht="15" hidden="1" customHeight="1" outlineLevel="2" x14ac:dyDescent="0.3">
      <c r="A35" s="21"/>
      <c r="B35" s="9" t="str">
        <f>CONCATENATE("          ","6007"," - ","STUDENT HOURLY")</f>
        <v xml:space="preserve">          6007 - STUDENT HOURLY</v>
      </c>
      <c r="C35" s="9"/>
      <c r="D35" s="6">
        <v>3629.25</v>
      </c>
      <c r="E35" s="3"/>
      <c r="F35" s="7">
        <f t="shared" si="0"/>
        <v>0.14606391113615325</v>
      </c>
      <c r="G35" s="3"/>
      <c r="H35" s="6"/>
      <c r="I35" s="3"/>
      <c r="J35" s="7">
        <f t="shared" si="1"/>
        <v>0</v>
      </c>
      <c r="K35" s="3"/>
      <c r="L35" s="6">
        <f t="shared" si="2"/>
        <v>3629.25</v>
      </c>
      <c r="M35" s="3"/>
      <c r="N35" s="7">
        <f t="shared" si="3"/>
        <v>0</v>
      </c>
      <c r="O35" s="9"/>
      <c r="P35" s="6">
        <v>21807.56</v>
      </c>
      <c r="Q35" s="3"/>
      <c r="R35" s="7">
        <f t="shared" si="4"/>
        <v>4.7131405649917767E-2</v>
      </c>
      <c r="S35" s="3"/>
      <c r="T35" s="6">
        <v>4277.78</v>
      </c>
      <c r="U35" s="3"/>
      <c r="V35" s="7">
        <f t="shared" si="5"/>
        <v>7.8902392462755523E-3</v>
      </c>
      <c r="W35" s="3"/>
      <c r="X35" s="6">
        <f t="shared" si="6"/>
        <v>17529.780000000002</v>
      </c>
      <c r="Y35" s="3"/>
      <c r="Z35" s="7">
        <f t="shared" si="7"/>
        <v>4.0978685205877827</v>
      </c>
    </row>
    <row r="36" spans="1:26" s="69" customFormat="1" ht="15" hidden="1" customHeight="1" outlineLevel="2" x14ac:dyDescent="0.3">
      <c r="A36" s="21"/>
      <c r="B36" s="9" t="str">
        <f>CONCATENATE("          ","6008"," - ","STUDENT HOURLY-FICA EXEMPT")</f>
        <v xml:space="preserve">          6008 - STUDENT HOURLY-FICA EXEMPT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164.22</v>
      </c>
      <c r="Q36" s="3"/>
      <c r="R36" s="7">
        <f t="shared" si="4"/>
        <v>3.5491909392107576E-4</v>
      </c>
      <c r="S36" s="3"/>
      <c r="T36" s="6">
        <v>3911.88</v>
      </c>
      <c r="U36" s="3"/>
      <c r="V36" s="7">
        <f t="shared" si="5"/>
        <v>7.2153474705853064E-3</v>
      </c>
      <c r="W36" s="3"/>
      <c r="X36" s="6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0"/>
      <c r="B37" s="11" t="str">
        <f>CONCATENATE("     ","Advertising/Promo                                 ")</f>
        <v xml:space="preserve">     Advertising/Promo                                 </v>
      </c>
      <c r="C37" s="11"/>
      <c r="D37" s="2">
        <f>SUM(OSRRefD22_2x_0)</f>
        <v>132.31</v>
      </c>
      <c r="E37" s="2"/>
      <c r="F37" s="5">
        <f t="shared" si="0"/>
        <v>5.3249889322654646E-3</v>
      </c>
      <c r="G37" s="2"/>
      <c r="H37" s="2">
        <f>SUM(OSRRefH22_2x_0)</f>
        <v>0</v>
      </c>
      <c r="I37" s="2"/>
      <c r="J37" s="5">
        <f t="shared" si="1"/>
        <v>0</v>
      </c>
      <c r="K37" s="2"/>
      <c r="L37" s="2">
        <f t="shared" si="2"/>
        <v>132.31</v>
      </c>
      <c r="M37" s="2"/>
      <c r="N37" s="5">
        <f t="shared" si="3"/>
        <v>0</v>
      </c>
      <c r="O37" s="11"/>
      <c r="P37" s="2">
        <f>SUM(OSRRefP22_2x_0)</f>
        <v>383.49</v>
      </c>
      <c r="Q37" s="2"/>
      <c r="R37" s="5">
        <f t="shared" si="4"/>
        <v>8.2881453737543146E-4</v>
      </c>
      <c r="S37" s="2"/>
      <c r="T37" s="2">
        <f>SUM(OSRRefT22_2x_0)</f>
        <v>0</v>
      </c>
      <c r="U37" s="2"/>
      <c r="V37" s="5">
        <f t="shared" si="5"/>
        <v>0</v>
      </c>
      <c r="W37" s="2"/>
      <c r="X37" s="2">
        <f t="shared" si="6"/>
        <v>383.49</v>
      </c>
      <c r="Y37" s="2"/>
      <c r="Z37" s="5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","6362"," - ","ADVERTISING EXPENSE")</f>
        <v xml:space="preserve">          6362 - ADVERTISING EXPENSE</v>
      </c>
      <c r="C38" s="9"/>
      <c r="D38" s="6">
        <v>132.31</v>
      </c>
      <c r="E38" s="3"/>
      <c r="F38" s="7">
        <f t="shared" si="0"/>
        <v>5.3249889322654646E-3</v>
      </c>
      <c r="G38" s="3"/>
      <c r="H38" s="6"/>
      <c r="I38" s="3"/>
      <c r="J38" s="7">
        <f t="shared" si="1"/>
        <v>0</v>
      </c>
      <c r="K38" s="3"/>
      <c r="L38" s="6">
        <f t="shared" si="2"/>
        <v>132.31</v>
      </c>
      <c r="M38" s="3"/>
      <c r="N38" s="7">
        <f t="shared" si="3"/>
        <v>0</v>
      </c>
      <c r="O38" s="9"/>
      <c r="P38" s="6">
        <v>383.49</v>
      </c>
      <c r="Q38" s="3"/>
      <c r="R38" s="7">
        <f t="shared" si="4"/>
        <v>8.2881453737543146E-4</v>
      </c>
      <c r="S38" s="3"/>
      <c r="T38" s="6"/>
      <c r="U38" s="3"/>
      <c r="V38" s="7">
        <f t="shared" si="5"/>
        <v>0</v>
      </c>
      <c r="W38" s="3"/>
      <c r="X38" s="6">
        <f t="shared" si="6"/>
        <v>383.49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0"/>
      <c r="B39" s="11" t="str">
        <f>CONCATENATE("     ","Bank/card Fees                                    ")</f>
        <v xml:space="preserve">     Bank/card Fees                                    </v>
      </c>
      <c r="C39" s="11"/>
      <c r="D39" s="2">
        <f>SUM(OSRRefD22_3x_0)</f>
        <v>39.29</v>
      </c>
      <c r="E39" s="2"/>
      <c r="F39" s="5">
        <f t="shared" si="0"/>
        <v>1.5812774177969171E-3</v>
      </c>
      <c r="G39" s="2"/>
      <c r="H39" s="2">
        <f>SUM(OSRRefH22_3x_0)</f>
        <v>-5189.17</v>
      </c>
      <c r="I39" s="2"/>
      <c r="J39" s="5">
        <f t="shared" si="1"/>
        <v>-0.20777457457457457</v>
      </c>
      <c r="K39" s="2"/>
      <c r="L39" s="2">
        <f t="shared" si="2"/>
        <v>5228.46</v>
      </c>
      <c r="M39" s="2"/>
      <c r="N39" s="5">
        <f t="shared" si="3"/>
        <v>-1.0075715384155848</v>
      </c>
      <c r="O39" s="11"/>
      <c r="P39" s="2">
        <f>SUM(OSRRefP22_3x_0)</f>
        <v>4388.66</v>
      </c>
      <c r="Q39" s="2"/>
      <c r="R39" s="5">
        <f t="shared" si="4"/>
        <v>9.484954516670736E-3</v>
      </c>
      <c r="S39" s="2"/>
      <c r="T39" s="2">
        <f>SUM(OSRRefT22_3x_0)</f>
        <v>872.08</v>
      </c>
      <c r="U39" s="2"/>
      <c r="V39" s="5">
        <f t="shared" si="5"/>
        <v>1.6085258806885778E-3</v>
      </c>
      <c r="W39" s="2"/>
      <c r="X39" s="2">
        <f t="shared" si="6"/>
        <v>3516.58</v>
      </c>
      <c r="Y39" s="2"/>
      <c r="Z39" s="5">
        <f t="shared" si="7"/>
        <v>4.032405283918906</v>
      </c>
    </row>
    <row r="40" spans="1:26" s="69" customFormat="1" ht="15" hidden="1" customHeight="1" outlineLevel="2" x14ac:dyDescent="0.3">
      <c r="A40" s="21"/>
      <c r="B40" s="9" t="str">
        <f>CONCATENATE("          ","6381"," - ","BANK/CREDIT CARD FEES")</f>
        <v xml:space="preserve">          6381 - BANK/CREDIT CARD FEES</v>
      </c>
      <c r="C40" s="9"/>
      <c r="D40" s="6">
        <v>39.29</v>
      </c>
      <c r="E40" s="3"/>
      <c r="F40" s="7">
        <f t="shared" si="0"/>
        <v>1.5812774177969171E-3</v>
      </c>
      <c r="G40" s="3"/>
      <c r="H40" s="6">
        <v>-5189.17</v>
      </c>
      <c r="I40" s="3"/>
      <c r="J40" s="7">
        <f t="shared" si="1"/>
        <v>-0.20777457457457457</v>
      </c>
      <c r="K40" s="3"/>
      <c r="L40" s="6">
        <f t="shared" si="2"/>
        <v>5228.46</v>
      </c>
      <c r="M40" s="3"/>
      <c r="N40" s="7">
        <f t="shared" si="3"/>
        <v>-1.0075715384155848</v>
      </c>
      <c r="O40" s="9"/>
      <c r="P40" s="6">
        <v>4388.66</v>
      </c>
      <c r="Q40" s="3"/>
      <c r="R40" s="7">
        <f t="shared" si="4"/>
        <v>9.484954516670736E-3</v>
      </c>
      <c r="S40" s="3"/>
      <c r="T40" s="6">
        <v>872.08</v>
      </c>
      <c r="U40" s="3"/>
      <c r="V40" s="7">
        <f t="shared" si="5"/>
        <v>1.6085258806885778E-3</v>
      </c>
      <c r="W40" s="3"/>
      <c r="X40" s="6">
        <f t="shared" si="6"/>
        <v>3516.58</v>
      </c>
      <c r="Y40" s="3"/>
      <c r="Z40" s="7">
        <f t="shared" si="7"/>
        <v>4.032405283918906</v>
      </c>
    </row>
    <row r="41" spans="1:26" s="68" customFormat="1" ht="15" customHeight="1" outlineLevel="1" collapsed="1" x14ac:dyDescent="0.3">
      <c r="A41" s="20"/>
      <c r="B41" s="11" t="str">
        <f>CONCATENATE("     ","Freight out/Postage                               ")</f>
        <v xml:space="preserve">     Freight out/Postage                               </v>
      </c>
      <c r="C41" s="11"/>
      <c r="D41" s="2">
        <f>SUM(OSRRefD22_4x_0)</f>
        <v>0</v>
      </c>
      <c r="E41" s="2"/>
      <c r="F41" s="5">
        <f t="shared" si="0"/>
        <v>0</v>
      </c>
      <c r="G41" s="2"/>
      <c r="H41" s="2">
        <f>SUM(OSRRefH22_4x_0)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SUM(OSRRefP22_4x_0)</f>
        <v>0.62</v>
      </c>
      <c r="Q41" s="2"/>
      <c r="R41" s="5">
        <f t="shared" si="4"/>
        <v>1.3399697858425708E-6</v>
      </c>
      <c r="S41" s="2"/>
      <c r="T41" s="2">
        <f>SUM(OSRRefT22_4x_0)</f>
        <v>2.12</v>
      </c>
      <c r="U41" s="2"/>
      <c r="V41" s="5">
        <f t="shared" si="5"/>
        <v>3.9102775743736642E-6</v>
      </c>
      <c r="W41" s="2"/>
      <c r="X41" s="2">
        <f t="shared" si="6"/>
        <v>-1.5</v>
      </c>
      <c r="Y41" s="2"/>
      <c r="Z41" s="5">
        <f t="shared" si="7"/>
        <v>-0.70754716981132071</v>
      </c>
    </row>
    <row r="42" spans="1:26" s="69" customFormat="1" ht="15" hidden="1" customHeight="1" outlineLevel="2" x14ac:dyDescent="0.3">
      <c r="A42" s="21"/>
      <c r="B42" s="9" t="str">
        <f>CONCATENATE("          ","6305"," - ","FREIGHT OUT")</f>
        <v xml:space="preserve">          6305 - FREIGHT OUT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0.62</v>
      </c>
      <c r="Q42" s="3"/>
      <c r="R42" s="7">
        <f t="shared" si="4"/>
        <v>1.3399697858425708E-6</v>
      </c>
      <c r="S42" s="3"/>
      <c r="T42" s="6">
        <v>1.62</v>
      </c>
      <c r="U42" s="3"/>
      <c r="V42" s="7">
        <f t="shared" si="5"/>
        <v>2.9880422973987433E-6</v>
      </c>
      <c r="W42" s="3"/>
      <c r="X42" s="6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1"/>
      <c r="B43" s="9" t="str">
        <f>CONCATENATE("          ","6307"," - ","POSTAGE")</f>
        <v xml:space="preserve">          6307 - POSTAGE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0.5</v>
      </c>
      <c r="U43" s="3"/>
      <c r="V43" s="7">
        <f t="shared" si="5"/>
        <v>9.2223527697492073E-7</v>
      </c>
      <c r="W43" s="3"/>
      <c r="X43" s="6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0"/>
      <c r="B44" s="11" t="str">
        <f>CONCATENATE("     ","Insurance                                         ")</f>
        <v xml:space="preserve">     Insurance                                         </v>
      </c>
      <c r="C44" s="11"/>
      <c r="D44" s="2">
        <f>SUM(OSRRefD22_5x_0)</f>
        <v>-12.25</v>
      </c>
      <c r="E44" s="2"/>
      <c r="F44" s="5">
        <f t="shared" si="0"/>
        <v>-4.9301726566587515E-4</v>
      </c>
      <c r="G44" s="2"/>
      <c r="H44" s="2">
        <f>SUM(OSRRefH22_5x_0)</f>
        <v>62.28</v>
      </c>
      <c r="I44" s="2"/>
      <c r="J44" s="5">
        <f t="shared" si="1"/>
        <v>2.4936936936936936E-3</v>
      </c>
      <c r="K44" s="2"/>
      <c r="L44" s="2">
        <f t="shared" si="2"/>
        <v>-74.53</v>
      </c>
      <c r="M44" s="2"/>
      <c r="N44" s="5">
        <f t="shared" si="3"/>
        <v>-1.1966923570969814</v>
      </c>
      <c r="O44" s="11"/>
      <c r="P44" s="2">
        <f>SUM(OSRRefP22_5x_0)</f>
        <v>421.48</v>
      </c>
      <c r="Q44" s="2"/>
      <c r="R44" s="5">
        <f t="shared" si="4"/>
        <v>9.1092010538213993E-4</v>
      </c>
      <c r="S44" s="2"/>
      <c r="T44" s="2">
        <f>SUM(OSRRefT22_5x_0)</f>
        <v>381.39</v>
      </c>
      <c r="U44" s="2"/>
      <c r="V44" s="5">
        <f t="shared" si="5"/>
        <v>7.0346262457092999E-4</v>
      </c>
      <c r="W44" s="2"/>
      <c r="X44" s="2">
        <f t="shared" si="6"/>
        <v>40.090000000000032</v>
      </c>
      <c r="Y44" s="2"/>
      <c r="Z44" s="5">
        <f t="shared" si="7"/>
        <v>0.10511549857101664</v>
      </c>
    </row>
    <row r="45" spans="1:26" s="69" customFormat="1" ht="15" hidden="1" customHeight="1" outlineLevel="2" x14ac:dyDescent="0.3">
      <c r="A45" s="21"/>
      <c r="B45" s="9" t="str">
        <f>CONCATENATE("          ","6314"," - ","LIABILITY INSURANCE")</f>
        <v xml:space="preserve">          6314 - LIABILITY INSURANCE</v>
      </c>
      <c r="C45" s="9"/>
      <c r="D45" s="6">
        <v>-12.25</v>
      </c>
      <c r="E45" s="3"/>
      <c r="F45" s="7">
        <f t="shared" si="0"/>
        <v>-4.9301726566587515E-4</v>
      </c>
      <c r="G45" s="3"/>
      <c r="H45" s="6">
        <v>62.28</v>
      </c>
      <c r="I45" s="3"/>
      <c r="J45" s="7">
        <f t="shared" si="1"/>
        <v>2.4936936936936936E-3</v>
      </c>
      <c r="K45" s="3"/>
      <c r="L45" s="6">
        <f t="shared" si="2"/>
        <v>-74.53</v>
      </c>
      <c r="M45" s="3"/>
      <c r="N45" s="7">
        <f t="shared" si="3"/>
        <v>-1.1966923570969814</v>
      </c>
      <c r="O45" s="9"/>
      <c r="P45" s="6">
        <v>421.48</v>
      </c>
      <c r="Q45" s="3"/>
      <c r="R45" s="7">
        <f t="shared" si="4"/>
        <v>9.1092010538213993E-4</v>
      </c>
      <c r="S45" s="3"/>
      <c r="T45" s="6">
        <v>381.39</v>
      </c>
      <c r="U45" s="3"/>
      <c r="V45" s="7">
        <f t="shared" si="5"/>
        <v>7.0346262457092999E-4</v>
      </c>
      <c r="W45" s="3"/>
      <c r="X45" s="6">
        <f t="shared" si="6"/>
        <v>40.090000000000032</v>
      </c>
      <c r="Y45" s="3"/>
      <c r="Z45" s="7">
        <f t="shared" si="7"/>
        <v>0.10511549857101664</v>
      </c>
    </row>
    <row r="46" spans="1:26" s="68" customFormat="1" ht="15" customHeight="1" outlineLevel="1" collapsed="1" x14ac:dyDescent="0.3">
      <c r="A46" s="20"/>
      <c r="B46" s="11" t="str">
        <f>CONCATENATE("     ","Rent                                              ")</f>
        <v xml:space="preserve">     Rent                                              </v>
      </c>
      <c r="C46" s="11"/>
      <c r="D46" s="2">
        <f>SUM(OSRRefD22_6x_0)</f>
        <v>0</v>
      </c>
      <c r="E46" s="2"/>
      <c r="F46" s="5">
        <f t="shared" si="0"/>
        <v>0</v>
      </c>
      <c r="G46" s="2"/>
      <c r="H46" s="2">
        <f>SUM(OSRRefH22_6x_0)</f>
        <v>800</v>
      </c>
      <c r="I46" s="2"/>
      <c r="J46" s="5">
        <f t="shared" si="1"/>
        <v>3.2032032032032032E-2</v>
      </c>
      <c r="K46" s="2"/>
      <c r="L46" s="2">
        <f t="shared" si="2"/>
        <v>-800</v>
      </c>
      <c r="M46" s="2"/>
      <c r="N46" s="5">
        <f t="shared" si="3"/>
        <v>-1</v>
      </c>
      <c r="O46" s="11"/>
      <c r="P46" s="2">
        <f>SUM(OSRRefP22_6x_0)</f>
        <v>8800</v>
      </c>
      <c r="Q46" s="2"/>
      <c r="R46" s="5">
        <f t="shared" si="4"/>
        <v>1.901892599260423E-2</v>
      </c>
      <c r="S46" s="2"/>
      <c r="T46" s="2">
        <f>SUM(OSRRefT22_6x_0)</f>
        <v>9600</v>
      </c>
      <c r="U46" s="2"/>
      <c r="V46" s="5">
        <f t="shared" si="5"/>
        <v>1.7706917317918479E-2</v>
      </c>
      <c r="W46" s="2"/>
      <c r="X46" s="2">
        <f t="shared" si="6"/>
        <v>-800</v>
      </c>
      <c r="Y46" s="2"/>
      <c r="Z46" s="5">
        <f t="shared" si="7"/>
        <v>-8.3333333333333329E-2</v>
      </c>
    </row>
    <row r="47" spans="1:26" s="69" customFormat="1" ht="15" hidden="1" customHeight="1" outlineLevel="2" x14ac:dyDescent="0.3">
      <c r="A47" s="21"/>
      <c r="B47" s="9" t="str">
        <f>CONCATENATE("          ","6273"," - ","RENT")</f>
        <v xml:space="preserve">          6273 - RENT</v>
      </c>
      <c r="C47" s="9"/>
      <c r="D47" s="6">
        <v>0</v>
      </c>
      <c r="E47" s="3"/>
      <c r="F47" s="7">
        <f t="shared" si="0"/>
        <v>0</v>
      </c>
      <c r="G47" s="3"/>
      <c r="H47" s="6">
        <v>800</v>
      </c>
      <c r="I47" s="3"/>
      <c r="J47" s="7">
        <f t="shared" si="1"/>
        <v>3.2032032032032032E-2</v>
      </c>
      <c r="K47" s="3"/>
      <c r="L47" s="6">
        <f t="shared" si="2"/>
        <v>-800</v>
      </c>
      <c r="M47" s="3"/>
      <c r="N47" s="7">
        <f t="shared" si="3"/>
        <v>-1</v>
      </c>
      <c r="O47" s="9"/>
      <c r="P47" s="6">
        <v>8800</v>
      </c>
      <c r="Q47" s="3"/>
      <c r="R47" s="7">
        <f t="shared" si="4"/>
        <v>1.901892599260423E-2</v>
      </c>
      <c r="S47" s="3"/>
      <c r="T47" s="6">
        <v>9600</v>
      </c>
      <c r="U47" s="3"/>
      <c r="V47" s="7">
        <f t="shared" si="5"/>
        <v>1.7706917317918479E-2</v>
      </c>
      <c r="W47" s="3"/>
      <c r="X47" s="6">
        <f t="shared" si="6"/>
        <v>-800</v>
      </c>
      <c r="Y47" s="3"/>
      <c r="Z47" s="7">
        <f t="shared" si="7"/>
        <v>-8.3333333333333329E-2</v>
      </c>
    </row>
    <row r="48" spans="1:26" s="68" customFormat="1" ht="15" customHeight="1" outlineLevel="1" collapsed="1" x14ac:dyDescent="0.3">
      <c r="A48" s="20"/>
      <c r="B48" s="11" t="str">
        <f>CONCATENATE("     ","Repair and Maintenance                            ")</f>
        <v xml:space="preserve">     Repair and Maintenance                            </v>
      </c>
      <c r="C48" s="11"/>
      <c r="D48" s="2">
        <f>SUM(OSRRefD22_7x_0)</f>
        <v>0</v>
      </c>
      <c r="E48" s="2"/>
      <c r="F48" s="5">
        <f t="shared" si="0"/>
        <v>0</v>
      </c>
      <c r="G48" s="2"/>
      <c r="H48" s="2">
        <f>SUM(OSRRefH22_7x_0)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SUM(OSRRefP22_7x_0)</f>
        <v>131139.97</v>
      </c>
      <c r="Q48" s="2"/>
      <c r="R48" s="5">
        <f t="shared" si="4"/>
        <v>0.28342515728435674</v>
      </c>
      <c r="S48" s="2"/>
      <c r="T48" s="2">
        <f>SUM(OSRRefT22_7x_0)</f>
        <v>154932.13</v>
      </c>
      <c r="U48" s="2"/>
      <c r="V48" s="5">
        <f t="shared" si="5"/>
        <v>0.28576775164572887</v>
      </c>
      <c r="W48" s="2"/>
      <c r="X48" s="2">
        <f t="shared" si="6"/>
        <v>-23792.160000000003</v>
      </c>
      <c r="Y48" s="2"/>
      <c r="Z48" s="5">
        <f t="shared" si="7"/>
        <v>-0.15356504812784799</v>
      </c>
    </row>
    <row r="49" spans="1:26" s="69" customFormat="1" ht="15" hidden="1" customHeight="1" outlineLevel="2" x14ac:dyDescent="0.3">
      <c r="A49" s="21"/>
      <c r="B49" s="9" t="str">
        <f>CONCATENATE("          ","6371"," - ","COMPUTER SOFTWARE MAINTENANCE")</f>
        <v xml:space="preserve">          6371 - COMPUTER SOFTWARE MAINTENANCE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7583.7</v>
      </c>
      <c r="Q49" s="3"/>
      <c r="R49" s="7">
        <f t="shared" si="4"/>
        <v>1.6390207846603718E-2</v>
      </c>
      <c r="S49" s="3"/>
      <c r="T49" s="6">
        <v>5436</v>
      </c>
      <c r="U49" s="3"/>
      <c r="V49" s="7">
        <f t="shared" si="5"/>
        <v>1.0026541931271338E-2</v>
      </c>
      <c r="W49" s="3"/>
      <c r="X49" s="6">
        <f t="shared" si="6"/>
        <v>2147.6999999999998</v>
      </c>
      <c r="Y49" s="3"/>
      <c r="Z49" s="7">
        <f t="shared" si="7"/>
        <v>0.39508830022075053</v>
      </c>
    </row>
    <row r="50" spans="1:26" s="69" customFormat="1" ht="15" hidden="1" customHeight="1" outlineLevel="2" x14ac:dyDescent="0.3">
      <c r="A50" s="21"/>
      <c r="B50" s="9" t="str">
        <f>CONCATENATE("          ","6372"," - ","COMPUTER HARDWARE MAINTENANCE")</f>
        <v xml:space="preserve">          6372 - COMPUTER HARDWARE MAINTENANCE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1555.65</v>
      </c>
      <c r="Q50" s="3"/>
      <c r="R50" s="7">
        <f t="shared" si="4"/>
        <v>3.3621354795903154E-3</v>
      </c>
      <c r="S50" s="3"/>
      <c r="T50" s="6"/>
      <c r="U50" s="3"/>
      <c r="V50" s="7">
        <f t="shared" si="5"/>
        <v>0</v>
      </c>
      <c r="W50" s="3"/>
      <c r="X50" s="6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","6373"," - ","MAINTENANCE CONTRACTS")</f>
        <v xml:space="preserve">          6373 - MAINTENANCE CONTRACTS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122000.62</v>
      </c>
      <c r="Q51" s="3"/>
      <c r="R51" s="7">
        <f t="shared" si="4"/>
        <v>0.26367281395816267</v>
      </c>
      <c r="S51" s="3"/>
      <c r="T51" s="6">
        <v>142934.13</v>
      </c>
      <c r="U51" s="3"/>
      <c r="V51" s="7">
        <f t="shared" si="5"/>
        <v>0.26363779393943865</v>
      </c>
      <c r="W51" s="3"/>
      <c r="X51" s="6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1"/>
      <c r="B52" s="9" t="str">
        <f>CONCATENATE("          ","6375"," - ","OUTSIDE REPAIRS &amp; MAINTENANCE")</f>
        <v xml:space="preserve">          6375 - OUTSIDE REPAIRS &amp; MAINTENANCE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/>
      <c r="Q52" s="3"/>
      <c r="R52" s="7">
        <f t="shared" si="4"/>
        <v>0</v>
      </c>
      <c r="S52" s="3"/>
      <c r="T52" s="6">
        <v>6562</v>
      </c>
      <c r="U52" s="3"/>
      <c r="V52" s="7">
        <f t="shared" si="5"/>
        <v>1.2103415775018859E-2</v>
      </c>
      <c r="W52" s="3"/>
      <c r="X52" s="6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0"/>
      <c r="B53" s="11" t="str">
        <f>CONCATENATE("     ","Subscriptions &amp; Dues                              ")</f>
        <v xml:space="preserve">     Subscriptions &amp; Dues                              </v>
      </c>
      <c r="C53" s="11"/>
      <c r="D53" s="2">
        <f>SUM(OSRRefD22_8x_0)</f>
        <v>0</v>
      </c>
      <c r="E53" s="2"/>
      <c r="F53" s="5">
        <f t="shared" si="0"/>
        <v>0</v>
      </c>
      <c r="G53" s="2"/>
      <c r="H53" s="2">
        <f>SUM(OSRRefH22_8x_0)</f>
        <v>0</v>
      </c>
      <c r="I53" s="2"/>
      <c r="J53" s="5">
        <f t="shared" si="1"/>
        <v>0</v>
      </c>
      <c r="K53" s="2"/>
      <c r="L53" s="2">
        <f t="shared" si="2"/>
        <v>0</v>
      </c>
      <c r="M53" s="2"/>
      <c r="N53" s="5">
        <f t="shared" si="3"/>
        <v>0</v>
      </c>
      <c r="O53" s="11"/>
      <c r="P53" s="2">
        <f>SUM(OSRRefP22_8x_0)</f>
        <v>935</v>
      </c>
      <c r="Q53" s="2"/>
      <c r="R53" s="5">
        <f t="shared" si="4"/>
        <v>2.0207608867141994E-3</v>
      </c>
      <c r="S53" s="2"/>
      <c r="T53" s="2">
        <f>SUM(OSRRefT22_8x_0)</f>
        <v>0</v>
      </c>
      <c r="U53" s="2"/>
      <c r="V53" s="5">
        <f t="shared" si="5"/>
        <v>0</v>
      </c>
      <c r="W53" s="2"/>
      <c r="X53" s="2">
        <f t="shared" si="6"/>
        <v>935</v>
      </c>
      <c r="Y53" s="2"/>
      <c r="Z53" s="5">
        <f t="shared" si="7"/>
        <v>0</v>
      </c>
    </row>
    <row r="54" spans="1:26" s="69" customFormat="1" ht="15" hidden="1" customHeight="1" outlineLevel="2" x14ac:dyDescent="0.3">
      <c r="A54" s="21"/>
      <c r="B54" s="9" t="str">
        <f>CONCATENATE("          ","6258"," - ","MEMBERSHIP DUES")</f>
        <v xml:space="preserve">          6258 - MEMBERSHIP DUES</v>
      </c>
      <c r="C54" s="9"/>
      <c r="D54" s="6"/>
      <c r="E54" s="3"/>
      <c r="F54" s="7">
        <f t="shared" si="0"/>
        <v>0</v>
      </c>
      <c r="G54" s="3"/>
      <c r="H54" s="6"/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>
        <v>935</v>
      </c>
      <c r="Q54" s="3"/>
      <c r="R54" s="7">
        <f t="shared" si="4"/>
        <v>2.0207608867141994E-3</v>
      </c>
      <c r="S54" s="3"/>
      <c r="T54" s="6"/>
      <c r="U54" s="3"/>
      <c r="V54" s="7">
        <f t="shared" si="5"/>
        <v>0</v>
      </c>
      <c r="W54" s="3"/>
      <c r="X54" s="6">
        <f t="shared" si="6"/>
        <v>935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0"/>
      <c r="B55" s="11" t="str">
        <f>CONCATENATE("     ","Supplies                                          ")</f>
        <v xml:space="preserve">     Supplies                                          </v>
      </c>
      <c r="C55" s="11"/>
      <c r="D55" s="2">
        <f>SUM(OSRRefD22_9x_0)</f>
        <v>2371.86</v>
      </c>
      <c r="E55" s="2"/>
      <c r="F55" s="5">
        <f t="shared" si="0"/>
        <v>9.5458606672837773E-2</v>
      </c>
      <c r="G55" s="2"/>
      <c r="H55" s="2">
        <f>SUM(OSRRefH22_9x_0)</f>
        <v>4251.9399999999996</v>
      </c>
      <c r="I55" s="2"/>
      <c r="J55" s="5">
        <f t="shared" si="1"/>
        <v>0.17024784784784783</v>
      </c>
      <c r="K55" s="2"/>
      <c r="L55" s="2">
        <f t="shared" si="2"/>
        <v>-1880.0799999999995</v>
      </c>
      <c r="M55" s="2"/>
      <c r="N55" s="5">
        <f t="shared" si="3"/>
        <v>-0.44216992713914111</v>
      </c>
      <c r="O55" s="11"/>
      <c r="P55" s="2">
        <f>SUM(OSRRefP22_9x_0)</f>
        <v>48738.77</v>
      </c>
      <c r="Q55" s="2"/>
      <c r="R55" s="5">
        <f t="shared" si="4"/>
        <v>0.10533625677279082</v>
      </c>
      <c r="S55" s="2"/>
      <c r="T55" s="2">
        <f>SUM(OSRRefT22_9x_0)</f>
        <v>53091.53</v>
      </c>
      <c r="U55" s="2"/>
      <c r="V55" s="5">
        <f t="shared" si="5"/>
        <v>9.792576374914462E-2</v>
      </c>
      <c r="W55" s="2"/>
      <c r="X55" s="2">
        <f t="shared" si="6"/>
        <v>-4352.760000000002</v>
      </c>
      <c r="Y55" s="2"/>
      <c r="Z55" s="5">
        <f t="shared" si="7"/>
        <v>-8.1985958965582681E-2</v>
      </c>
    </row>
    <row r="56" spans="1:26" s="69" customFormat="1" ht="15" hidden="1" customHeight="1" outlineLevel="2" x14ac:dyDescent="0.3">
      <c r="A56" s="21"/>
      <c r="B56" s="9" t="str">
        <f>CONCATENATE("          ","6241"," - ","OFFICE EXPENSE")</f>
        <v xml:space="preserve">          6241 - OFFICE EXPENSE</v>
      </c>
      <c r="C56" s="9"/>
      <c r="D56" s="6">
        <v>2371.86</v>
      </c>
      <c r="E56" s="3"/>
      <c r="F56" s="7">
        <f t="shared" si="0"/>
        <v>9.5458606672837773E-2</v>
      </c>
      <c r="G56" s="3"/>
      <c r="H56" s="6">
        <v>4251.9399999999996</v>
      </c>
      <c r="I56" s="3"/>
      <c r="J56" s="7">
        <f t="shared" si="1"/>
        <v>0.17024784784784783</v>
      </c>
      <c r="K56" s="3"/>
      <c r="L56" s="6">
        <f t="shared" si="2"/>
        <v>-1880.0799999999995</v>
      </c>
      <c r="M56" s="3"/>
      <c r="N56" s="7">
        <f t="shared" si="3"/>
        <v>-0.44216992713914111</v>
      </c>
      <c r="O56" s="9"/>
      <c r="P56" s="6">
        <v>48713.42</v>
      </c>
      <c r="Q56" s="3"/>
      <c r="R56" s="7">
        <f t="shared" si="4"/>
        <v>0.10528146929848259</v>
      </c>
      <c r="S56" s="3"/>
      <c r="T56" s="6">
        <v>53091.53</v>
      </c>
      <c r="U56" s="3"/>
      <c r="V56" s="7">
        <f t="shared" si="5"/>
        <v>9.792576374914462E-2</v>
      </c>
      <c r="W56" s="3"/>
      <c r="X56" s="6">
        <f t="shared" si="6"/>
        <v>-4378.1100000000006</v>
      </c>
      <c r="Y56" s="3"/>
      <c r="Z56" s="7">
        <f t="shared" si="7"/>
        <v>-8.2463436258099945E-2</v>
      </c>
    </row>
    <row r="57" spans="1:26" s="69" customFormat="1" ht="15" hidden="1" customHeight="1" outlineLevel="2" x14ac:dyDescent="0.3">
      <c r="A57" s="21"/>
      <c r="B57" s="9" t="str">
        <f>CONCATENATE("          ","6247"," - ","STORE SUPPLIES")</f>
        <v xml:space="preserve">          6247 - STORE SUPPLIES</v>
      </c>
      <c r="C57" s="9"/>
      <c r="D57" s="6"/>
      <c r="E57" s="3"/>
      <c r="F57" s="7">
        <f t="shared" si="0"/>
        <v>0</v>
      </c>
      <c r="G57" s="3"/>
      <c r="H57" s="6"/>
      <c r="I57" s="3"/>
      <c r="J57" s="7">
        <f t="shared" si="1"/>
        <v>0</v>
      </c>
      <c r="K57" s="3"/>
      <c r="L57" s="6">
        <f t="shared" si="2"/>
        <v>0</v>
      </c>
      <c r="M57" s="3"/>
      <c r="N57" s="7">
        <f t="shared" si="3"/>
        <v>0</v>
      </c>
      <c r="O57" s="9"/>
      <c r="P57" s="6">
        <v>25.35</v>
      </c>
      <c r="Q57" s="3"/>
      <c r="R57" s="7">
        <f t="shared" si="4"/>
        <v>5.4787474308240601E-5</v>
      </c>
      <c r="S57" s="3"/>
      <c r="T57" s="6"/>
      <c r="U57" s="3"/>
      <c r="V57" s="7">
        <f t="shared" si="5"/>
        <v>0</v>
      </c>
      <c r="W57" s="3"/>
      <c r="X57" s="6">
        <f t="shared" si="6"/>
        <v>25.35</v>
      </c>
      <c r="Y57" s="3"/>
      <c r="Z57" s="7">
        <f t="shared" si="7"/>
        <v>0</v>
      </c>
    </row>
    <row r="58" spans="1:26" s="68" customFormat="1" ht="15" customHeight="1" outlineLevel="1" collapsed="1" x14ac:dyDescent="0.3">
      <c r="A58" s="20"/>
      <c r="B58" s="11" t="str">
        <f>CONCATENATE("     ","Telephone/Data Lines                              ")</f>
        <v xml:space="preserve">     Telephone/Data Lines                              </v>
      </c>
      <c r="C58" s="11"/>
      <c r="D58" s="2">
        <f>SUM(OSRRefD22_10x_0)</f>
        <v>42</v>
      </c>
      <c r="E58" s="2"/>
      <c r="F58" s="5">
        <f t="shared" si="0"/>
        <v>1.6903449108544291E-3</v>
      </c>
      <c r="G58" s="2"/>
      <c r="H58" s="2">
        <f>SUM(OSRRefH22_10x_0)</f>
        <v>86.65</v>
      </c>
      <c r="I58" s="2"/>
      <c r="J58" s="5">
        <f t="shared" si="1"/>
        <v>3.4694694694694696E-3</v>
      </c>
      <c r="K58" s="2"/>
      <c r="L58" s="2">
        <f t="shared" si="2"/>
        <v>-44.650000000000006</v>
      </c>
      <c r="M58" s="2"/>
      <c r="N58" s="5">
        <f t="shared" si="3"/>
        <v>-0.5152914021927294</v>
      </c>
      <c r="O58" s="11"/>
      <c r="P58" s="2">
        <f>SUM(OSRRefP22_10x_0)</f>
        <v>506.49</v>
      </c>
      <c r="Q58" s="2"/>
      <c r="R58" s="5">
        <f t="shared" si="4"/>
        <v>1.0946472529538771E-3</v>
      </c>
      <c r="S58" s="2"/>
      <c r="T58" s="2">
        <f>SUM(OSRRefT22_10x_0)</f>
        <v>1973.38</v>
      </c>
      <c r="U58" s="2"/>
      <c r="V58" s="5">
        <f t="shared" si="5"/>
        <v>3.6398413017535384E-3</v>
      </c>
      <c r="W58" s="2"/>
      <c r="X58" s="2">
        <f t="shared" si="6"/>
        <v>-1466.89</v>
      </c>
      <c r="Y58" s="2"/>
      <c r="Z58" s="5">
        <f t="shared" si="7"/>
        <v>-0.74333883995986583</v>
      </c>
    </row>
    <row r="59" spans="1:26" s="69" customFormat="1" ht="15" hidden="1" customHeight="1" outlineLevel="2" x14ac:dyDescent="0.3">
      <c r="A59" s="21"/>
      <c r="B59" s="9" t="str">
        <f>CONCATENATE("          ","6309"," - ","TELEPHONE")</f>
        <v xml:space="preserve">          6309 - TELEPHONE</v>
      </c>
      <c r="C59" s="9"/>
      <c r="D59" s="6">
        <v>42</v>
      </c>
      <c r="E59" s="3"/>
      <c r="F59" s="7">
        <f t="shared" si="0"/>
        <v>1.6903449108544291E-3</v>
      </c>
      <c r="G59" s="3"/>
      <c r="H59" s="6">
        <v>86.65</v>
      </c>
      <c r="I59" s="3"/>
      <c r="J59" s="7">
        <f t="shared" si="1"/>
        <v>3.4694694694694696E-3</v>
      </c>
      <c r="K59" s="3"/>
      <c r="L59" s="6">
        <f t="shared" si="2"/>
        <v>-44.650000000000006</v>
      </c>
      <c r="M59" s="3"/>
      <c r="N59" s="7">
        <f t="shared" si="3"/>
        <v>-0.5152914021927294</v>
      </c>
      <c r="O59" s="9"/>
      <c r="P59" s="6">
        <v>506.49</v>
      </c>
      <c r="Q59" s="3"/>
      <c r="R59" s="7">
        <f t="shared" si="4"/>
        <v>1.0946472529538771E-3</v>
      </c>
      <c r="S59" s="3"/>
      <c r="T59" s="6">
        <v>1973.38</v>
      </c>
      <c r="U59" s="3"/>
      <c r="V59" s="7">
        <f t="shared" si="5"/>
        <v>3.6398413017535384E-3</v>
      </c>
      <c r="W59" s="3"/>
      <c r="X59" s="6">
        <f t="shared" si="6"/>
        <v>-1466.89</v>
      </c>
      <c r="Y59" s="3"/>
      <c r="Z59" s="7">
        <f t="shared" si="7"/>
        <v>-0.74333883995986583</v>
      </c>
    </row>
    <row r="60" spans="1:26" s="68" customFormat="1" ht="15" customHeight="1" outlineLevel="1" collapsed="1" x14ac:dyDescent="0.3">
      <c r="A60" s="20"/>
      <c r="B60" s="11" t="str">
        <f>CONCATENATE("     ","Training                                          ")</f>
        <v xml:space="preserve">     Training                                          </v>
      </c>
      <c r="C60" s="11"/>
      <c r="D60" s="2">
        <f>SUM(OSRRefD22_11x_0)</f>
        <v>0</v>
      </c>
      <c r="E60" s="2"/>
      <c r="F60" s="5">
        <f t="shared" si="0"/>
        <v>0</v>
      </c>
      <c r="G60" s="2"/>
      <c r="H60" s="2">
        <f>SUM(OSRRefH22_11x_0)</f>
        <v>0</v>
      </c>
      <c r="I60" s="2"/>
      <c r="J60" s="5">
        <f t="shared" si="1"/>
        <v>0</v>
      </c>
      <c r="K60" s="2"/>
      <c r="L60" s="2">
        <f t="shared" si="2"/>
        <v>0</v>
      </c>
      <c r="M60" s="2"/>
      <c r="N60" s="5">
        <f t="shared" si="3"/>
        <v>0</v>
      </c>
      <c r="O60" s="11"/>
      <c r="P60" s="2">
        <f>SUM(OSRRefP22_11x_0)</f>
        <v>2000</v>
      </c>
      <c r="Q60" s="2"/>
      <c r="R60" s="5">
        <f t="shared" si="4"/>
        <v>4.3224831801373254E-3</v>
      </c>
      <c r="S60" s="2"/>
      <c r="T60" s="2">
        <f>SUM(OSRRefT22_11x_0)</f>
        <v>0</v>
      </c>
      <c r="U60" s="2"/>
      <c r="V60" s="5">
        <f t="shared" si="5"/>
        <v>0</v>
      </c>
      <c r="W60" s="2"/>
      <c r="X60" s="2">
        <f t="shared" si="6"/>
        <v>2000</v>
      </c>
      <c r="Y60" s="2"/>
      <c r="Z60" s="5">
        <f t="shared" si="7"/>
        <v>0</v>
      </c>
    </row>
    <row r="61" spans="1:26" s="69" customFormat="1" ht="15" hidden="1" customHeight="1" outlineLevel="2" x14ac:dyDescent="0.3">
      <c r="A61" s="21"/>
      <c r="B61" s="9" t="str">
        <f>CONCATENATE("          ","6376"," - ","TRAINING")</f>
        <v xml:space="preserve">          6376 - TRAINING</v>
      </c>
      <c r="C61" s="9"/>
      <c r="D61" s="6"/>
      <c r="E61" s="3"/>
      <c r="F61" s="7">
        <f t="shared" si="0"/>
        <v>0</v>
      </c>
      <c r="G61" s="3"/>
      <c r="H61" s="6"/>
      <c r="I61" s="3"/>
      <c r="J61" s="7">
        <f t="shared" si="1"/>
        <v>0</v>
      </c>
      <c r="K61" s="3"/>
      <c r="L61" s="6">
        <f t="shared" si="2"/>
        <v>0</v>
      </c>
      <c r="M61" s="3"/>
      <c r="N61" s="7">
        <f t="shared" si="3"/>
        <v>0</v>
      </c>
      <c r="O61" s="9"/>
      <c r="P61" s="6">
        <v>2000</v>
      </c>
      <c r="Q61" s="3"/>
      <c r="R61" s="7">
        <f t="shared" si="4"/>
        <v>4.3224831801373254E-3</v>
      </c>
      <c r="S61" s="3"/>
      <c r="T61" s="6"/>
      <c r="U61" s="3"/>
      <c r="V61" s="7">
        <f t="shared" si="5"/>
        <v>0</v>
      </c>
      <c r="W61" s="3"/>
      <c r="X61" s="6">
        <f t="shared" si="6"/>
        <v>2000</v>
      </c>
      <c r="Y61" s="3"/>
      <c r="Z61" s="7">
        <f t="shared" si="7"/>
        <v>0</v>
      </c>
    </row>
    <row r="62" spans="1:26" s="64" customFormat="1" ht="15" customHeight="1" x14ac:dyDescent="0.3">
      <c r="A62" s="37"/>
      <c r="B62" s="37"/>
      <c r="C62" s="37"/>
      <c r="D62" s="2"/>
      <c r="E62" s="2"/>
      <c r="F62" s="5"/>
      <c r="G62" s="2"/>
      <c r="H62" s="2"/>
      <c r="I62" s="2"/>
      <c r="J62" s="5"/>
      <c r="K62" s="2"/>
      <c r="L62" s="2"/>
      <c r="M62" s="2"/>
      <c r="N62" s="5"/>
      <c r="O62" s="37"/>
      <c r="P62" s="2"/>
      <c r="Q62" s="2"/>
      <c r="R62" s="5"/>
      <c r="S62" s="2"/>
      <c r="T62" s="2"/>
      <c r="U62" s="2"/>
      <c r="V62" s="5"/>
      <c r="W62" s="2"/>
      <c r="X62" s="2"/>
      <c r="Y62" s="2"/>
      <c r="Z62" s="5"/>
    </row>
    <row r="63" spans="1:26" s="62" customFormat="1" ht="15" customHeight="1" collapsed="1" x14ac:dyDescent="0.3">
      <c r="A63" s="13"/>
      <c r="B63" s="27" t="s">
        <v>290</v>
      </c>
      <c r="C63" s="13"/>
      <c r="D63" s="8">
        <f>SUM(OSRRefD25x_0)</f>
        <v>384.94</v>
      </c>
      <c r="E63" s="8"/>
      <c r="F63" s="14">
        <f>IF(D$12=0,0,D63/D$12)</f>
        <v>1.5492413571054856E-2</v>
      </c>
      <c r="G63" s="8"/>
      <c r="H63" s="8">
        <f>SUM(OSRRefH25x_0)</f>
        <v>2753.29</v>
      </c>
      <c r="I63" s="8"/>
      <c r="J63" s="14">
        <f>IF(H$12=0,0,H63/H$12)</f>
        <v>0.11024184184184184</v>
      </c>
      <c r="K63" s="8"/>
      <c r="L63" s="8">
        <f>+D63-H63</f>
        <v>-2368.35</v>
      </c>
      <c r="M63" s="8"/>
      <c r="N63" s="14">
        <f>IF(H63=0,0,L63/H63)</f>
        <v>-0.86018908287902829</v>
      </c>
      <c r="O63" s="13"/>
      <c r="P63" s="8">
        <f>SUM(OSRRefP25x_0)</f>
        <v>12953.58</v>
      </c>
      <c r="Q63" s="8"/>
      <c r="R63" s="14">
        <f>IF(P$12=0,0,P63/P$12)</f>
        <v>2.7995815836281628E-2</v>
      </c>
      <c r="S63" s="8"/>
      <c r="T63" s="8">
        <f>SUM(OSRRefT25x_0)</f>
        <v>5251.64</v>
      </c>
      <c r="U63" s="8"/>
      <c r="V63" s="14">
        <f>IF(T$12=0,0,T63/T$12)</f>
        <v>9.6864953399451465E-3</v>
      </c>
      <c r="W63" s="8"/>
      <c r="X63" s="8">
        <f>+P63-T63</f>
        <v>7701.94</v>
      </c>
      <c r="Y63" s="8"/>
      <c r="Z63" s="14">
        <f>IF(T63=0,0,X63/T63)</f>
        <v>1.466578059425246</v>
      </c>
    </row>
    <row r="64" spans="1:26" s="69" customFormat="1" ht="15" hidden="1" customHeight="1" outlineLevel="1" x14ac:dyDescent="0.3">
      <c r="A64" s="47"/>
      <c r="B64" s="9" t="str">
        <f>CONCATENATE("          ","9150"," - ","MISC. INCOME")</f>
        <v xml:space="preserve">          9150 - MISC. INCOME</v>
      </c>
      <c r="C64" s="9"/>
      <c r="D64" s="3">
        <f>--384.94</f>
        <v>384.94</v>
      </c>
      <c r="E64" s="3"/>
      <c r="F64" s="26">
        <f>IF(D$12=0,0,D64/D$12)</f>
        <v>1.5492413571054856E-2</v>
      </c>
      <c r="G64" s="3"/>
      <c r="H64" s="3">
        <f>--2753.29</f>
        <v>2753.29</v>
      </c>
      <c r="I64" s="3"/>
      <c r="J64" s="26">
        <f>IF(H$12=0,0,H64/H$12)</f>
        <v>0.11024184184184184</v>
      </c>
      <c r="K64" s="3"/>
      <c r="L64" s="3">
        <f>+D64-H64</f>
        <v>-2368.35</v>
      </c>
      <c r="M64" s="3"/>
      <c r="N64" s="26">
        <f>IF(H64=0,0,L64/H64)</f>
        <v>-0.86018908287902829</v>
      </c>
      <c r="O64" s="9"/>
      <c r="P64" s="3">
        <f>--12953.58</f>
        <v>12953.58</v>
      </c>
      <c r="Q64" s="3"/>
      <c r="R64" s="26">
        <f>IF(P$12=0,0,P64/P$12)</f>
        <v>2.7995815836281628E-2</v>
      </c>
      <c r="S64" s="3"/>
      <c r="T64" s="3">
        <f>--5251.64</f>
        <v>5251.64</v>
      </c>
      <c r="U64" s="3"/>
      <c r="V64" s="26">
        <f>IF(T$12=0,0,T64/T$12)</f>
        <v>9.6864953399451465E-3</v>
      </c>
      <c r="W64" s="3"/>
      <c r="X64" s="3">
        <f>+P64-T64</f>
        <v>7701.94</v>
      </c>
      <c r="Y64" s="3"/>
      <c r="Z64" s="26">
        <f>IF(T64=0,0,X64/T64)</f>
        <v>1.466578059425246</v>
      </c>
    </row>
    <row r="65" spans="1:26" ht="15" customHeight="1" x14ac:dyDescent="0.3">
      <c r="A65" s="12"/>
      <c r="B65" s="13"/>
      <c r="C65" s="13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O65" s="13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s="62" customFormat="1" ht="15" customHeight="1" x14ac:dyDescent="0.3">
      <c r="A66" s="13"/>
      <c r="B66" s="28" t="s">
        <v>291</v>
      </c>
      <c r="C66" s="28"/>
      <c r="D66" s="22">
        <f>+D17-D19+D63</f>
        <v>3971.6399999999971</v>
      </c>
      <c r="E66" s="15"/>
      <c r="F66" s="24">
        <f>IF(D$12=0,0,D66/D$12)</f>
        <v>0.15984384432728285</v>
      </c>
      <c r="G66" s="15"/>
      <c r="H66" s="22">
        <f>+H17-H19+H63</f>
        <v>10578.43</v>
      </c>
      <c r="I66" s="15"/>
      <c r="J66" s="24">
        <f>IF(H$12=0,0,H66/H$12)</f>
        <v>0.42356076076076077</v>
      </c>
      <c r="K66" s="17"/>
      <c r="L66" s="22">
        <f>+D66-H66</f>
        <v>-6606.7900000000027</v>
      </c>
      <c r="M66" s="17"/>
      <c r="N66" s="24">
        <f>IF(H66=0,0,L66/H66)</f>
        <v>-0.62455298186971053</v>
      </c>
      <c r="O66" s="27"/>
      <c r="P66" s="22">
        <f>+P17-P19+P63</f>
        <v>49225.250000000044</v>
      </c>
      <c r="Q66" s="15"/>
      <c r="R66" s="24">
        <f>IF(P$12=0,0,P66/P$12)</f>
        <v>0.10638765758152753</v>
      </c>
      <c r="S66" s="15"/>
      <c r="T66" s="22">
        <f>+T17-T19+T63</f>
        <v>110484.68999999993</v>
      </c>
      <c r="U66" s="15"/>
      <c r="V66" s="24">
        <f>IF(T$12=0,0,T66/T$12)</f>
        <v>0.20378575736727639</v>
      </c>
      <c r="W66" s="17"/>
      <c r="X66" s="22">
        <f>+P66-T66</f>
        <v>-61259.439999999886</v>
      </c>
      <c r="Y66" s="17"/>
      <c r="Z66" s="24">
        <f>IF(T66=0,0,X66/T66)</f>
        <v>-0.55446089408405752</v>
      </c>
    </row>
    <row r="67" spans="1:26" ht="15" customHeight="1" x14ac:dyDescent="0.3">
      <c r="A67" s="12"/>
      <c r="B67" s="13"/>
      <c r="C67" s="12"/>
      <c r="D67" s="4"/>
      <c r="E67" s="4"/>
      <c r="F67" s="10"/>
      <c r="G67" s="4"/>
      <c r="H67" s="4"/>
      <c r="I67" s="4"/>
      <c r="J67" s="10"/>
      <c r="K67" s="4"/>
      <c r="L67" s="4"/>
      <c r="M67" s="4"/>
      <c r="N67" s="10"/>
      <c r="P67" s="4"/>
      <c r="Q67" s="4"/>
      <c r="R67" s="10"/>
      <c r="S67" s="4"/>
      <c r="T67" s="4"/>
      <c r="U67" s="4"/>
      <c r="V67" s="10"/>
      <c r="W67" s="4"/>
      <c r="X67" s="4"/>
      <c r="Y67" s="4"/>
      <c r="Z67" s="10"/>
    </row>
    <row r="68" spans="1:26" s="62" customFormat="1" ht="15" customHeight="1" x14ac:dyDescent="0.3">
      <c r="A68" s="48"/>
      <c r="B68" s="13" t="s">
        <v>292</v>
      </c>
      <c r="C68" s="13"/>
      <c r="D68" s="8">
        <v>-102569.19</v>
      </c>
      <c r="E68" s="8"/>
      <c r="F68" s="14">
        <f>IF(D$12=0,0,D68/D$12)</f>
        <v>-4.1280311506419283</v>
      </c>
      <c r="G68" s="8"/>
      <c r="H68" s="8">
        <v>39549.519999999997</v>
      </c>
      <c r="I68" s="8"/>
      <c r="J68" s="14">
        <f>IF(H$12=0,0,H68/H$12)</f>
        <v>1.5835643643643642</v>
      </c>
      <c r="K68" s="8"/>
      <c r="L68" s="8">
        <f>+D68-H68</f>
        <v>-142118.71</v>
      </c>
      <c r="M68" s="8"/>
      <c r="N68" s="14">
        <f>IF(H68=0,0,L68/H68)</f>
        <v>-3.5934370379210669</v>
      </c>
      <c r="O68" s="13"/>
      <c r="P68" s="8">
        <v>-53343.75</v>
      </c>
      <c r="Q68" s="8"/>
      <c r="R68" s="14">
        <f>IF(P$12=0,0,P68/P$12)</f>
        <v>-0.11528873107022522</v>
      </c>
      <c r="S68" s="8"/>
      <c r="T68" s="8">
        <v>150067.26</v>
      </c>
      <c r="U68" s="8"/>
      <c r="V68" s="14">
        <f>IF(T$12=0,0,T68/T$12)</f>
        <v>0.27679464218193489</v>
      </c>
      <c r="W68" s="8"/>
      <c r="X68" s="8">
        <f>+P68-T68</f>
        <v>-203411.01</v>
      </c>
      <c r="Y68" s="8"/>
      <c r="Z68" s="14">
        <f>IF(T68=0,0,X68/T68)</f>
        <v>-1.3554656092208253</v>
      </c>
    </row>
    <row r="69" spans="1:26" ht="15" customHeight="1" x14ac:dyDescent="0.3">
      <c r="A69" s="12"/>
      <c r="B69" s="13"/>
      <c r="C69" s="13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O69" s="13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s="62" customFormat="1" ht="15" customHeight="1" x14ac:dyDescent="0.3">
      <c r="A70" s="13"/>
      <c r="B70" s="28" t="s">
        <v>293</v>
      </c>
      <c r="C70" s="28"/>
      <c r="D70" s="29">
        <f>+D66-D68</f>
        <v>106540.83</v>
      </c>
      <c r="E70" s="15"/>
      <c r="F70" s="31">
        <f>IF(D$12=0,0,D70/D$12)</f>
        <v>4.2878749949692114</v>
      </c>
      <c r="G70" s="15"/>
      <c r="H70" s="29">
        <f>+H66-H68</f>
        <v>-28971.089999999997</v>
      </c>
      <c r="I70" s="15"/>
      <c r="J70" s="31">
        <f>IF(H$12=0,0,H70/H$12)</f>
        <v>-1.1600036036036034</v>
      </c>
      <c r="K70" s="17"/>
      <c r="L70" s="29">
        <f>D70-H70</f>
        <v>135511.91999999998</v>
      </c>
      <c r="M70" s="17"/>
      <c r="N70" s="31">
        <f>IF(H70=0,0,L70/H70)</f>
        <v>-4.6774877990438055</v>
      </c>
      <c r="O70" s="27"/>
      <c r="P70" s="29">
        <f>+P66-P68</f>
        <v>102569.00000000004</v>
      </c>
      <c r="Q70" s="15"/>
      <c r="R70" s="31">
        <f>IF(P$12=0,0,P70/P$12)</f>
        <v>0.22167638865175276</v>
      </c>
      <c r="S70" s="15"/>
      <c r="T70" s="29">
        <f>+T66-T68</f>
        <v>-39582.57000000008</v>
      </c>
      <c r="U70" s="15"/>
      <c r="V70" s="31">
        <f>IF(T$12=0,0,T70/T$12)</f>
        <v>-7.3008884814658517E-2</v>
      </c>
      <c r="W70" s="17"/>
      <c r="X70" s="29">
        <f>P70-T70</f>
        <v>142151.57000000012</v>
      </c>
      <c r="Y70" s="17"/>
      <c r="Z70" s="31">
        <f>IF(T70=0,0,X70/T70)</f>
        <v>-3.5912668126400038</v>
      </c>
    </row>
    <row r="71" spans="1:26" ht="15" customHeight="1" x14ac:dyDescent="0.3">
      <c r="A71" s="12"/>
      <c r="B71" s="12"/>
      <c r="C71" s="12"/>
      <c r="D71" s="4"/>
      <c r="E71" s="4"/>
      <c r="F71" s="10"/>
      <c r="G71" s="4"/>
      <c r="H71" s="4"/>
      <c r="I71" s="4"/>
      <c r="J71" s="10"/>
      <c r="K71" s="4"/>
      <c r="L71" s="4"/>
      <c r="M71" s="4"/>
      <c r="N71" s="10"/>
      <c r="P71" s="4"/>
      <c r="Q71" s="4"/>
      <c r="R71" s="10"/>
      <c r="S71" s="4"/>
      <c r="T71" s="4"/>
      <c r="U71" s="4"/>
      <c r="V71" s="10"/>
      <c r="W71" s="4"/>
      <c r="X71" s="4"/>
      <c r="Y71" s="4"/>
      <c r="Z71" s="10"/>
    </row>
    <row r="72" spans="1:26" ht="15" customHeight="1" x14ac:dyDescent="0.3">
      <c r="A72" s="12"/>
      <c r="B72" s="12"/>
      <c r="C72" s="12"/>
      <c r="D72" s="4"/>
      <c r="E72" s="4"/>
      <c r="F72" s="10"/>
      <c r="G72" s="4"/>
      <c r="H72" s="4"/>
      <c r="I72" s="4"/>
      <c r="J72" s="10"/>
      <c r="K72" s="4"/>
      <c r="L72" s="4"/>
      <c r="M72" s="4"/>
      <c r="N72" s="10"/>
      <c r="P72" s="4"/>
      <c r="Q72" s="4"/>
      <c r="R72" s="10"/>
      <c r="S72" s="4"/>
      <c r="T72" s="4"/>
      <c r="U72" s="4"/>
      <c r="V72" s="10"/>
      <c r="W72" s="4"/>
      <c r="X72" s="4"/>
      <c r="Y72" s="4"/>
      <c r="Z72" s="10"/>
    </row>
    <row r="73" spans="1:26" s="62" customFormat="1" ht="15" customHeight="1" x14ac:dyDescent="0.3">
      <c r="A73" s="13"/>
      <c r="B73" s="28" t="s">
        <v>296</v>
      </c>
      <c r="C73" s="28"/>
      <c r="D73" s="30">
        <f>SUM(D70:D72)</f>
        <v>106540.83</v>
      </c>
      <c r="E73" s="15"/>
      <c r="F73" s="35">
        <f>IF(D$12=0,0,D73/D$12)</f>
        <v>4.2878749949692114</v>
      </c>
      <c r="G73" s="15"/>
      <c r="H73" s="30">
        <f>SUM(H70:H72)</f>
        <v>-28971.089999999997</v>
      </c>
      <c r="I73" s="15"/>
      <c r="J73" s="35">
        <f>IF(H$12=0,0,H73/H$12)</f>
        <v>-1.1600036036036034</v>
      </c>
      <c r="K73" s="17"/>
      <c r="L73" s="30">
        <f>+D73-H73</f>
        <v>135511.91999999998</v>
      </c>
      <c r="M73" s="17"/>
      <c r="N73" s="35">
        <f>IF(H73=0,0,L73/H73)</f>
        <v>-4.6774877990438055</v>
      </c>
      <c r="O73" s="27"/>
      <c r="P73" s="30">
        <f>SUM(P70:P72)</f>
        <v>102569.00000000004</v>
      </c>
      <c r="Q73" s="15"/>
      <c r="R73" s="35">
        <f>IF(P$12=0,0,P73/P$12)</f>
        <v>0.22167638865175276</v>
      </c>
      <c r="S73" s="15"/>
      <c r="T73" s="30">
        <f>SUM(T70:T72)</f>
        <v>-39582.57000000008</v>
      </c>
      <c r="U73" s="15"/>
      <c r="V73" s="35">
        <f>IF(T$12=0,0,T73/T$12)</f>
        <v>-7.3008884814658517E-2</v>
      </c>
      <c r="W73" s="17"/>
      <c r="X73" s="30">
        <f>+P73-T73</f>
        <v>142151.57000000012</v>
      </c>
      <c r="Y73" s="17"/>
      <c r="Z73" s="35">
        <f>IF(T73=0,0,X73/T73)</f>
        <v>-3.5912668126400038</v>
      </c>
    </row>
    <row r="74" spans="1:26" ht="15" customHeight="1" x14ac:dyDescent="0.3">
      <c r="A74" s="12"/>
      <c r="C74" s="12"/>
      <c r="D74" s="19"/>
      <c r="E74" s="19"/>
      <c r="G74" s="19"/>
      <c r="H74" s="19"/>
      <c r="I74" s="19"/>
      <c r="J74" s="41"/>
      <c r="K74" s="19"/>
      <c r="L74" s="19"/>
      <c r="M74" s="19"/>
      <c r="P74" s="19"/>
      <c r="Q74" s="19"/>
      <c r="R74" s="41"/>
      <c r="S74" s="19"/>
      <c r="T74" s="19"/>
      <c r="U74" s="19"/>
      <c r="V74" s="41"/>
      <c r="W74" s="19"/>
      <c r="X74" s="19"/>
    </row>
    <row r="75" spans="1:26" ht="15" customHeight="1" x14ac:dyDescent="0.3">
      <c r="A75" s="12"/>
      <c r="B75" s="54">
        <v>44767.815860532406</v>
      </c>
      <c r="D75" s="19"/>
      <c r="E75" s="19"/>
      <c r="G75" s="19"/>
      <c r="H75" s="19"/>
      <c r="I75" s="19"/>
      <c r="J75" s="41"/>
      <c r="K75" s="19"/>
      <c r="L75" s="19"/>
      <c r="M75" s="19"/>
      <c r="P75" s="19"/>
      <c r="Q75" s="19"/>
      <c r="R75" s="41"/>
      <c r="S75" s="19"/>
      <c r="T75" s="19"/>
      <c r="U75" s="19"/>
      <c r="V75" s="41"/>
      <c r="W75" s="19"/>
      <c r="X75" s="19"/>
    </row>
    <row r="76" spans="1:26" ht="15" customHeight="1" x14ac:dyDescent="0.3">
      <c r="A76" s="12"/>
      <c r="B76" s="53" t="s">
        <v>297</v>
      </c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  <row r="77" spans="1:26" ht="15" customHeight="1" x14ac:dyDescent="0.3">
      <c r="A77" s="12"/>
      <c r="B77" s="51"/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D10A-6DBA-1C97-2CFF-6AA1D4546F6F}">
  <sheetPr>
    <tabColor rgb="FF92D050"/>
    <outlinePr summaryBelow="0" summaryRight="0"/>
  </sheetPr>
  <dimension ref="A2:Z7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","501"," - ","ID Card Services")</f>
        <v>Department 501 - ID Card Services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>
        <f>SUM(OSRRefD13x_0)</f>
        <v>24847</v>
      </c>
      <c r="E12" s="8"/>
      <c r="F12" s="14"/>
      <c r="G12" s="8"/>
      <c r="H12" s="8">
        <f>SUM(OSRRefH13x_0)</f>
        <v>24975</v>
      </c>
      <c r="I12" s="8"/>
      <c r="J12" s="14"/>
      <c r="K12" s="8"/>
      <c r="L12" s="8">
        <f>+D12-H12</f>
        <v>-128</v>
      </c>
      <c r="M12" s="8"/>
      <c r="N12" s="14">
        <f>IF(H12=0,0,L12/H12)</f>
        <v>-5.125125125125125E-3</v>
      </c>
      <c r="O12" s="13"/>
      <c r="P12" s="8">
        <f>SUM(OSRRefP13x_0)</f>
        <v>462697</v>
      </c>
      <c r="Q12" s="8"/>
      <c r="R12" s="14"/>
      <c r="S12" s="8"/>
      <c r="T12" s="8">
        <f>SUM(OSRRefT13x_0)</f>
        <v>542161</v>
      </c>
      <c r="U12" s="8"/>
      <c r="V12" s="14"/>
      <c r="W12" s="8"/>
      <c r="X12" s="8">
        <f>+P12-T12</f>
        <v>-79464</v>
      </c>
      <c r="Y12" s="8"/>
      <c r="Z12" s="14">
        <f>IF(T12=0,0,X12/T12)</f>
        <v>-0.1465690080990702</v>
      </c>
    </row>
    <row r="13" spans="1:26" s="69" customFormat="1" ht="15" hidden="1" customHeight="1" outlineLevel="1" x14ac:dyDescent="0.3">
      <c r="A13" s="47"/>
      <c r="B13" s="9" t="str">
        <f>CONCATENATE("          ","4100"," - ","NON-TAXABLE SALES")</f>
        <v xml:space="preserve">          4100 - NON-TAXABLE SALES</v>
      </c>
      <c r="C13" s="9"/>
      <c r="D13" s="3">
        <f>--24847</f>
        <v>24847</v>
      </c>
      <c r="E13" s="3"/>
      <c r="F13" s="26"/>
      <c r="G13" s="3"/>
      <c r="H13" s="3">
        <f>--24975</f>
        <v>24975</v>
      </c>
      <c r="I13" s="3"/>
      <c r="J13" s="26"/>
      <c r="K13" s="3"/>
      <c r="L13" s="3">
        <f>+D13-H13</f>
        <v>-128</v>
      </c>
      <c r="M13" s="3"/>
      <c r="N13" s="26">
        <f>IF(H13=0,0,L13/H13)</f>
        <v>-5.125125125125125E-3</v>
      </c>
      <c r="O13" s="9"/>
      <c r="P13" s="3">
        <f>--462697</f>
        <v>462697</v>
      </c>
      <c r="Q13" s="3"/>
      <c r="R13" s="26"/>
      <c r="S13" s="3"/>
      <c r="T13" s="3">
        <f>--542161</f>
        <v>542161</v>
      </c>
      <c r="U13" s="3"/>
      <c r="V13" s="26"/>
      <c r="W13" s="3"/>
      <c r="X13" s="3">
        <f>+P13-T13</f>
        <v>-79464</v>
      </c>
      <c r="Y13" s="3"/>
      <c r="Z13" s="26">
        <f>IF(T13=0,0,X13/T13)</f>
        <v>-0.1465690080990702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2" customFormat="1" ht="15" customHeight="1" x14ac:dyDescent="0.3">
      <c r="A15" s="13"/>
      <c r="B15" s="27" t="s">
        <v>287</v>
      </c>
      <c r="C15" s="13"/>
      <c r="D15" s="8">
        <f>SUM(0)</f>
        <v>0</v>
      </c>
      <c r="E15" s="8"/>
      <c r="F15" s="14">
        <f>IF(D$12=0,0,D15/D$12)</f>
        <v>0</v>
      </c>
      <c r="G15" s="8"/>
      <c r="H15" s="8">
        <f>SUM(0)</f>
        <v>0</v>
      </c>
      <c r="I15" s="8"/>
      <c r="J15" s="14">
        <f>IF(H$12=0,0,H15/H$12)</f>
        <v>0</v>
      </c>
      <c r="K15" s="8"/>
      <c r="L15" s="8">
        <f>+D15-H15</f>
        <v>0</v>
      </c>
      <c r="M15" s="8"/>
      <c r="N15" s="14">
        <f>IF(H15=0,0,L15/H15)</f>
        <v>0</v>
      </c>
      <c r="O15" s="13"/>
      <c r="P15" s="8">
        <f>SUM(0)</f>
        <v>0</v>
      </c>
      <c r="Q15" s="8"/>
      <c r="R15" s="14">
        <f>IF(P$12=0,0,P15/P$12)</f>
        <v>0</v>
      </c>
      <c r="S15" s="8"/>
      <c r="T15" s="8">
        <f>SUM(0)</f>
        <v>0</v>
      </c>
      <c r="U15" s="8"/>
      <c r="V15" s="14">
        <f>IF(T$12=0,0,T15/T$12)</f>
        <v>0</v>
      </c>
      <c r="W15" s="8"/>
      <c r="X15" s="8">
        <f>+P15-T15</f>
        <v>0</v>
      </c>
      <c r="Y15" s="8"/>
      <c r="Z15" s="14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2" customFormat="1" ht="15" customHeight="1" x14ac:dyDescent="0.3">
      <c r="A17" s="13"/>
      <c r="B17" s="28" t="s">
        <v>288</v>
      </c>
      <c r="C17" s="28"/>
      <c r="D17" s="22">
        <f>D12-D15</f>
        <v>24847</v>
      </c>
      <c r="E17" s="15"/>
      <c r="F17" s="24">
        <f>IF(D$12=0,0,D17/D$12)</f>
        <v>1</v>
      </c>
      <c r="G17" s="15"/>
      <c r="H17" s="22">
        <f>H12-H15</f>
        <v>24975</v>
      </c>
      <c r="I17" s="15"/>
      <c r="J17" s="24">
        <f>IF(H$12=0,0,H17/H$12)</f>
        <v>1</v>
      </c>
      <c r="K17" s="17"/>
      <c r="L17" s="22">
        <f>+D17-H17</f>
        <v>-128</v>
      </c>
      <c r="M17" s="17"/>
      <c r="N17" s="24">
        <f>IF(H17=0,0,L17/H17)</f>
        <v>-5.125125125125125E-3</v>
      </c>
      <c r="O17" s="27"/>
      <c r="P17" s="22">
        <f>P12-P15</f>
        <v>462697</v>
      </c>
      <c r="Q17" s="15"/>
      <c r="R17" s="24">
        <f>IF(P$12=0,0,P17/P$12)</f>
        <v>1</v>
      </c>
      <c r="S17" s="15"/>
      <c r="T17" s="22">
        <f>T12-T15</f>
        <v>542161</v>
      </c>
      <c r="U17" s="15"/>
      <c r="V17" s="24">
        <f>IF(T$12=0,0,T17/T$12)</f>
        <v>1</v>
      </c>
      <c r="W17" s="17"/>
      <c r="X17" s="22">
        <f>+P17-T17</f>
        <v>-79464</v>
      </c>
      <c r="Y17" s="17"/>
      <c r="Z17" s="24">
        <f>IF(T17=0,0,X17/T17)</f>
        <v>-0.1465690080990702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7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2" customFormat="1" ht="15" customHeight="1" x14ac:dyDescent="0.3">
      <c r="A19" s="13"/>
      <c r="B19" s="27" t="s">
        <v>289</v>
      </c>
      <c r="C19" s="13"/>
      <c r="D19" s="23" cm="1">
        <f t="array" ref="D19">SUM(OSRRefD22x_0)</f>
        <v>21260.300000000003</v>
      </c>
      <c r="E19" s="23"/>
      <c r="F19" s="34">
        <f t="shared" ref="F19:F61" si="0">IF(D$12=0,0,D19/D$12)</f>
        <v>0.85564856924377197</v>
      </c>
      <c r="G19" s="23"/>
      <c r="H19" s="23" cm="1">
        <f t="array" ref="H19">SUM(OSRRefH22x_0)</f>
        <v>17149.86</v>
      </c>
      <c r="I19" s="23"/>
      <c r="J19" s="34">
        <f t="shared" ref="J19:J61" si="1">IF(H$12=0,0,H19/H$12)</f>
        <v>0.68668108108108106</v>
      </c>
      <c r="K19" s="8"/>
      <c r="L19" s="23">
        <f t="shared" ref="L19:L61" si="2">+D19-H19</f>
        <v>4110.4400000000023</v>
      </c>
      <c r="M19" s="8"/>
      <c r="N19" s="34">
        <f t="shared" ref="N19:N61" si="3">IF(H19=0,0,L19/H19)</f>
        <v>0.23967775830240026</v>
      </c>
      <c r="O19" s="13"/>
      <c r="P19" s="23" cm="1">
        <f t="array" ref="P19">SUM(OSRRefP22x_0)</f>
        <v>426425.32999999996</v>
      </c>
      <c r="Q19" s="23"/>
      <c r="R19" s="34">
        <f t="shared" ref="R19:R61" si="4">IF(P$12=0,0,P19/P$12)</f>
        <v>0.92160815825475406</v>
      </c>
      <c r="S19" s="23"/>
      <c r="T19" s="23" cm="1">
        <f t="array" ref="T19">SUM(OSRRefT22x_0)</f>
        <v>436927.95000000007</v>
      </c>
      <c r="U19" s="23"/>
      <c r="V19" s="34">
        <f t="shared" ref="V19:V61" si="5">IF(T$12=0,0,T19/T$12)</f>
        <v>0.80590073797266881</v>
      </c>
      <c r="W19" s="8"/>
      <c r="X19" s="23">
        <f t="shared" ref="X19:X61" si="6">+P19-T19</f>
        <v>-10502.620000000112</v>
      </c>
      <c r="Y19" s="8"/>
      <c r="Z19" s="34">
        <f t="shared" ref="Z19:Z61" si="7">IF(T19=0,0,X19/T19)</f>
        <v>-2.4037418526327077E-2</v>
      </c>
    </row>
    <row r="20" spans="1:26" s="68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5665.8600000000006</v>
      </c>
      <c r="E20" s="2"/>
      <c r="F20" s="5">
        <f t="shared" si="0"/>
        <v>0.22802994325270659</v>
      </c>
      <c r="G20" s="2"/>
      <c r="H20" s="2">
        <f>SUM(OSRRefH22_0x_0)</f>
        <v>5094.6000000000013</v>
      </c>
      <c r="I20" s="2"/>
      <c r="J20" s="5">
        <f t="shared" si="1"/>
        <v>0.20398798798798803</v>
      </c>
      <c r="K20" s="2"/>
      <c r="L20" s="2">
        <f t="shared" si="2"/>
        <v>571.25999999999931</v>
      </c>
      <c r="M20" s="2"/>
      <c r="N20" s="5">
        <f t="shared" si="3"/>
        <v>0.11213049110823209</v>
      </c>
      <c r="O20" s="11"/>
      <c r="P20" s="2">
        <f>SUM(OSRRefP22_0x_0)</f>
        <v>52505.51</v>
      </c>
      <c r="Q20" s="2"/>
      <c r="R20" s="5">
        <f t="shared" si="4"/>
        <v>0.11347709191976607</v>
      </c>
      <c r="S20" s="2"/>
      <c r="T20" s="2">
        <f>SUM(OSRRefT22_0x_0)</f>
        <v>51863.28</v>
      </c>
      <c r="U20" s="2"/>
      <c r="V20" s="5">
        <f t="shared" si="5"/>
        <v>9.5660292791255735E-2</v>
      </c>
      <c r="W20" s="2"/>
      <c r="X20" s="2">
        <f t="shared" si="6"/>
        <v>642.2300000000032</v>
      </c>
      <c r="Y20" s="2"/>
      <c r="Z20" s="5">
        <f t="shared" si="7"/>
        <v>1.2383135042750926E-2</v>
      </c>
    </row>
    <row r="21" spans="1:26" s="69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1334</v>
      </c>
      <c r="E21" s="3"/>
      <c r="F21" s="7">
        <f t="shared" si="0"/>
        <v>5.3688574073328769E-2</v>
      </c>
      <c r="G21" s="3"/>
      <c r="H21" s="6">
        <v>984.04</v>
      </c>
      <c r="I21" s="3"/>
      <c r="J21" s="7">
        <f t="shared" si="1"/>
        <v>3.9401001001001003E-2</v>
      </c>
      <c r="K21" s="3"/>
      <c r="L21" s="6">
        <f t="shared" si="2"/>
        <v>349.96000000000004</v>
      </c>
      <c r="M21" s="3"/>
      <c r="N21" s="7">
        <f t="shared" si="3"/>
        <v>0.35563594975813995</v>
      </c>
      <c r="O21" s="9"/>
      <c r="P21" s="6">
        <v>12970.86</v>
      </c>
      <c r="Q21" s="3"/>
      <c r="R21" s="7">
        <f t="shared" si="4"/>
        <v>2.8033162090958016E-2</v>
      </c>
      <c r="S21" s="3"/>
      <c r="T21" s="6">
        <v>12230.81</v>
      </c>
      <c r="U21" s="3"/>
      <c r="V21" s="7">
        <f t="shared" si="5"/>
        <v>2.2559368895955261E-2</v>
      </c>
      <c r="W21" s="3"/>
      <c r="X21" s="6">
        <f t="shared" si="6"/>
        <v>740.05000000000109</v>
      </c>
      <c r="Y21" s="3"/>
      <c r="Z21" s="7">
        <f t="shared" si="7"/>
        <v>6.0507031014299224E-2</v>
      </c>
    </row>
    <row r="22" spans="1:26" s="69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/>
      <c r="E22" s="3"/>
      <c r="F22" s="7">
        <f t="shared" si="0"/>
        <v>0</v>
      </c>
      <c r="G22" s="3"/>
      <c r="H22" s="6">
        <v>81.56</v>
      </c>
      <c r="I22" s="3"/>
      <c r="J22" s="7">
        <f t="shared" si="1"/>
        <v>3.2656656656656659E-3</v>
      </c>
      <c r="K22" s="3"/>
      <c r="L22" s="6">
        <f t="shared" si="2"/>
        <v>-81.56</v>
      </c>
      <c r="M22" s="3"/>
      <c r="N22" s="7">
        <f t="shared" si="3"/>
        <v>-1</v>
      </c>
      <c r="O22" s="9"/>
      <c r="P22" s="6">
        <v>2029.38</v>
      </c>
      <c r="Q22" s="3"/>
      <c r="R22" s="7">
        <f t="shared" si="4"/>
        <v>4.3859804580535424E-3</v>
      </c>
      <c r="S22" s="3"/>
      <c r="T22" s="6">
        <v>975.2</v>
      </c>
      <c r="U22" s="3"/>
      <c r="V22" s="7">
        <f t="shared" si="5"/>
        <v>1.7987276842118855E-3</v>
      </c>
      <c r="W22" s="3"/>
      <c r="X22" s="6">
        <f t="shared" si="6"/>
        <v>1054.18</v>
      </c>
      <c r="Y22" s="3"/>
      <c r="Z22" s="7">
        <f t="shared" si="7"/>
        <v>1.0809885151763741</v>
      </c>
    </row>
    <row r="23" spans="1:26" s="69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2351.8000000000002</v>
      </c>
      <c r="E23" s="3"/>
      <c r="F23" s="7">
        <f t="shared" si="0"/>
        <v>9.4651265746367771E-2</v>
      </c>
      <c r="G23" s="3"/>
      <c r="H23" s="6">
        <v>1207.95</v>
      </c>
      <c r="I23" s="3"/>
      <c r="J23" s="7">
        <f t="shared" si="1"/>
        <v>4.8366366366366369E-2</v>
      </c>
      <c r="K23" s="3"/>
      <c r="L23" s="6">
        <f t="shared" si="2"/>
        <v>1143.8500000000001</v>
      </c>
      <c r="M23" s="3"/>
      <c r="N23" s="7">
        <f t="shared" si="3"/>
        <v>0.94693488968914286</v>
      </c>
      <c r="O23" s="9"/>
      <c r="P23" s="6">
        <v>13527.92</v>
      </c>
      <c r="Q23" s="3"/>
      <c r="R23" s="7">
        <f t="shared" si="4"/>
        <v>2.9237103331121662E-2</v>
      </c>
      <c r="S23" s="3"/>
      <c r="T23" s="6">
        <v>14650.7</v>
      </c>
      <c r="U23" s="3"/>
      <c r="V23" s="7">
        <f t="shared" si="5"/>
        <v>2.7022784744752944E-2</v>
      </c>
      <c r="W23" s="3"/>
      <c r="X23" s="6">
        <f t="shared" si="6"/>
        <v>-1122.7800000000007</v>
      </c>
      <c r="Y23" s="3"/>
      <c r="Z23" s="7">
        <f t="shared" si="7"/>
        <v>-7.6636611219941753E-2</v>
      </c>
    </row>
    <row r="24" spans="1:26" s="69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33.54</v>
      </c>
      <c r="I24" s="3"/>
      <c r="J24" s="7">
        <f t="shared" si="1"/>
        <v>1.3429429429429429E-3</v>
      </c>
      <c r="K24" s="3"/>
      <c r="L24" s="6">
        <f t="shared" si="2"/>
        <v>-33.54</v>
      </c>
      <c r="M24" s="3"/>
      <c r="N24" s="7">
        <f t="shared" si="3"/>
        <v>-1</v>
      </c>
      <c r="O24" s="9"/>
      <c r="P24" s="6">
        <v>401.17</v>
      </c>
      <c r="Q24" s="3"/>
      <c r="R24" s="7">
        <f t="shared" si="4"/>
        <v>8.6702528868784544E-4</v>
      </c>
      <c r="S24" s="3"/>
      <c r="T24" s="6">
        <v>437.82</v>
      </c>
      <c r="U24" s="3"/>
      <c r="V24" s="7">
        <f t="shared" si="5"/>
        <v>8.0754609793031958E-4</v>
      </c>
      <c r="W24" s="3"/>
      <c r="X24" s="6">
        <f t="shared" si="6"/>
        <v>-36.649999999999977</v>
      </c>
      <c r="Y24" s="3"/>
      <c r="Z24" s="7">
        <f t="shared" si="7"/>
        <v>-8.371020053903426E-2</v>
      </c>
    </row>
    <row r="25" spans="1:26" s="69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516.92999999999995</v>
      </c>
      <c r="E25" s="3"/>
      <c r="F25" s="7">
        <f t="shared" si="0"/>
        <v>2.0804523684951903E-2</v>
      </c>
      <c r="G25" s="3"/>
      <c r="H25" s="6">
        <v>1013.88</v>
      </c>
      <c r="I25" s="3"/>
      <c r="J25" s="7">
        <f t="shared" si="1"/>
        <v>4.0595795795795794E-2</v>
      </c>
      <c r="K25" s="3"/>
      <c r="L25" s="6">
        <f t="shared" si="2"/>
        <v>-496.95000000000005</v>
      </c>
      <c r="M25" s="3"/>
      <c r="N25" s="7">
        <f t="shared" si="3"/>
        <v>-0.49014676293052439</v>
      </c>
      <c r="O25" s="9"/>
      <c r="P25" s="6">
        <v>7717.2</v>
      </c>
      <c r="Q25" s="3"/>
      <c r="R25" s="7">
        <f t="shared" si="4"/>
        <v>1.6678733598877882E-2</v>
      </c>
      <c r="S25" s="3"/>
      <c r="T25" s="6">
        <v>9355.51</v>
      </c>
      <c r="U25" s="3"/>
      <c r="V25" s="7">
        <f t="shared" si="5"/>
        <v>1.7255962712183281E-2</v>
      </c>
      <c r="W25" s="3"/>
      <c r="X25" s="6">
        <f t="shared" si="6"/>
        <v>-1638.3100000000004</v>
      </c>
      <c r="Y25" s="3"/>
      <c r="Z25" s="7">
        <f t="shared" si="7"/>
        <v>-0.17511712349193154</v>
      </c>
    </row>
    <row r="26" spans="1:26" s="69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120</v>
      </c>
      <c r="E26" s="3"/>
      <c r="F26" s="7">
        <f t="shared" si="0"/>
        <v>4.8295568881555114E-3</v>
      </c>
      <c r="G26" s="3"/>
      <c r="H26" s="6">
        <v>96.01</v>
      </c>
      <c r="I26" s="3"/>
      <c r="J26" s="7">
        <f t="shared" si="1"/>
        <v>3.8442442442442443E-3</v>
      </c>
      <c r="K26" s="3"/>
      <c r="L26" s="6">
        <f t="shared" si="2"/>
        <v>23.989999999999995</v>
      </c>
      <c r="M26" s="3"/>
      <c r="N26" s="7">
        <f t="shared" si="3"/>
        <v>0.24986980522862196</v>
      </c>
      <c r="O26" s="9"/>
      <c r="P26" s="6">
        <v>515.15</v>
      </c>
      <c r="Q26" s="3"/>
      <c r="R26" s="7">
        <f t="shared" si="4"/>
        <v>1.1133636051238716E-3</v>
      </c>
      <c r="S26" s="3"/>
      <c r="T26" s="6">
        <v>1083.72</v>
      </c>
      <c r="U26" s="3"/>
      <c r="V26" s="7">
        <f t="shared" si="5"/>
        <v>1.9988896287265225E-3</v>
      </c>
      <c r="W26" s="3"/>
      <c r="X26" s="6">
        <f t="shared" si="6"/>
        <v>-568.57000000000005</v>
      </c>
      <c r="Y26" s="3"/>
      <c r="Z26" s="7">
        <f t="shared" si="7"/>
        <v>-0.52464658767947447</v>
      </c>
    </row>
    <row r="27" spans="1:26" s="69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640.03</v>
      </c>
      <c r="E27" s="3"/>
      <c r="F27" s="7">
        <f t="shared" si="0"/>
        <v>2.5758844126051433E-2</v>
      </c>
      <c r="G27" s="3"/>
      <c r="H27" s="6">
        <v>1040.1500000000001</v>
      </c>
      <c r="I27" s="3"/>
      <c r="J27" s="7">
        <f t="shared" si="1"/>
        <v>4.1647647647647654E-2</v>
      </c>
      <c r="K27" s="3"/>
      <c r="L27" s="6">
        <f t="shared" si="2"/>
        <v>-400.12000000000012</v>
      </c>
      <c r="M27" s="3"/>
      <c r="N27" s="7">
        <f t="shared" si="3"/>
        <v>-0.38467528721818978</v>
      </c>
      <c r="O27" s="9"/>
      <c r="P27" s="6">
        <v>8075.08</v>
      </c>
      <c r="Q27" s="3"/>
      <c r="R27" s="7">
        <f t="shared" si="4"/>
        <v>1.7452198739131657E-2</v>
      </c>
      <c r="S27" s="3"/>
      <c r="T27" s="6">
        <v>7280.39</v>
      </c>
      <c r="U27" s="3"/>
      <c r="V27" s="7">
        <f t="shared" si="5"/>
        <v>1.3428464976270886E-2</v>
      </c>
      <c r="W27" s="3"/>
      <c r="X27" s="6">
        <f t="shared" si="6"/>
        <v>794.6899999999996</v>
      </c>
      <c r="Y27" s="3"/>
      <c r="Z27" s="7">
        <f t="shared" si="7"/>
        <v>0.10915486670356939</v>
      </c>
    </row>
    <row r="28" spans="1:26" s="69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443.63</v>
      </c>
      <c r="E28" s="3"/>
      <c r="F28" s="7">
        <f t="shared" si="0"/>
        <v>1.7854469352436914E-2</v>
      </c>
      <c r="G28" s="3"/>
      <c r="H28" s="6">
        <v>637.47</v>
      </c>
      <c r="I28" s="3"/>
      <c r="J28" s="7">
        <f t="shared" si="1"/>
        <v>2.5524324324324325E-2</v>
      </c>
      <c r="K28" s="3"/>
      <c r="L28" s="6">
        <f t="shared" si="2"/>
        <v>-193.84000000000003</v>
      </c>
      <c r="M28" s="3"/>
      <c r="N28" s="7">
        <f t="shared" si="3"/>
        <v>-0.30407705460649131</v>
      </c>
      <c r="O28" s="9"/>
      <c r="P28" s="6">
        <v>5974.64</v>
      </c>
      <c r="Q28" s="3"/>
      <c r="R28" s="7">
        <f t="shared" si="4"/>
        <v>1.2912640453687835E-2</v>
      </c>
      <c r="S28" s="3"/>
      <c r="T28" s="6">
        <v>4228.6000000000004</v>
      </c>
      <c r="U28" s="3"/>
      <c r="V28" s="7">
        <f t="shared" si="5"/>
        <v>7.7995281844323002E-3</v>
      </c>
      <c r="W28" s="3"/>
      <c r="X28" s="6">
        <f t="shared" si="6"/>
        <v>1746.04</v>
      </c>
      <c r="Y28" s="3"/>
      <c r="Z28" s="7">
        <f t="shared" si="7"/>
        <v>0.41291207491841264</v>
      </c>
    </row>
    <row r="29" spans="1:26" s="69" customFormat="1" ht="15" hidden="1" customHeight="1" outlineLevel="2" x14ac:dyDescent="0.3">
      <c r="A29" s="21"/>
      <c r="B29" s="9" t="str">
        <f>CONCATENATE("          ","6156"," - ","EMPLOYEE MEALS")</f>
        <v xml:space="preserve">          6156 - EMPLOYEE MEALS</v>
      </c>
      <c r="C29" s="9"/>
      <c r="D29" s="6">
        <v>259.47000000000003</v>
      </c>
      <c r="E29" s="3"/>
      <c r="F29" s="7">
        <f t="shared" si="0"/>
        <v>1.0442709381414256E-2</v>
      </c>
      <c r="G29" s="3"/>
      <c r="H29" s="6"/>
      <c r="I29" s="3"/>
      <c r="J29" s="7">
        <f t="shared" si="1"/>
        <v>0</v>
      </c>
      <c r="K29" s="3"/>
      <c r="L29" s="6">
        <f t="shared" si="2"/>
        <v>259.47000000000003</v>
      </c>
      <c r="M29" s="3"/>
      <c r="N29" s="7">
        <f t="shared" si="3"/>
        <v>0</v>
      </c>
      <c r="O29" s="9"/>
      <c r="P29" s="6">
        <v>1294.1099999999999</v>
      </c>
      <c r="Q29" s="3"/>
      <c r="R29" s="7">
        <f t="shared" si="4"/>
        <v>2.7968843541237567E-3</v>
      </c>
      <c r="S29" s="3"/>
      <c r="T29" s="6">
        <v>1620.53</v>
      </c>
      <c r="U29" s="3"/>
      <c r="V29" s="7">
        <f t="shared" si="5"/>
        <v>2.9890198667923366E-3</v>
      </c>
      <c r="W29" s="3"/>
      <c r="X29" s="6">
        <f t="shared" si="6"/>
        <v>-326.42000000000007</v>
      </c>
      <c r="Y29" s="3"/>
      <c r="Z29" s="7">
        <f t="shared" si="7"/>
        <v>-0.20142792790013148</v>
      </c>
    </row>
    <row r="30" spans="1:26" s="68" customFormat="1" ht="15" customHeight="1" outlineLevel="1" collapsed="1" x14ac:dyDescent="0.3">
      <c r="A30" s="20"/>
      <c r="B30" s="11" t="str">
        <f>CONCATENATE("     ","*Payroll                                          ")</f>
        <v xml:space="preserve">     *Payroll                                          </v>
      </c>
      <c r="C30" s="11"/>
      <c r="D30" s="2">
        <f>SUM(OSRRefD22_1x_0)</f>
        <v>13021.23</v>
      </c>
      <c r="E30" s="2"/>
      <c r="F30" s="5">
        <f t="shared" si="0"/>
        <v>0.52405642532297658</v>
      </c>
      <c r="G30" s="2"/>
      <c r="H30" s="2">
        <f>SUM(OSRRefH22_1x_0)</f>
        <v>12043.56</v>
      </c>
      <c r="I30" s="2"/>
      <c r="J30" s="5">
        <f t="shared" si="1"/>
        <v>0.48222462462462462</v>
      </c>
      <c r="K30" s="2"/>
      <c r="L30" s="2">
        <f t="shared" si="2"/>
        <v>977.67000000000007</v>
      </c>
      <c r="M30" s="2"/>
      <c r="N30" s="5">
        <f t="shared" si="3"/>
        <v>8.1177824497075626E-2</v>
      </c>
      <c r="O30" s="11"/>
      <c r="P30" s="2">
        <f>SUM(OSRRefP22_1x_0)</f>
        <v>176605.34</v>
      </c>
      <c r="Q30" s="2"/>
      <c r="R30" s="5">
        <f t="shared" si="4"/>
        <v>0.38168680583621678</v>
      </c>
      <c r="S30" s="2"/>
      <c r="T30" s="2">
        <f>SUM(OSRRefT22_1x_0)</f>
        <v>164212.04</v>
      </c>
      <c r="U30" s="2"/>
      <c r="V30" s="5">
        <f t="shared" si="5"/>
        <v>0.30288427238403354</v>
      </c>
      <c r="W30" s="2"/>
      <c r="X30" s="2">
        <f t="shared" si="6"/>
        <v>12393.299999999988</v>
      </c>
      <c r="Y30" s="2"/>
      <c r="Z30" s="5">
        <f t="shared" si="7"/>
        <v>7.5471323539979082E-2</v>
      </c>
    </row>
    <row r="31" spans="1:26" s="69" customFormat="1" ht="15" hidden="1" customHeight="1" outlineLevel="2" x14ac:dyDescent="0.3">
      <c r="A31" s="21"/>
      <c r="B31" s="9" t="str">
        <f>CONCATENATE("          ","6001"," - ","ADMINISTRATIVE SALARIES")</f>
        <v xml:space="preserve">          6001 - ADMINISTRATIVE SALARIES</v>
      </c>
      <c r="C31" s="9"/>
      <c r="D31" s="6">
        <v>1397.47</v>
      </c>
      <c r="E31" s="3"/>
      <c r="F31" s="7">
        <f t="shared" si="0"/>
        <v>5.6243007204089028E-2</v>
      </c>
      <c r="G31" s="3"/>
      <c r="H31" s="6">
        <v>3583.28</v>
      </c>
      <c r="I31" s="3"/>
      <c r="J31" s="7">
        <f t="shared" si="1"/>
        <v>0.14347467467467467</v>
      </c>
      <c r="K31" s="3"/>
      <c r="L31" s="6">
        <f t="shared" si="2"/>
        <v>-2185.8100000000004</v>
      </c>
      <c r="M31" s="3"/>
      <c r="N31" s="7">
        <f t="shared" si="3"/>
        <v>-0.6100025674800742</v>
      </c>
      <c r="O31" s="9"/>
      <c r="P31" s="6">
        <v>52790.66</v>
      </c>
      <c r="Q31" s="3"/>
      <c r="R31" s="7">
        <f t="shared" si="4"/>
        <v>0.11409336995917416</v>
      </c>
      <c r="S31" s="3"/>
      <c r="T31" s="6">
        <v>51528.44</v>
      </c>
      <c r="U31" s="3"/>
      <c r="V31" s="7">
        <f t="shared" si="5"/>
        <v>9.5042690270971175E-2</v>
      </c>
      <c r="W31" s="3"/>
      <c r="X31" s="6">
        <f t="shared" si="6"/>
        <v>1262.2200000000012</v>
      </c>
      <c r="Y31" s="3"/>
      <c r="Z31" s="7">
        <f t="shared" si="7"/>
        <v>2.4495598935267614E-2</v>
      </c>
    </row>
    <row r="32" spans="1:26" s="69" customFormat="1" ht="15" hidden="1" customHeight="1" outlineLevel="2" x14ac:dyDescent="0.3">
      <c r="A32" s="21"/>
      <c r="B32" s="9" t="str">
        <f>CONCATENATE("          ","6002"," - ","STAFF SALARIES")</f>
        <v xml:space="preserve">          6002 - STAFF SALARIES</v>
      </c>
      <c r="C32" s="9"/>
      <c r="D32" s="6">
        <v>1550.4</v>
      </c>
      <c r="E32" s="3"/>
      <c r="F32" s="7">
        <f t="shared" si="0"/>
        <v>6.2397874994969217E-2</v>
      </c>
      <c r="G32" s="3"/>
      <c r="H32" s="6">
        <v>2582.3000000000002</v>
      </c>
      <c r="I32" s="3"/>
      <c r="J32" s="7">
        <f t="shared" si="1"/>
        <v>0.1033953953953954</v>
      </c>
      <c r="K32" s="3"/>
      <c r="L32" s="6">
        <f t="shared" si="2"/>
        <v>-1031.9000000000001</v>
      </c>
      <c r="M32" s="3"/>
      <c r="N32" s="7">
        <f t="shared" si="3"/>
        <v>-0.39960500329163923</v>
      </c>
      <c r="O32" s="9"/>
      <c r="P32" s="6">
        <v>21806.97</v>
      </c>
      <c r="Q32" s="3"/>
      <c r="R32" s="7">
        <f t="shared" si="4"/>
        <v>4.7130130517379624E-2</v>
      </c>
      <c r="S32" s="3"/>
      <c r="T32" s="6">
        <v>28372.28</v>
      </c>
      <c r="U32" s="3"/>
      <c r="V32" s="7">
        <f t="shared" si="5"/>
        <v>5.2331835008420008E-2</v>
      </c>
      <c r="W32" s="3"/>
      <c r="X32" s="6">
        <f t="shared" si="6"/>
        <v>-6565.3099999999977</v>
      </c>
      <c r="Y32" s="3"/>
      <c r="Z32" s="7">
        <f t="shared" si="7"/>
        <v>-0.2313987455361359</v>
      </c>
    </row>
    <row r="33" spans="1:26" s="69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>
        <v>3312.2</v>
      </c>
      <c r="E33" s="3"/>
      <c r="F33" s="7">
        <f t="shared" si="0"/>
        <v>0.13330381937457236</v>
      </c>
      <c r="G33" s="3"/>
      <c r="H33" s="6"/>
      <c r="I33" s="3"/>
      <c r="J33" s="7">
        <f t="shared" si="1"/>
        <v>0</v>
      </c>
      <c r="K33" s="3"/>
      <c r="L33" s="6">
        <f t="shared" si="2"/>
        <v>3312.2</v>
      </c>
      <c r="M33" s="3"/>
      <c r="N33" s="7">
        <f t="shared" si="3"/>
        <v>0</v>
      </c>
      <c r="O33" s="9"/>
      <c r="P33" s="6">
        <v>20014.52</v>
      </c>
      <c r="Q33" s="3"/>
      <c r="R33" s="7">
        <f t="shared" si="4"/>
        <v>4.3256213029261054E-2</v>
      </c>
      <c r="S33" s="3"/>
      <c r="T33" s="6"/>
      <c r="U33" s="3"/>
      <c r="V33" s="7">
        <f t="shared" si="5"/>
        <v>0</v>
      </c>
      <c r="W33" s="3"/>
      <c r="X33" s="6">
        <f t="shared" si="6"/>
        <v>20014.52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>
        <v>3131.91</v>
      </c>
      <c r="E34" s="3"/>
      <c r="F34" s="7">
        <f t="shared" si="0"/>
        <v>0.12604781261319273</v>
      </c>
      <c r="G34" s="3"/>
      <c r="H34" s="6">
        <v>5877.98</v>
      </c>
      <c r="I34" s="3"/>
      <c r="J34" s="7">
        <f t="shared" si="1"/>
        <v>0.23535455455455453</v>
      </c>
      <c r="K34" s="3"/>
      <c r="L34" s="6">
        <f t="shared" si="2"/>
        <v>-2746.0699999999997</v>
      </c>
      <c r="M34" s="3"/>
      <c r="N34" s="7">
        <f t="shared" si="3"/>
        <v>-0.46717920101803678</v>
      </c>
      <c r="O34" s="9"/>
      <c r="P34" s="6">
        <v>60021.41</v>
      </c>
      <c r="Q34" s="3"/>
      <c r="R34" s="7">
        <f t="shared" si="4"/>
        <v>0.12972076758656315</v>
      </c>
      <c r="S34" s="3"/>
      <c r="T34" s="6">
        <v>76121.66</v>
      </c>
      <c r="U34" s="3"/>
      <c r="V34" s="7">
        <f t="shared" si="5"/>
        <v>0.1404041603877815</v>
      </c>
      <c r="W34" s="3"/>
      <c r="X34" s="6">
        <f t="shared" si="6"/>
        <v>-16100.25</v>
      </c>
      <c r="Y34" s="3"/>
      <c r="Z34" s="7">
        <f t="shared" si="7"/>
        <v>-0.21150681685081485</v>
      </c>
    </row>
    <row r="35" spans="1:26" s="69" customFormat="1" ht="15" hidden="1" customHeight="1" outlineLevel="2" x14ac:dyDescent="0.3">
      <c r="A35" s="21"/>
      <c r="B35" s="9" t="str">
        <f>CONCATENATE("          ","6007"," - ","STUDENT HOURLY")</f>
        <v xml:space="preserve">          6007 - STUDENT HOURLY</v>
      </c>
      <c r="C35" s="9"/>
      <c r="D35" s="6">
        <v>3629.25</v>
      </c>
      <c r="E35" s="3"/>
      <c r="F35" s="7">
        <f t="shared" si="0"/>
        <v>0.14606391113615325</v>
      </c>
      <c r="G35" s="3"/>
      <c r="H35" s="6"/>
      <c r="I35" s="3"/>
      <c r="J35" s="7">
        <f t="shared" si="1"/>
        <v>0</v>
      </c>
      <c r="K35" s="3"/>
      <c r="L35" s="6">
        <f t="shared" si="2"/>
        <v>3629.25</v>
      </c>
      <c r="M35" s="3"/>
      <c r="N35" s="7">
        <f t="shared" si="3"/>
        <v>0</v>
      </c>
      <c r="O35" s="9"/>
      <c r="P35" s="6">
        <v>21807.56</v>
      </c>
      <c r="Q35" s="3"/>
      <c r="R35" s="7">
        <f t="shared" si="4"/>
        <v>4.7131405649917767E-2</v>
      </c>
      <c r="S35" s="3"/>
      <c r="T35" s="6">
        <v>4277.78</v>
      </c>
      <c r="U35" s="3"/>
      <c r="V35" s="7">
        <f t="shared" si="5"/>
        <v>7.8902392462755523E-3</v>
      </c>
      <c r="W35" s="3"/>
      <c r="X35" s="6">
        <f t="shared" si="6"/>
        <v>17529.780000000002</v>
      </c>
      <c r="Y35" s="3"/>
      <c r="Z35" s="7">
        <f t="shared" si="7"/>
        <v>4.0978685205877827</v>
      </c>
    </row>
    <row r="36" spans="1:26" s="69" customFormat="1" ht="15" hidden="1" customHeight="1" outlineLevel="2" x14ac:dyDescent="0.3">
      <c r="A36" s="21"/>
      <c r="B36" s="9" t="str">
        <f>CONCATENATE("          ","6008"," - ","STUDENT HOURLY-FICA EXEMPT")</f>
        <v xml:space="preserve">          6008 - STUDENT HOURLY-FICA EXEMPT</v>
      </c>
      <c r="C36" s="9"/>
      <c r="D36" s="6"/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164.22</v>
      </c>
      <c r="Q36" s="3"/>
      <c r="R36" s="7">
        <f t="shared" si="4"/>
        <v>3.5491909392107576E-4</v>
      </c>
      <c r="S36" s="3"/>
      <c r="T36" s="6">
        <v>3911.88</v>
      </c>
      <c r="U36" s="3"/>
      <c r="V36" s="7">
        <f t="shared" si="5"/>
        <v>7.2153474705853064E-3</v>
      </c>
      <c r="W36" s="3"/>
      <c r="X36" s="6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0"/>
      <c r="B37" s="11" t="str">
        <f>CONCATENATE("     ","Advertising/Promo                                 ")</f>
        <v xml:space="preserve">     Advertising/Promo                                 </v>
      </c>
      <c r="C37" s="11"/>
      <c r="D37" s="2">
        <f>SUM(OSRRefD22_2x_0)</f>
        <v>132.31</v>
      </c>
      <c r="E37" s="2"/>
      <c r="F37" s="5">
        <f t="shared" si="0"/>
        <v>5.3249889322654646E-3</v>
      </c>
      <c r="G37" s="2"/>
      <c r="H37" s="2">
        <f>SUM(OSRRefH22_2x_0)</f>
        <v>0</v>
      </c>
      <c r="I37" s="2"/>
      <c r="J37" s="5">
        <f t="shared" si="1"/>
        <v>0</v>
      </c>
      <c r="K37" s="2"/>
      <c r="L37" s="2">
        <f t="shared" si="2"/>
        <v>132.31</v>
      </c>
      <c r="M37" s="2"/>
      <c r="N37" s="5">
        <f t="shared" si="3"/>
        <v>0</v>
      </c>
      <c r="O37" s="11"/>
      <c r="P37" s="2">
        <f>SUM(OSRRefP22_2x_0)</f>
        <v>383.49</v>
      </c>
      <c r="Q37" s="2"/>
      <c r="R37" s="5">
        <f t="shared" si="4"/>
        <v>8.2881453737543146E-4</v>
      </c>
      <c r="S37" s="2"/>
      <c r="T37" s="2">
        <f>SUM(OSRRefT22_2x_0)</f>
        <v>0</v>
      </c>
      <c r="U37" s="2"/>
      <c r="V37" s="5">
        <f t="shared" si="5"/>
        <v>0</v>
      </c>
      <c r="W37" s="2"/>
      <c r="X37" s="2">
        <f t="shared" si="6"/>
        <v>383.49</v>
      </c>
      <c r="Y37" s="2"/>
      <c r="Z37" s="5">
        <f t="shared" si="7"/>
        <v>0</v>
      </c>
    </row>
    <row r="38" spans="1:26" s="69" customFormat="1" ht="15" hidden="1" customHeight="1" outlineLevel="2" x14ac:dyDescent="0.3">
      <c r="A38" s="21"/>
      <c r="B38" s="9" t="str">
        <f>CONCATENATE("          ","6362"," - ","ADVERTISING EXPENSE")</f>
        <v xml:space="preserve">          6362 - ADVERTISING EXPENSE</v>
      </c>
      <c r="C38" s="9"/>
      <c r="D38" s="6">
        <v>132.31</v>
      </c>
      <c r="E38" s="3"/>
      <c r="F38" s="7">
        <f t="shared" si="0"/>
        <v>5.3249889322654646E-3</v>
      </c>
      <c r="G38" s="3"/>
      <c r="H38" s="6"/>
      <c r="I38" s="3"/>
      <c r="J38" s="7">
        <f t="shared" si="1"/>
        <v>0</v>
      </c>
      <c r="K38" s="3"/>
      <c r="L38" s="6">
        <f t="shared" si="2"/>
        <v>132.31</v>
      </c>
      <c r="M38" s="3"/>
      <c r="N38" s="7">
        <f t="shared" si="3"/>
        <v>0</v>
      </c>
      <c r="O38" s="9"/>
      <c r="P38" s="6">
        <v>383.49</v>
      </c>
      <c r="Q38" s="3"/>
      <c r="R38" s="7">
        <f t="shared" si="4"/>
        <v>8.2881453737543146E-4</v>
      </c>
      <c r="S38" s="3"/>
      <c r="T38" s="6"/>
      <c r="U38" s="3"/>
      <c r="V38" s="7">
        <f t="shared" si="5"/>
        <v>0</v>
      </c>
      <c r="W38" s="3"/>
      <c r="X38" s="6">
        <f t="shared" si="6"/>
        <v>383.49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0"/>
      <c r="B39" s="11" t="str">
        <f>CONCATENATE("     ","Bank/card Fees                                    ")</f>
        <v xml:space="preserve">     Bank/card Fees                                    </v>
      </c>
      <c r="C39" s="11"/>
      <c r="D39" s="2">
        <f>SUM(OSRRefD22_3x_0)</f>
        <v>39.29</v>
      </c>
      <c r="E39" s="2"/>
      <c r="F39" s="5">
        <f t="shared" si="0"/>
        <v>1.5812774177969171E-3</v>
      </c>
      <c r="G39" s="2"/>
      <c r="H39" s="2">
        <f>SUM(OSRRefH22_3x_0)</f>
        <v>-5189.17</v>
      </c>
      <c r="I39" s="2"/>
      <c r="J39" s="5">
        <f t="shared" si="1"/>
        <v>-0.20777457457457457</v>
      </c>
      <c r="K39" s="2"/>
      <c r="L39" s="2">
        <f t="shared" si="2"/>
        <v>5228.46</v>
      </c>
      <c r="M39" s="2"/>
      <c r="N39" s="5">
        <f t="shared" si="3"/>
        <v>-1.0075715384155848</v>
      </c>
      <c r="O39" s="11"/>
      <c r="P39" s="2">
        <f>SUM(OSRRefP22_3x_0)</f>
        <v>4388.66</v>
      </c>
      <c r="Q39" s="2"/>
      <c r="R39" s="5">
        <f t="shared" si="4"/>
        <v>9.484954516670736E-3</v>
      </c>
      <c r="S39" s="2"/>
      <c r="T39" s="2">
        <f>SUM(OSRRefT22_3x_0)</f>
        <v>872.08</v>
      </c>
      <c r="U39" s="2"/>
      <c r="V39" s="5">
        <f t="shared" si="5"/>
        <v>1.6085258806885778E-3</v>
      </c>
      <c r="W39" s="2"/>
      <c r="X39" s="2">
        <f t="shared" si="6"/>
        <v>3516.58</v>
      </c>
      <c r="Y39" s="2"/>
      <c r="Z39" s="5">
        <f t="shared" si="7"/>
        <v>4.032405283918906</v>
      </c>
    </row>
    <row r="40" spans="1:26" s="69" customFormat="1" ht="15" hidden="1" customHeight="1" outlineLevel="2" x14ac:dyDescent="0.3">
      <c r="A40" s="21"/>
      <c r="B40" s="9" t="str">
        <f>CONCATENATE("          ","6381"," - ","BANK/CREDIT CARD FEES")</f>
        <v xml:space="preserve">          6381 - BANK/CREDIT CARD FEES</v>
      </c>
      <c r="C40" s="9"/>
      <c r="D40" s="6">
        <v>39.29</v>
      </c>
      <c r="E40" s="3"/>
      <c r="F40" s="7">
        <f t="shared" si="0"/>
        <v>1.5812774177969171E-3</v>
      </c>
      <c r="G40" s="3"/>
      <c r="H40" s="6">
        <v>-5189.17</v>
      </c>
      <c r="I40" s="3"/>
      <c r="J40" s="7">
        <f t="shared" si="1"/>
        <v>-0.20777457457457457</v>
      </c>
      <c r="K40" s="3"/>
      <c r="L40" s="6">
        <f t="shared" si="2"/>
        <v>5228.46</v>
      </c>
      <c r="M40" s="3"/>
      <c r="N40" s="7">
        <f t="shared" si="3"/>
        <v>-1.0075715384155848</v>
      </c>
      <c r="O40" s="9"/>
      <c r="P40" s="6">
        <v>4388.66</v>
      </c>
      <c r="Q40" s="3"/>
      <c r="R40" s="7">
        <f t="shared" si="4"/>
        <v>9.484954516670736E-3</v>
      </c>
      <c r="S40" s="3"/>
      <c r="T40" s="6">
        <v>872.08</v>
      </c>
      <c r="U40" s="3"/>
      <c r="V40" s="7">
        <f t="shared" si="5"/>
        <v>1.6085258806885778E-3</v>
      </c>
      <c r="W40" s="3"/>
      <c r="X40" s="6">
        <f t="shared" si="6"/>
        <v>3516.58</v>
      </c>
      <c r="Y40" s="3"/>
      <c r="Z40" s="7">
        <f t="shared" si="7"/>
        <v>4.032405283918906</v>
      </c>
    </row>
    <row r="41" spans="1:26" s="68" customFormat="1" ht="15" customHeight="1" outlineLevel="1" collapsed="1" x14ac:dyDescent="0.3">
      <c r="A41" s="20"/>
      <c r="B41" s="11" t="str">
        <f>CONCATENATE("     ","Freight out/Postage                               ")</f>
        <v xml:space="preserve">     Freight out/Postage                               </v>
      </c>
      <c r="C41" s="11"/>
      <c r="D41" s="2">
        <f>SUM(OSRRefD22_4x_0)</f>
        <v>0</v>
      </c>
      <c r="E41" s="2"/>
      <c r="F41" s="5">
        <f t="shared" si="0"/>
        <v>0</v>
      </c>
      <c r="G41" s="2"/>
      <c r="H41" s="2">
        <f>SUM(OSRRefH22_4x_0)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SUM(OSRRefP22_4x_0)</f>
        <v>0.62</v>
      </c>
      <c r="Q41" s="2"/>
      <c r="R41" s="5">
        <f t="shared" si="4"/>
        <v>1.3399697858425708E-6</v>
      </c>
      <c r="S41" s="2"/>
      <c r="T41" s="2">
        <f>SUM(OSRRefT22_4x_0)</f>
        <v>2.12</v>
      </c>
      <c r="U41" s="2"/>
      <c r="V41" s="5">
        <f t="shared" si="5"/>
        <v>3.9102775743736642E-6</v>
      </c>
      <c r="W41" s="2"/>
      <c r="X41" s="2">
        <f t="shared" si="6"/>
        <v>-1.5</v>
      </c>
      <c r="Y41" s="2"/>
      <c r="Z41" s="5">
        <f t="shared" si="7"/>
        <v>-0.70754716981132071</v>
      </c>
    </row>
    <row r="42" spans="1:26" s="69" customFormat="1" ht="15" hidden="1" customHeight="1" outlineLevel="2" x14ac:dyDescent="0.3">
      <c r="A42" s="21"/>
      <c r="B42" s="9" t="str">
        <f>CONCATENATE("          ","6305"," - ","FREIGHT OUT")</f>
        <v xml:space="preserve">          6305 - FREIGHT OUT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0.62</v>
      </c>
      <c r="Q42" s="3"/>
      <c r="R42" s="7">
        <f t="shared" si="4"/>
        <v>1.3399697858425708E-6</v>
      </c>
      <c r="S42" s="3"/>
      <c r="T42" s="6">
        <v>1.62</v>
      </c>
      <c r="U42" s="3"/>
      <c r="V42" s="7">
        <f t="shared" si="5"/>
        <v>2.9880422973987433E-6</v>
      </c>
      <c r="W42" s="3"/>
      <c r="X42" s="6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1"/>
      <c r="B43" s="9" t="str">
        <f>CONCATENATE("          ","6307"," - ","POSTAGE")</f>
        <v xml:space="preserve">          6307 - POSTAGE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0.5</v>
      </c>
      <c r="U43" s="3"/>
      <c r="V43" s="7">
        <f t="shared" si="5"/>
        <v>9.2223527697492073E-7</v>
      </c>
      <c r="W43" s="3"/>
      <c r="X43" s="6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0"/>
      <c r="B44" s="11" t="str">
        <f>CONCATENATE("     ","Insurance                                         ")</f>
        <v xml:space="preserve">     Insurance                                         </v>
      </c>
      <c r="C44" s="11"/>
      <c r="D44" s="2">
        <f>SUM(OSRRefD22_5x_0)</f>
        <v>-12.25</v>
      </c>
      <c r="E44" s="2"/>
      <c r="F44" s="5">
        <f t="shared" si="0"/>
        <v>-4.9301726566587515E-4</v>
      </c>
      <c r="G44" s="2"/>
      <c r="H44" s="2">
        <f>SUM(OSRRefH22_5x_0)</f>
        <v>62.28</v>
      </c>
      <c r="I44" s="2"/>
      <c r="J44" s="5">
        <f t="shared" si="1"/>
        <v>2.4936936936936936E-3</v>
      </c>
      <c r="K44" s="2"/>
      <c r="L44" s="2">
        <f t="shared" si="2"/>
        <v>-74.53</v>
      </c>
      <c r="M44" s="2"/>
      <c r="N44" s="5">
        <f t="shared" si="3"/>
        <v>-1.1966923570969814</v>
      </c>
      <c r="O44" s="11"/>
      <c r="P44" s="2">
        <f>SUM(OSRRefP22_5x_0)</f>
        <v>421.48</v>
      </c>
      <c r="Q44" s="2"/>
      <c r="R44" s="5">
        <f t="shared" si="4"/>
        <v>9.1092010538213993E-4</v>
      </c>
      <c r="S44" s="2"/>
      <c r="T44" s="2">
        <f>SUM(OSRRefT22_5x_0)</f>
        <v>381.39</v>
      </c>
      <c r="U44" s="2"/>
      <c r="V44" s="5">
        <f t="shared" si="5"/>
        <v>7.0346262457092999E-4</v>
      </c>
      <c r="W44" s="2"/>
      <c r="X44" s="2">
        <f t="shared" si="6"/>
        <v>40.090000000000032</v>
      </c>
      <c r="Y44" s="2"/>
      <c r="Z44" s="5">
        <f t="shared" si="7"/>
        <v>0.10511549857101664</v>
      </c>
    </row>
    <row r="45" spans="1:26" s="69" customFormat="1" ht="15" hidden="1" customHeight="1" outlineLevel="2" x14ac:dyDescent="0.3">
      <c r="A45" s="21"/>
      <c r="B45" s="9" t="str">
        <f>CONCATENATE("          ","6314"," - ","LIABILITY INSURANCE")</f>
        <v xml:space="preserve">          6314 - LIABILITY INSURANCE</v>
      </c>
      <c r="C45" s="9"/>
      <c r="D45" s="6">
        <v>-12.25</v>
      </c>
      <c r="E45" s="3"/>
      <c r="F45" s="7">
        <f t="shared" si="0"/>
        <v>-4.9301726566587515E-4</v>
      </c>
      <c r="G45" s="3"/>
      <c r="H45" s="6">
        <v>62.28</v>
      </c>
      <c r="I45" s="3"/>
      <c r="J45" s="7">
        <f t="shared" si="1"/>
        <v>2.4936936936936936E-3</v>
      </c>
      <c r="K45" s="3"/>
      <c r="L45" s="6">
        <f t="shared" si="2"/>
        <v>-74.53</v>
      </c>
      <c r="M45" s="3"/>
      <c r="N45" s="7">
        <f t="shared" si="3"/>
        <v>-1.1966923570969814</v>
      </c>
      <c r="O45" s="9"/>
      <c r="P45" s="6">
        <v>421.48</v>
      </c>
      <c r="Q45" s="3"/>
      <c r="R45" s="7">
        <f t="shared" si="4"/>
        <v>9.1092010538213993E-4</v>
      </c>
      <c r="S45" s="3"/>
      <c r="T45" s="6">
        <v>381.39</v>
      </c>
      <c r="U45" s="3"/>
      <c r="V45" s="7">
        <f t="shared" si="5"/>
        <v>7.0346262457092999E-4</v>
      </c>
      <c r="W45" s="3"/>
      <c r="X45" s="6">
        <f t="shared" si="6"/>
        <v>40.090000000000032</v>
      </c>
      <c r="Y45" s="3"/>
      <c r="Z45" s="7">
        <f t="shared" si="7"/>
        <v>0.10511549857101664</v>
      </c>
    </row>
    <row r="46" spans="1:26" s="68" customFormat="1" ht="15" customHeight="1" outlineLevel="1" collapsed="1" x14ac:dyDescent="0.3">
      <c r="A46" s="20"/>
      <c r="B46" s="11" t="str">
        <f>CONCATENATE("     ","Rent                                              ")</f>
        <v xml:space="preserve">     Rent                                              </v>
      </c>
      <c r="C46" s="11"/>
      <c r="D46" s="2">
        <f>SUM(OSRRefD22_6x_0)</f>
        <v>0</v>
      </c>
      <c r="E46" s="2"/>
      <c r="F46" s="5">
        <f t="shared" si="0"/>
        <v>0</v>
      </c>
      <c r="G46" s="2"/>
      <c r="H46" s="2">
        <f>SUM(OSRRefH22_6x_0)</f>
        <v>800</v>
      </c>
      <c r="I46" s="2"/>
      <c r="J46" s="5">
        <f t="shared" si="1"/>
        <v>3.2032032032032032E-2</v>
      </c>
      <c r="K46" s="2"/>
      <c r="L46" s="2">
        <f t="shared" si="2"/>
        <v>-800</v>
      </c>
      <c r="M46" s="2"/>
      <c r="N46" s="5">
        <f t="shared" si="3"/>
        <v>-1</v>
      </c>
      <c r="O46" s="11"/>
      <c r="P46" s="2">
        <f>SUM(OSRRefP22_6x_0)</f>
        <v>8800</v>
      </c>
      <c r="Q46" s="2"/>
      <c r="R46" s="5">
        <f t="shared" si="4"/>
        <v>1.901892599260423E-2</v>
      </c>
      <c r="S46" s="2"/>
      <c r="T46" s="2">
        <f>SUM(OSRRefT22_6x_0)</f>
        <v>9600</v>
      </c>
      <c r="U46" s="2"/>
      <c r="V46" s="5">
        <f t="shared" si="5"/>
        <v>1.7706917317918479E-2</v>
      </c>
      <c r="W46" s="2"/>
      <c r="X46" s="2">
        <f t="shared" si="6"/>
        <v>-800</v>
      </c>
      <c r="Y46" s="2"/>
      <c r="Z46" s="5">
        <f t="shared" si="7"/>
        <v>-8.3333333333333329E-2</v>
      </c>
    </row>
    <row r="47" spans="1:26" s="69" customFormat="1" ht="15" hidden="1" customHeight="1" outlineLevel="2" x14ac:dyDescent="0.3">
      <c r="A47" s="21"/>
      <c r="B47" s="9" t="str">
        <f>CONCATENATE("          ","6273"," - ","RENT")</f>
        <v xml:space="preserve">          6273 - RENT</v>
      </c>
      <c r="C47" s="9"/>
      <c r="D47" s="6">
        <v>0</v>
      </c>
      <c r="E47" s="3"/>
      <c r="F47" s="7">
        <f t="shared" si="0"/>
        <v>0</v>
      </c>
      <c r="G47" s="3"/>
      <c r="H47" s="6">
        <v>800</v>
      </c>
      <c r="I47" s="3"/>
      <c r="J47" s="7">
        <f t="shared" si="1"/>
        <v>3.2032032032032032E-2</v>
      </c>
      <c r="K47" s="3"/>
      <c r="L47" s="6">
        <f t="shared" si="2"/>
        <v>-800</v>
      </c>
      <c r="M47" s="3"/>
      <c r="N47" s="7">
        <f t="shared" si="3"/>
        <v>-1</v>
      </c>
      <c r="O47" s="9"/>
      <c r="P47" s="6">
        <v>8800</v>
      </c>
      <c r="Q47" s="3"/>
      <c r="R47" s="7">
        <f t="shared" si="4"/>
        <v>1.901892599260423E-2</v>
      </c>
      <c r="S47" s="3"/>
      <c r="T47" s="6">
        <v>9600</v>
      </c>
      <c r="U47" s="3"/>
      <c r="V47" s="7">
        <f t="shared" si="5"/>
        <v>1.7706917317918479E-2</v>
      </c>
      <c r="W47" s="3"/>
      <c r="X47" s="6">
        <f t="shared" si="6"/>
        <v>-800</v>
      </c>
      <c r="Y47" s="3"/>
      <c r="Z47" s="7">
        <f t="shared" si="7"/>
        <v>-8.3333333333333329E-2</v>
      </c>
    </row>
    <row r="48" spans="1:26" s="68" customFormat="1" ht="15" customHeight="1" outlineLevel="1" collapsed="1" x14ac:dyDescent="0.3">
      <c r="A48" s="20"/>
      <c r="B48" s="11" t="str">
        <f>CONCATENATE("     ","Repair and Maintenance                            ")</f>
        <v xml:space="preserve">     Repair and Maintenance                            </v>
      </c>
      <c r="C48" s="11"/>
      <c r="D48" s="2">
        <f>SUM(OSRRefD22_7x_0)</f>
        <v>0</v>
      </c>
      <c r="E48" s="2"/>
      <c r="F48" s="5">
        <f t="shared" si="0"/>
        <v>0</v>
      </c>
      <c r="G48" s="2"/>
      <c r="H48" s="2">
        <f>SUM(OSRRefH22_7x_0)</f>
        <v>0</v>
      </c>
      <c r="I48" s="2"/>
      <c r="J48" s="5">
        <f t="shared" si="1"/>
        <v>0</v>
      </c>
      <c r="K48" s="2"/>
      <c r="L48" s="2">
        <f t="shared" si="2"/>
        <v>0</v>
      </c>
      <c r="M48" s="2"/>
      <c r="N48" s="5">
        <f t="shared" si="3"/>
        <v>0</v>
      </c>
      <c r="O48" s="11"/>
      <c r="P48" s="2">
        <f>SUM(OSRRefP22_7x_0)</f>
        <v>131139.97</v>
      </c>
      <c r="Q48" s="2"/>
      <c r="R48" s="5">
        <f t="shared" si="4"/>
        <v>0.28342515728435674</v>
      </c>
      <c r="S48" s="2"/>
      <c r="T48" s="2">
        <f>SUM(OSRRefT22_7x_0)</f>
        <v>154932.13</v>
      </c>
      <c r="U48" s="2"/>
      <c r="V48" s="5">
        <f t="shared" si="5"/>
        <v>0.28576775164572887</v>
      </c>
      <c r="W48" s="2"/>
      <c r="X48" s="2">
        <f t="shared" si="6"/>
        <v>-23792.160000000003</v>
      </c>
      <c r="Y48" s="2"/>
      <c r="Z48" s="5">
        <f t="shared" si="7"/>
        <v>-0.15356504812784799</v>
      </c>
    </row>
    <row r="49" spans="1:26" s="69" customFormat="1" ht="15" hidden="1" customHeight="1" outlineLevel="2" x14ac:dyDescent="0.3">
      <c r="A49" s="21"/>
      <c r="B49" s="9" t="str">
        <f>CONCATENATE("          ","6371"," - ","COMPUTER SOFTWARE MAINTENANCE")</f>
        <v xml:space="preserve">          6371 - COMPUTER SOFTWARE MAINTENANCE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7583.7</v>
      </c>
      <c r="Q49" s="3"/>
      <c r="R49" s="7">
        <f t="shared" si="4"/>
        <v>1.6390207846603718E-2</v>
      </c>
      <c r="S49" s="3"/>
      <c r="T49" s="6">
        <v>5436</v>
      </c>
      <c r="U49" s="3"/>
      <c r="V49" s="7">
        <f t="shared" si="5"/>
        <v>1.0026541931271338E-2</v>
      </c>
      <c r="W49" s="3"/>
      <c r="X49" s="6">
        <f t="shared" si="6"/>
        <v>2147.6999999999998</v>
      </c>
      <c r="Y49" s="3"/>
      <c r="Z49" s="7">
        <f t="shared" si="7"/>
        <v>0.39508830022075053</v>
      </c>
    </row>
    <row r="50" spans="1:26" s="69" customFormat="1" ht="15" hidden="1" customHeight="1" outlineLevel="2" x14ac:dyDescent="0.3">
      <c r="A50" s="21"/>
      <c r="B50" s="9" t="str">
        <f>CONCATENATE("          ","6372"," - ","COMPUTER HARDWARE MAINTENANCE")</f>
        <v xml:space="preserve">          6372 - COMPUTER HARDWARE MAINTENANCE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1555.65</v>
      </c>
      <c r="Q50" s="3"/>
      <c r="R50" s="7">
        <f t="shared" si="4"/>
        <v>3.3621354795903154E-3</v>
      </c>
      <c r="S50" s="3"/>
      <c r="T50" s="6"/>
      <c r="U50" s="3"/>
      <c r="V50" s="7">
        <f t="shared" si="5"/>
        <v>0</v>
      </c>
      <c r="W50" s="3"/>
      <c r="X50" s="6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1"/>
      <c r="B51" s="9" t="str">
        <f>CONCATENATE("          ","6373"," - ","MAINTENANCE CONTRACTS")</f>
        <v xml:space="preserve">          6373 - MAINTENANCE CONTRACTS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122000.62</v>
      </c>
      <c r="Q51" s="3"/>
      <c r="R51" s="7">
        <f t="shared" si="4"/>
        <v>0.26367281395816267</v>
      </c>
      <c r="S51" s="3"/>
      <c r="T51" s="6">
        <v>142934.13</v>
      </c>
      <c r="U51" s="3"/>
      <c r="V51" s="7">
        <f t="shared" si="5"/>
        <v>0.26363779393943865</v>
      </c>
      <c r="W51" s="3"/>
      <c r="X51" s="6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1"/>
      <c r="B52" s="9" t="str">
        <f>CONCATENATE("          ","6375"," - ","OUTSIDE REPAIRS &amp; MAINTENANCE")</f>
        <v xml:space="preserve">          6375 - OUTSIDE REPAIRS &amp; MAINTENANCE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/>
      <c r="Q52" s="3"/>
      <c r="R52" s="7">
        <f t="shared" si="4"/>
        <v>0</v>
      </c>
      <c r="S52" s="3"/>
      <c r="T52" s="6">
        <v>6562</v>
      </c>
      <c r="U52" s="3"/>
      <c r="V52" s="7">
        <f t="shared" si="5"/>
        <v>1.2103415775018859E-2</v>
      </c>
      <c r="W52" s="3"/>
      <c r="X52" s="6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0"/>
      <c r="B53" s="11" t="str">
        <f>CONCATENATE("     ","Subscriptions &amp; Dues                              ")</f>
        <v xml:space="preserve">     Subscriptions &amp; Dues                              </v>
      </c>
      <c r="C53" s="11"/>
      <c r="D53" s="2">
        <f>SUM(OSRRefD22_8x_0)</f>
        <v>0</v>
      </c>
      <c r="E53" s="2"/>
      <c r="F53" s="5">
        <f t="shared" si="0"/>
        <v>0</v>
      </c>
      <c r="G53" s="2"/>
      <c r="H53" s="2">
        <f>SUM(OSRRefH22_8x_0)</f>
        <v>0</v>
      </c>
      <c r="I53" s="2"/>
      <c r="J53" s="5">
        <f t="shared" si="1"/>
        <v>0</v>
      </c>
      <c r="K53" s="2"/>
      <c r="L53" s="2">
        <f t="shared" si="2"/>
        <v>0</v>
      </c>
      <c r="M53" s="2"/>
      <c r="N53" s="5">
        <f t="shared" si="3"/>
        <v>0</v>
      </c>
      <c r="O53" s="11"/>
      <c r="P53" s="2">
        <f>SUM(OSRRefP22_8x_0)</f>
        <v>935</v>
      </c>
      <c r="Q53" s="2"/>
      <c r="R53" s="5">
        <f t="shared" si="4"/>
        <v>2.0207608867141994E-3</v>
      </c>
      <c r="S53" s="2"/>
      <c r="T53" s="2">
        <f>SUM(OSRRefT22_8x_0)</f>
        <v>0</v>
      </c>
      <c r="U53" s="2"/>
      <c r="V53" s="5">
        <f t="shared" si="5"/>
        <v>0</v>
      </c>
      <c r="W53" s="2"/>
      <c r="X53" s="2">
        <f t="shared" si="6"/>
        <v>935</v>
      </c>
      <c r="Y53" s="2"/>
      <c r="Z53" s="5">
        <f t="shared" si="7"/>
        <v>0</v>
      </c>
    </row>
    <row r="54" spans="1:26" s="69" customFormat="1" ht="15" hidden="1" customHeight="1" outlineLevel="2" x14ac:dyDescent="0.3">
      <c r="A54" s="21"/>
      <c r="B54" s="9" t="str">
        <f>CONCATENATE("          ","6258"," - ","MEMBERSHIP DUES")</f>
        <v xml:space="preserve">          6258 - MEMBERSHIP DUES</v>
      </c>
      <c r="C54" s="9"/>
      <c r="D54" s="6"/>
      <c r="E54" s="3"/>
      <c r="F54" s="7">
        <f t="shared" si="0"/>
        <v>0</v>
      </c>
      <c r="G54" s="3"/>
      <c r="H54" s="6"/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>
        <v>935</v>
      </c>
      <c r="Q54" s="3"/>
      <c r="R54" s="7">
        <f t="shared" si="4"/>
        <v>2.0207608867141994E-3</v>
      </c>
      <c r="S54" s="3"/>
      <c r="T54" s="6"/>
      <c r="U54" s="3"/>
      <c r="V54" s="7">
        <f t="shared" si="5"/>
        <v>0</v>
      </c>
      <c r="W54" s="3"/>
      <c r="X54" s="6">
        <f t="shared" si="6"/>
        <v>935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0"/>
      <c r="B55" s="11" t="str">
        <f>CONCATENATE("     ","Supplies                                          ")</f>
        <v xml:space="preserve">     Supplies                                          </v>
      </c>
      <c r="C55" s="11"/>
      <c r="D55" s="2">
        <f>SUM(OSRRefD22_9x_0)</f>
        <v>2371.86</v>
      </c>
      <c r="E55" s="2"/>
      <c r="F55" s="5">
        <f t="shared" si="0"/>
        <v>9.5458606672837773E-2</v>
      </c>
      <c r="G55" s="2"/>
      <c r="H55" s="2">
        <f>SUM(OSRRefH22_9x_0)</f>
        <v>4251.9399999999996</v>
      </c>
      <c r="I55" s="2"/>
      <c r="J55" s="5">
        <f t="shared" si="1"/>
        <v>0.17024784784784783</v>
      </c>
      <c r="K55" s="2"/>
      <c r="L55" s="2">
        <f t="shared" si="2"/>
        <v>-1880.0799999999995</v>
      </c>
      <c r="M55" s="2"/>
      <c r="N55" s="5">
        <f t="shared" si="3"/>
        <v>-0.44216992713914111</v>
      </c>
      <c r="O55" s="11"/>
      <c r="P55" s="2">
        <f>SUM(OSRRefP22_9x_0)</f>
        <v>48738.77</v>
      </c>
      <c r="Q55" s="2"/>
      <c r="R55" s="5">
        <f t="shared" si="4"/>
        <v>0.10533625677279082</v>
      </c>
      <c r="S55" s="2"/>
      <c r="T55" s="2">
        <f>SUM(OSRRefT22_9x_0)</f>
        <v>53091.53</v>
      </c>
      <c r="U55" s="2"/>
      <c r="V55" s="5">
        <f t="shared" si="5"/>
        <v>9.792576374914462E-2</v>
      </c>
      <c r="W55" s="2"/>
      <c r="X55" s="2">
        <f t="shared" si="6"/>
        <v>-4352.760000000002</v>
      </c>
      <c r="Y55" s="2"/>
      <c r="Z55" s="5">
        <f t="shared" si="7"/>
        <v>-8.1985958965582681E-2</v>
      </c>
    </row>
    <row r="56" spans="1:26" s="69" customFormat="1" ht="15" hidden="1" customHeight="1" outlineLevel="2" x14ac:dyDescent="0.3">
      <c r="A56" s="21"/>
      <c r="B56" s="9" t="str">
        <f>CONCATENATE("          ","6241"," - ","OFFICE EXPENSE")</f>
        <v xml:space="preserve">          6241 - OFFICE EXPENSE</v>
      </c>
      <c r="C56" s="9"/>
      <c r="D56" s="6">
        <v>2371.86</v>
      </c>
      <c r="E56" s="3"/>
      <c r="F56" s="7">
        <f t="shared" si="0"/>
        <v>9.5458606672837773E-2</v>
      </c>
      <c r="G56" s="3"/>
      <c r="H56" s="6">
        <v>4251.9399999999996</v>
      </c>
      <c r="I56" s="3"/>
      <c r="J56" s="7">
        <f t="shared" si="1"/>
        <v>0.17024784784784783</v>
      </c>
      <c r="K56" s="3"/>
      <c r="L56" s="6">
        <f t="shared" si="2"/>
        <v>-1880.0799999999995</v>
      </c>
      <c r="M56" s="3"/>
      <c r="N56" s="7">
        <f t="shared" si="3"/>
        <v>-0.44216992713914111</v>
      </c>
      <c r="O56" s="9"/>
      <c r="P56" s="6">
        <v>48713.42</v>
      </c>
      <c r="Q56" s="3"/>
      <c r="R56" s="7">
        <f t="shared" si="4"/>
        <v>0.10528146929848259</v>
      </c>
      <c r="S56" s="3"/>
      <c r="T56" s="6">
        <v>53091.53</v>
      </c>
      <c r="U56" s="3"/>
      <c r="V56" s="7">
        <f t="shared" si="5"/>
        <v>9.792576374914462E-2</v>
      </c>
      <c r="W56" s="3"/>
      <c r="X56" s="6">
        <f t="shared" si="6"/>
        <v>-4378.1100000000006</v>
      </c>
      <c r="Y56" s="3"/>
      <c r="Z56" s="7">
        <f t="shared" si="7"/>
        <v>-8.2463436258099945E-2</v>
      </c>
    </row>
    <row r="57" spans="1:26" s="69" customFormat="1" ht="15" hidden="1" customHeight="1" outlineLevel="2" x14ac:dyDescent="0.3">
      <c r="A57" s="21"/>
      <c r="B57" s="9" t="str">
        <f>CONCATENATE("          ","6247"," - ","STORE SUPPLIES")</f>
        <v xml:space="preserve">          6247 - STORE SUPPLIES</v>
      </c>
      <c r="C57" s="9"/>
      <c r="D57" s="6"/>
      <c r="E57" s="3"/>
      <c r="F57" s="7">
        <f t="shared" si="0"/>
        <v>0</v>
      </c>
      <c r="G57" s="3"/>
      <c r="H57" s="6"/>
      <c r="I57" s="3"/>
      <c r="J57" s="7">
        <f t="shared" si="1"/>
        <v>0</v>
      </c>
      <c r="K57" s="3"/>
      <c r="L57" s="6">
        <f t="shared" si="2"/>
        <v>0</v>
      </c>
      <c r="M57" s="3"/>
      <c r="N57" s="7">
        <f t="shared" si="3"/>
        <v>0</v>
      </c>
      <c r="O57" s="9"/>
      <c r="P57" s="6">
        <v>25.35</v>
      </c>
      <c r="Q57" s="3"/>
      <c r="R57" s="7">
        <f t="shared" si="4"/>
        <v>5.4787474308240601E-5</v>
      </c>
      <c r="S57" s="3"/>
      <c r="T57" s="6"/>
      <c r="U57" s="3"/>
      <c r="V57" s="7">
        <f t="shared" si="5"/>
        <v>0</v>
      </c>
      <c r="W57" s="3"/>
      <c r="X57" s="6">
        <f t="shared" si="6"/>
        <v>25.35</v>
      </c>
      <c r="Y57" s="3"/>
      <c r="Z57" s="7">
        <f t="shared" si="7"/>
        <v>0</v>
      </c>
    </row>
    <row r="58" spans="1:26" s="68" customFormat="1" ht="15" customHeight="1" outlineLevel="1" collapsed="1" x14ac:dyDescent="0.3">
      <c r="A58" s="20"/>
      <c r="B58" s="11" t="str">
        <f>CONCATENATE("     ","Telephone/Data Lines                              ")</f>
        <v xml:space="preserve">     Telephone/Data Lines                              </v>
      </c>
      <c r="C58" s="11"/>
      <c r="D58" s="2">
        <f>SUM(OSRRefD22_10x_0)</f>
        <v>42</v>
      </c>
      <c r="E58" s="2"/>
      <c r="F58" s="5">
        <f t="shared" si="0"/>
        <v>1.6903449108544291E-3</v>
      </c>
      <c r="G58" s="2"/>
      <c r="H58" s="2">
        <f>SUM(OSRRefH22_10x_0)</f>
        <v>86.65</v>
      </c>
      <c r="I58" s="2"/>
      <c r="J58" s="5">
        <f t="shared" si="1"/>
        <v>3.4694694694694696E-3</v>
      </c>
      <c r="K58" s="2"/>
      <c r="L58" s="2">
        <f t="shared" si="2"/>
        <v>-44.650000000000006</v>
      </c>
      <c r="M58" s="2"/>
      <c r="N58" s="5">
        <f t="shared" si="3"/>
        <v>-0.5152914021927294</v>
      </c>
      <c r="O58" s="11"/>
      <c r="P58" s="2">
        <f>SUM(OSRRefP22_10x_0)</f>
        <v>506.49</v>
      </c>
      <c r="Q58" s="2"/>
      <c r="R58" s="5">
        <f t="shared" si="4"/>
        <v>1.0946472529538771E-3</v>
      </c>
      <c r="S58" s="2"/>
      <c r="T58" s="2">
        <f>SUM(OSRRefT22_10x_0)</f>
        <v>1973.38</v>
      </c>
      <c r="U58" s="2"/>
      <c r="V58" s="5">
        <f t="shared" si="5"/>
        <v>3.6398413017535384E-3</v>
      </c>
      <c r="W58" s="2"/>
      <c r="X58" s="2">
        <f t="shared" si="6"/>
        <v>-1466.89</v>
      </c>
      <c r="Y58" s="2"/>
      <c r="Z58" s="5">
        <f t="shared" si="7"/>
        <v>-0.74333883995986583</v>
      </c>
    </row>
    <row r="59" spans="1:26" s="69" customFormat="1" ht="15" hidden="1" customHeight="1" outlineLevel="2" x14ac:dyDescent="0.3">
      <c r="A59" s="21"/>
      <c r="B59" s="9" t="str">
        <f>CONCATENATE("          ","6309"," - ","TELEPHONE")</f>
        <v xml:space="preserve">          6309 - TELEPHONE</v>
      </c>
      <c r="C59" s="9"/>
      <c r="D59" s="6">
        <v>42</v>
      </c>
      <c r="E59" s="3"/>
      <c r="F59" s="7">
        <f t="shared" si="0"/>
        <v>1.6903449108544291E-3</v>
      </c>
      <c r="G59" s="3"/>
      <c r="H59" s="6">
        <v>86.65</v>
      </c>
      <c r="I59" s="3"/>
      <c r="J59" s="7">
        <f t="shared" si="1"/>
        <v>3.4694694694694696E-3</v>
      </c>
      <c r="K59" s="3"/>
      <c r="L59" s="6">
        <f t="shared" si="2"/>
        <v>-44.650000000000006</v>
      </c>
      <c r="M59" s="3"/>
      <c r="N59" s="7">
        <f t="shared" si="3"/>
        <v>-0.5152914021927294</v>
      </c>
      <c r="O59" s="9"/>
      <c r="P59" s="6">
        <v>506.49</v>
      </c>
      <c r="Q59" s="3"/>
      <c r="R59" s="7">
        <f t="shared" si="4"/>
        <v>1.0946472529538771E-3</v>
      </c>
      <c r="S59" s="3"/>
      <c r="T59" s="6">
        <v>1973.38</v>
      </c>
      <c r="U59" s="3"/>
      <c r="V59" s="7">
        <f t="shared" si="5"/>
        <v>3.6398413017535384E-3</v>
      </c>
      <c r="W59" s="3"/>
      <c r="X59" s="6">
        <f t="shared" si="6"/>
        <v>-1466.89</v>
      </c>
      <c r="Y59" s="3"/>
      <c r="Z59" s="7">
        <f t="shared" si="7"/>
        <v>-0.74333883995986583</v>
      </c>
    </row>
    <row r="60" spans="1:26" s="68" customFormat="1" ht="15" customHeight="1" outlineLevel="1" collapsed="1" x14ac:dyDescent="0.3">
      <c r="A60" s="20"/>
      <c r="B60" s="11" t="str">
        <f>CONCATENATE("     ","Training                                          ")</f>
        <v xml:space="preserve">     Training                                          </v>
      </c>
      <c r="C60" s="11"/>
      <c r="D60" s="2">
        <f>SUM(OSRRefD22_11x_0)</f>
        <v>0</v>
      </c>
      <c r="E60" s="2"/>
      <c r="F60" s="5">
        <f t="shared" si="0"/>
        <v>0</v>
      </c>
      <c r="G60" s="2"/>
      <c r="H60" s="2">
        <f>SUM(OSRRefH22_11x_0)</f>
        <v>0</v>
      </c>
      <c r="I60" s="2"/>
      <c r="J60" s="5">
        <f t="shared" si="1"/>
        <v>0</v>
      </c>
      <c r="K60" s="2"/>
      <c r="L60" s="2">
        <f t="shared" si="2"/>
        <v>0</v>
      </c>
      <c r="M60" s="2"/>
      <c r="N60" s="5">
        <f t="shared" si="3"/>
        <v>0</v>
      </c>
      <c r="O60" s="11"/>
      <c r="P60" s="2">
        <f>SUM(OSRRefP22_11x_0)</f>
        <v>2000</v>
      </c>
      <c r="Q60" s="2"/>
      <c r="R60" s="5">
        <f t="shared" si="4"/>
        <v>4.3224831801373254E-3</v>
      </c>
      <c r="S60" s="2"/>
      <c r="T60" s="2">
        <f>SUM(OSRRefT22_11x_0)</f>
        <v>0</v>
      </c>
      <c r="U60" s="2"/>
      <c r="V60" s="5">
        <f t="shared" si="5"/>
        <v>0</v>
      </c>
      <c r="W60" s="2"/>
      <c r="X60" s="2">
        <f t="shared" si="6"/>
        <v>2000</v>
      </c>
      <c r="Y60" s="2"/>
      <c r="Z60" s="5">
        <f t="shared" si="7"/>
        <v>0</v>
      </c>
    </row>
    <row r="61" spans="1:26" s="69" customFormat="1" ht="15" hidden="1" customHeight="1" outlineLevel="2" x14ac:dyDescent="0.3">
      <c r="A61" s="21"/>
      <c r="B61" s="9" t="str">
        <f>CONCATENATE("          ","6376"," - ","TRAINING")</f>
        <v xml:space="preserve">          6376 - TRAINING</v>
      </c>
      <c r="C61" s="9"/>
      <c r="D61" s="6"/>
      <c r="E61" s="3"/>
      <c r="F61" s="7">
        <f t="shared" si="0"/>
        <v>0</v>
      </c>
      <c r="G61" s="3"/>
      <c r="H61" s="6"/>
      <c r="I61" s="3"/>
      <c r="J61" s="7">
        <f t="shared" si="1"/>
        <v>0</v>
      </c>
      <c r="K61" s="3"/>
      <c r="L61" s="6">
        <f t="shared" si="2"/>
        <v>0</v>
      </c>
      <c r="M61" s="3"/>
      <c r="N61" s="7">
        <f t="shared" si="3"/>
        <v>0</v>
      </c>
      <c r="O61" s="9"/>
      <c r="P61" s="6">
        <v>2000</v>
      </c>
      <c r="Q61" s="3"/>
      <c r="R61" s="7">
        <f t="shared" si="4"/>
        <v>4.3224831801373254E-3</v>
      </c>
      <c r="S61" s="3"/>
      <c r="T61" s="6"/>
      <c r="U61" s="3"/>
      <c r="V61" s="7">
        <f t="shared" si="5"/>
        <v>0</v>
      </c>
      <c r="W61" s="3"/>
      <c r="X61" s="6">
        <f t="shared" si="6"/>
        <v>2000</v>
      </c>
      <c r="Y61" s="3"/>
      <c r="Z61" s="7">
        <f t="shared" si="7"/>
        <v>0</v>
      </c>
    </row>
    <row r="62" spans="1:26" s="64" customFormat="1" ht="15" customHeight="1" x14ac:dyDescent="0.3">
      <c r="A62" s="37"/>
      <c r="B62" s="37"/>
      <c r="C62" s="37"/>
      <c r="D62" s="2"/>
      <c r="E62" s="2"/>
      <c r="F62" s="5"/>
      <c r="G62" s="2"/>
      <c r="H62" s="2"/>
      <c r="I62" s="2"/>
      <c r="J62" s="5"/>
      <c r="K62" s="2"/>
      <c r="L62" s="2"/>
      <c r="M62" s="2"/>
      <c r="N62" s="5"/>
      <c r="O62" s="37"/>
      <c r="P62" s="2"/>
      <c r="Q62" s="2"/>
      <c r="R62" s="5"/>
      <c r="S62" s="2"/>
      <c r="T62" s="2"/>
      <c r="U62" s="2"/>
      <c r="V62" s="5"/>
      <c r="W62" s="2"/>
      <c r="X62" s="2"/>
      <c r="Y62" s="2"/>
      <c r="Z62" s="5"/>
    </row>
    <row r="63" spans="1:26" s="62" customFormat="1" ht="15" customHeight="1" collapsed="1" x14ac:dyDescent="0.3">
      <c r="A63" s="13"/>
      <c r="B63" s="27" t="s">
        <v>290</v>
      </c>
      <c r="C63" s="13"/>
      <c r="D63" s="8">
        <f>SUM(OSRRefD25x_0)</f>
        <v>384.94</v>
      </c>
      <c r="E63" s="8"/>
      <c r="F63" s="14">
        <f>IF(D$12=0,0,D63/D$12)</f>
        <v>1.5492413571054856E-2</v>
      </c>
      <c r="G63" s="8"/>
      <c r="H63" s="8">
        <f>SUM(OSRRefH25x_0)</f>
        <v>2753.29</v>
      </c>
      <c r="I63" s="8"/>
      <c r="J63" s="14">
        <f>IF(H$12=0,0,H63/H$12)</f>
        <v>0.11024184184184184</v>
      </c>
      <c r="K63" s="8"/>
      <c r="L63" s="8">
        <f>+D63-H63</f>
        <v>-2368.35</v>
      </c>
      <c r="M63" s="8"/>
      <c r="N63" s="14">
        <f>IF(H63=0,0,L63/H63)</f>
        <v>-0.86018908287902829</v>
      </c>
      <c r="O63" s="13"/>
      <c r="P63" s="8">
        <f>SUM(OSRRefP25x_0)</f>
        <v>12953.58</v>
      </c>
      <c r="Q63" s="8"/>
      <c r="R63" s="14">
        <f>IF(P$12=0,0,P63/P$12)</f>
        <v>2.7995815836281628E-2</v>
      </c>
      <c r="S63" s="8"/>
      <c r="T63" s="8">
        <f>SUM(OSRRefT25x_0)</f>
        <v>5251.64</v>
      </c>
      <c r="U63" s="8"/>
      <c r="V63" s="14">
        <f>IF(T$12=0,0,T63/T$12)</f>
        <v>9.6864953399451465E-3</v>
      </c>
      <c r="W63" s="8"/>
      <c r="X63" s="8">
        <f>+P63-T63</f>
        <v>7701.94</v>
      </c>
      <c r="Y63" s="8"/>
      <c r="Z63" s="14">
        <f>IF(T63=0,0,X63/T63)</f>
        <v>1.466578059425246</v>
      </c>
    </row>
    <row r="64" spans="1:26" s="69" customFormat="1" ht="15" hidden="1" customHeight="1" outlineLevel="1" x14ac:dyDescent="0.3">
      <c r="A64" s="47"/>
      <c r="B64" s="9" t="str">
        <f>CONCATENATE("          ","9150"," - ","MISC. INCOME")</f>
        <v xml:space="preserve">          9150 - MISC. INCOME</v>
      </c>
      <c r="C64" s="9"/>
      <c r="D64" s="3">
        <f>--384.94</f>
        <v>384.94</v>
      </c>
      <c r="E64" s="3"/>
      <c r="F64" s="26">
        <f>IF(D$12=0,0,D64/D$12)</f>
        <v>1.5492413571054856E-2</v>
      </c>
      <c r="G64" s="3"/>
      <c r="H64" s="3">
        <f>--2753.29</f>
        <v>2753.29</v>
      </c>
      <c r="I64" s="3"/>
      <c r="J64" s="26">
        <f>IF(H$12=0,0,H64/H$12)</f>
        <v>0.11024184184184184</v>
      </c>
      <c r="K64" s="3"/>
      <c r="L64" s="3">
        <f>+D64-H64</f>
        <v>-2368.35</v>
      </c>
      <c r="M64" s="3"/>
      <c r="N64" s="26">
        <f>IF(H64=0,0,L64/H64)</f>
        <v>-0.86018908287902829</v>
      </c>
      <c r="O64" s="9"/>
      <c r="P64" s="3">
        <f>--12953.58</f>
        <v>12953.58</v>
      </c>
      <c r="Q64" s="3"/>
      <c r="R64" s="26">
        <f>IF(P$12=0,0,P64/P$12)</f>
        <v>2.7995815836281628E-2</v>
      </c>
      <c r="S64" s="3"/>
      <c r="T64" s="3">
        <f>--5251.64</f>
        <v>5251.64</v>
      </c>
      <c r="U64" s="3"/>
      <c r="V64" s="26">
        <f>IF(T$12=0,0,T64/T$12)</f>
        <v>9.6864953399451465E-3</v>
      </c>
      <c r="W64" s="3"/>
      <c r="X64" s="3">
        <f>+P64-T64</f>
        <v>7701.94</v>
      </c>
      <c r="Y64" s="3"/>
      <c r="Z64" s="26">
        <f>IF(T64=0,0,X64/T64)</f>
        <v>1.466578059425246</v>
      </c>
    </row>
    <row r="65" spans="1:26" ht="15" customHeight="1" x14ac:dyDescent="0.3">
      <c r="A65" s="12"/>
      <c r="B65" s="13"/>
      <c r="C65" s="13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O65" s="13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s="62" customFormat="1" ht="15" customHeight="1" x14ac:dyDescent="0.3">
      <c r="A66" s="13"/>
      <c r="B66" s="28" t="s">
        <v>291</v>
      </c>
      <c r="C66" s="28"/>
      <c r="D66" s="22">
        <f>+D17-D19+D63</f>
        <v>3971.6399999999971</v>
      </c>
      <c r="E66" s="15"/>
      <c r="F66" s="24">
        <f>IF(D$12=0,0,D66/D$12)</f>
        <v>0.15984384432728285</v>
      </c>
      <c r="G66" s="15"/>
      <c r="H66" s="22">
        <f>+H17-H19+H63</f>
        <v>10578.43</v>
      </c>
      <c r="I66" s="15"/>
      <c r="J66" s="24">
        <f>IF(H$12=0,0,H66/H$12)</f>
        <v>0.42356076076076077</v>
      </c>
      <c r="K66" s="17"/>
      <c r="L66" s="22">
        <f>+D66-H66</f>
        <v>-6606.7900000000027</v>
      </c>
      <c r="M66" s="17"/>
      <c r="N66" s="24">
        <f>IF(H66=0,0,L66/H66)</f>
        <v>-0.62455298186971053</v>
      </c>
      <c r="O66" s="27"/>
      <c r="P66" s="22">
        <f>+P17-P19+P63</f>
        <v>49225.250000000044</v>
      </c>
      <c r="Q66" s="15"/>
      <c r="R66" s="24">
        <f>IF(P$12=0,0,P66/P$12)</f>
        <v>0.10638765758152753</v>
      </c>
      <c r="S66" s="15"/>
      <c r="T66" s="22">
        <f>+T17-T19+T63</f>
        <v>110484.68999999993</v>
      </c>
      <c r="U66" s="15"/>
      <c r="V66" s="24">
        <f>IF(T$12=0,0,T66/T$12)</f>
        <v>0.20378575736727639</v>
      </c>
      <c r="W66" s="17"/>
      <c r="X66" s="22">
        <f>+P66-T66</f>
        <v>-61259.439999999886</v>
      </c>
      <c r="Y66" s="17"/>
      <c r="Z66" s="24">
        <f>IF(T66=0,0,X66/T66)</f>
        <v>-0.55446089408405752</v>
      </c>
    </row>
    <row r="67" spans="1:26" ht="15" customHeight="1" x14ac:dyDescent="0.3">
      <c r="A67" s="12"/>
      <c r="B67" s="13"/>
      <c r="C67" s="12"/>
      <c r="D67" s="4"/>
      <c r="E67" s="4"/>
      <c r="F67" s="10"/>
      <c r="G67" s="4"/>
      <c r="H67" s="4"/>
      <c r="I67" s="4"/>
      <c r="J67" s="10"/>
      <c r="K67" s="4"/>
      <c r="L67" s="4"/>
      <c r="M67" s="4"/>
      <c r="N67" s="10"/>
      <c r="P67" s="4"/>
      <c r="Q67" s="4"/>
      <c r="R67" s="10"/>
      <c r="S67" s="4"/>
      <c r="T67" s="4"/>
      <c r="U67" s="4"/>
      <c r="V67" s="10"/>
      <c r="W67" s="4"/>
      <c r="X67" s="4"/>
      <c r="Y67" s="4"/>
      <c r="Z67" s="10"/>
    </row>
    <row r="68" spans="1:26" s="62" customFormat="1" ht="15" customHeight="1" x14ac:dyDescent="0.3">
      <c r="A68" s="48"/>
      <c r="B68" s="13" t="s">
        <v>292</v>
      </c>
      <c r="C68" s="13"/>
      <c r="D68" s="8">
        <v>-102569.19</v>
      </c>
      <c r="E68" s="8"/>
      <c r="F68" s="14">
        <f>IF(D$12=0,0,D68/D$12)</f>
        <v>-4.1280311506419283</v>
      </c>
      <c r="G68" s="8"/>
      <c r="H68" s="8">
        <v>39549.519999999997</v>
      </c>
      <c r="I68" s="8"/>
      <c r="J68" s="14">
        <f>IF(H$12=0,0,H68/H$12)</f>
        <v>1.5835643643643642</v>
      </c>
      <c r="K68" s="8"/>
      <c r="L68" s="8">
        <f>+D68-H68</f>
        <v>-142118.71</v>
      </c>
      <c r="M68" s="8"/>
      <c r="N68" s="14">
        <f>IF(H68=0,0,L68/H68)</f>
        <v>-3.5934370379210669</v>
      </c>
      <c r="O68" s="13"/>
      <c r="P68" s="8">
        <v>-53343.75</v>
      </c>
      <c r="Q68" s="8"/>
      <c r="R68" s="14">
        <f>IF(P$12=0,0,P68/P$12)</f>
        <v>-0.11528873107022522</v>
      </c>
      <c r="S68" s="8"/>
      <c r="T68" s="8">
        <v>150067.26</v>
      </c>
      <c r="U68" s="8"/>
      <c r="V68" s="14">
        <f>IF(T$12=0,0,T68/T$12)</f>
        <v>0.27679464218193489</v>
      </c>
      <c r="W68" s="8"/>
      <c r="X68" s="8">
        <f>+P68-T68</f>
        <v>-203411.01</v>
      </c>
      <c r="Y68" s="8"/>
      <c r="Z68" s="14">
        <f>IF(T68=0,0,X68/T68)</f>
        <v>-1.3554656092208253</v>
      </c>
    </row>
    <row r="69" spans="1:26" ht="15" customHeight="1" x14ac:dyDescent="0.3">
      <c r="A69" s="12"/>
      <c r="B69" s="13"/>
      <c r="C69" s="13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O69" s="13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s="62" customFormat="1" ht="15" customHeight="1" x14ac:dyDescent="0.3">
      <c r="A70" s="13"/>
      <c r="B70" s="28" t="s">
        <v>293</v>
      </c>
      <c r="C70" s="28"/>
      <c r="D70" s="29">
        <f>+D66-D68</f>
        <v>106540.83</v>
      </c>
      <c r="E70" s="15"/>
      <c r="F70" s="31">
        <f>IF(D$12=0,0,D70/D$12)</f>
        <v>4.2878749949692114</v>
      </c>
      <c r="G70" s="15"/>
      <c r="H70" s="29">
        <f>+H66-H68</f>
        <v>-28971.089999999997</v>
      </c>
      <c r="I70" s="15"/>
      <c r="J70" s="31">
        <f>IF(H$12=0,0,H70/H$12)</f>
        <v>-1.1600036036036034</v>
      </c>
      <c r="K70" s="17"/>
      <c r="L70" s="29">
        <f>D70-H70</f>
        <v>135511.91999999998</v>
      </c>
      <c r="M70" s="17"/>
      <c r="N70" s="31">
        <f>IF(H70=0,0,L70/H70)</f>
        <v>-4.6774877990438055</v>
      </c>
      <c r="O70" s="27"/>
      <c r="P70" s="29">
        <f>+P66-P68</f>
        <v>102569.00000000004</v>
      </c>
      <c r="Q70" s="15"/>
      <c r="R70" s="31">
        <f>IF(P$12=0,0,P70/P$12)</f>
        <v>0.22167638865175276</v>
      </c>
      <c r="S70" s="15"/>
      <c r="T70" s="29">
        <f>+T66-T68</f>
        <v>-39582.57000000008</v>
      </c>
      <c r="U70" s="15"/>
      <c r="V70" s="31">
        <f>IF(T$12=0,0,T70/T$12)</f>
        <v>-7.3008884814658517E-2</v>
      </c>
      <c r="W70" s="17"/>
      <c r="X70" s="29">
        <f>P70-T70</f>
        <v>142151.57000000012</v>
      </c>
      <c r="Y70" s="17"/>
      <c r="Z70" s="31">
        <f>IF(T70=0,0,X70/T70)</f>
        <v>-3.5912668126400038</v>
      </c>
    </row>
    <row r="71" spans="1:26" ht="15" customHeight="1" x14ac:dyDescent="0.3">
      <c r="A71" s="12"/>
      <c r="B71" s="12"/>
      <c r="C71" s="12"/>
      <c r="D71" s="4"/>
      <c r="E71" s="4"/>
      <c r="F71" s="10"/>
      <c r="G71" s="4"/>
      <c r="H71" s="4"/>
      <c r="I71" s="4"/>
      <c r="J71" s="10"/>
      <c r="K71" s="4"/>
      <c r="L71" s="4"/>
      <c r="M71" s="4"/>
      <c r="N71" s="10"/>
      <c r="P71" s="4"/>
      <c r="Q71" s="4"/>
      <c r="R71" s="10"/>
      <c r="S71" s="4"/>
      <c r="T71" s="4"/>
      <c r="U71" s="4"/>
      <c r="V71" s="10"/>
      <c r="W71" s="4"/>
      <c r="X71" s="4"/>
      <c r="Y71" s="4"/>
      <c r="Z71" s="10"/>
    </row>
    <row r="72" spans="1:26" ht="15" customHeight="1" x14ac:dyDescent="0.3">
      <c r="A72" s="12"/>
      <c r="B72" s="12"/>
      <c r="C72" s="12"/>
      <c r="D72" s="4"/>
      <c r="E72" s="4"/>
      <c r="F72" s="10"/>
      <c r="G72" s="4"/>
      <c r="H72" s="4"/>
      <c r="I72" s="4"/>
      <c r="J72" s="10"/>
      <c r="K72" s="4"/>
      <c r="L72" s="4"/>
      <c r="M72" s="4"/>
      <c r="N72" s="10"/>
      <c r="P72" s="4"/>
      <c r="Q72" s="4"/>
      <c r="R72" s="10"/>
      <c r="S72" s="4"/>
      <c r="T72" s="4"/>
      <c r="U72" s="4"/>
      <c r="V72" s="10"/>
      <c r="W72" s="4"/>
      <c r="X72" s="4"/>
      <c r="Y72" s="4"/>
      <c r="Z72" s="10"/>
    </row>
    <row r="73" spans="1:26" s="62" customFormat="1" ht="15" customHeight="1" x14ac:dyDescent="0.3">
      <c r="A73" s="13"/>
      <c r="B73" s="28" t="s">
        <v>296</v>
      </c>
      <c r="C73" s="28"/>
      <c r="D73" s="30">
        <f>SUM(D70:D72)</f>
        <v>106540.83</v>
      </c>
      <c r="E73" s="15"/>
      <c r="F73" s="35">
        <f>IF(D$12=0,0,D73/D$12)</f>
        <v>4.2878749949692114</v>
      </c>
      <c r="G73" s="15"/>
      <c r="H73" s="30">
        <f>SUM(H70:H72)</f>
        <v>-28971.089999999997</v>
      </c>
      <c r="I73" s="15"/>
      <c r="J73" s="35">
        <f>IF(H$12=0,0,H73/H$12)</f>
        <v>-1.1600036036036034</v>
      </c>
      <c r="K73" s="17"/>
      <c r="L73" s="30">
        <f>+D73-H73</f>
        <v>135511.91999999998</v>
      </c>
      <c r="M73" s="17"/>
      <c r="N73" s="35">
        <f>IF(H73=0,0,L73/H73)</f>
        <v>-4.6774877990438055</v>
      </c>
      <c r="O73" s="27"/>
      <c r="P73" s="30">
        <f>SUM(P70:P72)</f>
        <v>102569.00000000004</v>
      </c>
      <c r="Q73" s="15"/>
      <c r="R73" s="35">
        <f>IF(P$12=0,0,P73/P$12)</f>
        <v>0.22167638865175276</v>
      </c>
      <c r="S73" s="15"/>
      <c r="T73" s="30">
        <f>SUM(T70:T72)</f>
        <v>-39582.57000000008</v>
      </c>
      <c r="U73" s="15"/>
      <c r="V73" s="35">
        <f>IF(T$12=0,0,T73/T$12)</f>
        <v>-7.3008884814658517E-2</v>
      </c>
      <c r="W73" s="17"/>
      <c r="X73" s="30">
        <f>+P73-T73</f>
        <v>142151.57000000012</v>
      </c>
      <c r="Y73" s="17"/>
      <c r="Z73" s="35">
        <f>IF(T73=0,0,X73/T73)</f>
        <v>-3.5912668126400038</v>
      </c>
    </row>
    <row r="74" spans="1:26" ht="15" customHeight="1" x14ac:dyDescent="0.3">
      <c r="A74" s="12"/>
      <c r="C74" s="12"/>
      <c r="D74" s="19"/>
      <c r="E74" s="19"/>
      <c r="G74" s="19"/>
      <c r="H74" s="19"/>
      <c r="I74" s="19"/>
      <c r="J74" s="41"/>
      <c r="K74" s="19"/>
      <c r="L74" s="19"/>
      <c r="M74" s="19"/>
      <c r="P74" s="19"/>
      <c r="Q74" s="19"/>
      <c r="R74" s="41"/>
      <c r="S74" s="19"/>
      <c r="T74" s="19"/>
      <c r="U74" s="19"/>
      <c r="V74" s="41"/>
      <c r="W74" s="19"/>
      <c r="X74" s="19"/>
    </row>
    <row r="75" spans="1:26" ht="15" customHeight="1" x14ac:dyDescent="0.3">
      <c r="A75" s="12"/>
      <c r="B75" s="54">
        <v>44767.815885219905</v>
      </c>
      <c r="D75" s="19"/>
      <c r="E75" s="19"/>
      <c r="G75" s="19"/>
      <c r="H75" s="19"/>
      <c r="I75" s="19"/>
      <c r="J75" s="41"/>
      <c r="K75" s="19"/>
      <c r="L75" s="19"/>
      <c r="M75" s="19"/>
      <c r="P75" s="19"/>
      <c r="Q75" s="19"/>
      <c r="R75" s="41"/>
      <c r="S75" s="19"/>
      <c r="T75" s="19"/>
      <c r="U75" s="19"/>
      <c r="V75" s="41"/>
      <c r="W75" s="19"/>
      <c r="X75" s="19"/>
    </row>
    <row r="76" spans="1:26" ht="15" customHeight="1" x14ac:dyDescent="0.3">
      <c r="A76" s="12"/>
      <c r="B76" s="53" t="s">
        <v>297</v>
      </c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  <row r="77" spans="1:26" ht="15" customHeight="1" x14ac:dyDescent="0.3">
      <c r="A77" s="12"/>
      <c r="B77" s="51"/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2DCFE-07B5-48EB-0333-FC2E70D6AEF3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collapsed="1" x14ac:dyDescent="0.3">
      <c r="A12" s="13"/>
      <c r="B12" s="27" t="s">
        <v>286</v>
      </c>
      <c r="C12" s="13"/>
      <c r="D12" s="8" t="e">
        <f ca="1">SUM(_xll.ONESTOP.REPORTPLAYER.OSRFUNCTIONS.OSRREF(D13))</f>
        <v>#NAME?</v>
      </c>
      <c r="E12" s="8"/>
      <c r="F12" s="14"/>
      <c r="G12" s="8"/>
      <c r="H12" s="8" t="e">
        <f ca="1">SUM(_xll.ONESTOP.REPORTPLAYER.OSRFUNCTIONS.OSRREF(H13))</f>
        <v>#NAME?</v>
      </c>
      <c r="I12" s="8"/>
      <c r="J12" s="14"/>
      <c r="K12" s="8"/>
      <c r="L12" s="8" t="e">
        <f ca="1">+D12-H12</f>
        <v>#NAME?</v>
      </c>
      <c r="M12" s="8"/>
      <c r="N12" s="14" t="e">
        <f ca="1">IF(H12=0,0,L12/H12)</f>
        <v>#NAME?</v>
      </c>
      <c r="O12" s="13"/>
      <c r="P12" s="8" t="e">
        <f ca="1">SUM(_xll.ONESTOP.REPORTPLAYER.OSRFUNCTIONS.OSRREF(P13))</f>
        <v>#NAME?</v>
      </c>
      <c r="Q12" s="8"/>
      <c r="R12" s="14"/>
      <c r="S12" s="8"/>
      <c r="T12" s="8" t="e">
        <f ca="1">SUM(_xll.ONESTOP.REPORTPLAYER.OSRFUNCTIONS.OSRREF(T13))</f>
        <v>#NAME?</v>
      </c>
      <c r="U12" s="8"/>
      <c r="V12" s="14"/>
      <c r="W12" s="8"/>
      <c r="X12" s="8" t="e">
        <f ca="1">+P12-T12</f>
        <v>#NAME?</v>
      </c>
      <c r="Y12" s="8"/>
      <c r="Z12" s="14" t="e">
        <f ca="1">IF(T12=0,0,X12/T12)</f>
        <v>#NAME?</v>
      </c>
    </row>
    <row r="13" spans="1:26" s="69" customFormat="1" ht="15" hidden="1" customHeight="1" outlineLevel="1" x14ac:dyDescent="0.3">
      <c r="A13" s="47"/>
      <c r="B13" s="9" t="e">
        <f ca="1">CONCATENATE("          ",_xll.ONESTOP.REPORTPLAYER.OSRFUNCTIONS.OSRGET("d_Account","Code")," - ",_xll.ONESTOP.REPORTPLAYER.OSRFUNCTIONS.OSRGET("d_Account","Description"))</f>
        <v>#NAME?</v>
      </c>
      <c r="C13" s="9"/>
      <c r="D13" s="3" t="e">
        <f ca="1">-_xll.ONESTOP.REPORTPLAYER.OSRFUNCTIONS.OSRGET("GL_F_Trans","Value1")</f>
        <v>#NAME?</v>
      </c>
      <c r="E13" s="3"/>
      <c r="F13" s="26"/>
      <c r="G13" s="3"/>
      <c r="H13" s="3" t="e">
        <f ca="1">-_xll.ONESTOP.REPORTPLAYER.OSRFUNCTIONS.OSRGET("GL_F_Trans","Value1")</f>
        <v>#NAME?</v>
      </c>
      <c r="I13" s="3"/>
      <c r="J13" s="26"/>
      <c r="K13" s="3"/>
      <c r="L13" s="3" t="e">
        <f ca="1">+D13-H13</f>
        <v>#NAME?</v>
      </c>
      <c r="M13" s="3"/>
      <c r="N13" s="26" t="e">
        <f ca="1">IF(H13=0,0,L13/H13)</f>
        <v>#NAME?</v>
      </c>
      <c r="O13" s="9"/>
      <c r="P13" s="3" t="e">
        <f ca="1">-_xll.ONESTOP.REPORTPLAYER.OSRFUNCTIONS.OSRGET("GL_F_Trans","Value1")</f>
        <v>#NAME?</v>
      </c>
      <c r="Q13" s="3"/>
      <c r="R13" s="26"/>
      <c r="S13" s="3"/>
      <c r="T13" s="3" t="e">
        <f ca="1">-_xll.ONESTOP.REPORTPLAYER.OSRFUNCTIONS.OSRGET("GL_F_Trans","Value1")</f>
        <v>#NAME?</v>
      </c>
      <c r="U13" s="3"/>
      <c r="V13" s="26"/>
      <c r="W13" s="3"/>
      <c r="X13" s="3" t="e">
        <f ca="1">+P13-T13</f>
        <v>#NAME?</v>
      </c>
      <c r="Y13" s="3"/>
      <c r="Z13" s="26" t="e">
        <f ca="1">IF(T13=0,0,X13/T13)</f>
        <v>#NAME?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2" customFormat="1" ht="15" customHeight="1" collapsed="1" x14ac:dyDescent="0.3">
      <c r="A15" s="13"/>
      <c r="B15" s="27" t="s">
        <v>287</v>
      </c>
      <c r="C15" s="13"/>
      <c r="D15" s="8" t="e">
        <f ca="1">SUM(_xll.ONESTOP.REPORTPLAYER.OSRFUNCTIONS.OSRREF(D16))</f>
        <v>#NAME?</v>
      </c>
      <c r="E15" s="8"/>
      <c r="F15" s="14" t="e">
        <f ca="1">IF(D$12=0,0,D15/D$12)</f>
        <v>#NAME?</v>
      </c>
      <c r="G15" s="8"/>
      <c r="H15" s="8" t="e">
        <f ca="1">SUM(_xll.ONESTOP.REPORTPLAYER.OSRFUNCTIONS.OSRREF(H16))</f>
        <v>#NAME?</v>
      </c>
      <c r="I15" s="8"/>
      <c r="J15" s="14" t="e">
        <f ca="1">IF(H$12=0,0,H15/H$12)</f>
        <v>#NAME?</v>
      </c>
      <c r="K15" s="8"/>
      <c r="L15" s="8" t="e">
        <f ca="1">+D15-H15</f>
        <v>#NAME?</v>
      </c>
      <c r="M15" s="8"/>
      <c r="N15" s="14" t="e">
        <f ca="1">IF(H15=0,0,L15/H15)</f>
        <v>#NAME?</v>
      </c>
      <c r="O15" s="13"/>
      <c r="P15" s="8" t="e">
        <f ca="1">SUM(_xll.ONESTOP.REPORTPLAYER.OSRFUNCTIONS.OSRREF(P16))</f>
        <v>#NAME?</v>
      </c>
      <c r="Q15" s="8"/>
      <c r="R15" s="14" t="e">
        <f ca="1">IF(P$12=0,0,P15/P$12)</f>
        <v>#NAME?</v>
      </c>
      <c r="S15" s="8"/>
      <c r="T15" s="8" t="e">
        <f ca="1">SUM(_xll.ONESTOP.REPORTPLAYER.OSRFUNCTIONS.OSRREF(T16))</f>
        <v>#NAME?</v>
      </c>
      <c r="U15" s="8"/>
      <c r="V15" s="14" t="e">
        <f ca="1">IF(T$12=0,0,T15/T$12)</f>
        <v>#NAME?</v>
      </c>
      <c r="W15" s="8"/>
      <c r="X15" s="8" t="e">
        <f ca="1">+P15-T15</f>
        <v>#NAME?</v>
      </c>
      <c r="Y15" s="8"/>
      <c r="Z15" s="14" t="e">
        <f ca="1">IF(T15=0,0,X15/T15)</f>
        <v>#NAME?</v>
      </c>
    </row>
    <row r="16" spans="1:26" s="69" customFormat="1" ht="15" hidden="1" customHeight="1" outlineLevel="1" x14ac:dyDescent="0.3">
      <c r="A16" s="47"/>
      <c r="B16" s="9" t="e">
        <f ca="1">CONCATENATE("          ",_xll.ONESTOP.REPORTPLAYER.OSRFUNCTIONS.OSRGET("d_Account","Code")," - ",_xll.ONESTOP.REPORTPLAYER.OSRFUNCTIONS.OSRGET("d_Account","Description"))</f>
        <v>#NAME?</v>
      </c>
      <c r="C16" s="9"/>
      <c r="D16" s="3" t="e">
        <f ca="1">_xll.ONESTOP.REPORTPLAYER.OSRFUNCTIONS.OSRGET("GL_F_Trans","Value1")</f>
        <v>#NAME?</v>
      </c>
      <c r="E16" s="3"/>
      <c r="F16" s="26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6" t="e">
        <f ca="1">IF(H$12=0,0,H16/H$12)</f>
        <v>#NAME?</v>
      </c>
      <c r="K16" s="3"/>
      <c r="L16" s="3" t="e">
        <f ca="1">+D16-H16</f>
        <v>#NAME?</v>
      </c>
      <c r="M16" s="3"/>
      <c r="N16" s="26" t="e">
        <f ca="1">IF(H16=0,0,L16/H16)</f>
        <v>#NAME?</v>
      </c>
      <c r="O16" s="9"/>
      <c r="P16" s="3" t="e">
        <f ca="1">_xll.ONESTOP.REPORTPLAYER.OSRFUNCTIONS.OSRGET("GL_F_Trans","Value1")</f>
        <v>#NAME?</v>
      </c>
      <c r="Q16" s="3"/>
      <c r="R16" s="26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6" t="e">
        <f ca="1">IF(T$12=0,0,T16/T$12)</f>
        <v>#NAME?</v>
      </c>
      <c r="W16" s="3"/>
      <c r="X16" s="3" t="e">
        <f ca="1">+P16-T16</f>
        <v>#NAME?</v>
      </c>
      <c r="Y16" s="3"/>
      <c r="Z16" s="26" t="e">
        <f ca="1">IF(T16=0,0,X16/T16)</f>
        <v>#NAME?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2" customFormat="1" ht="15" customHeight="1" x14ac:dyDescent="0.3">
      <c r="A18" s="13"/>
      <c r="B18" s="28" t="s">
        <v>288</v>
      </c>
      <c r="C18" s="28"/>
      <c r="D18" s="22" t="e">
        <f ca="1">D12-D15</f>
        <v>#NAME?</v>
      </c>
      <c r="E18" s="15"/>
      <c r="F18" s="24" t="e">
        <f ca="1">IF(D$12=0,0,D18/D$12)</f>
        <v>#NAME?</v>
      </c>
      <c r="G18" s="15"/>
      <c r="H18" s="22" t="e">
        <f ca="1">H12-H15</f>
        <v>#NAME?</v>
      </c>
      <c r="I18" s="15"/>
      <c r="J18" s="24" t="e">
        <f ca="1">IF(H$12=0,0,H18/H$12)</f>
        <v>#NAME?</v>
      </c>
      <c r="K18" s="17"/>
      <c r="L18" s="22" t="e">
        <f ca="1">+D18-H18</f>
        <v>#NAME?</v>
      </c>
      <c r="M18" s="17"/>
      <c r="N18" s="24" t="e">
        <f ca="1">IF(H18=0,0,L18/H18)</f>
        <v>#NAME?</v>
      </c>
      <c r="O18" s="27"/>
      <c r="P18" s="22" t="e">
        <f ca="1">P12-P15</f>
        <v>#NAME?</v>
      </c>
      <c r="Q18" s="15"/>
      <c r="R18" s="24" t="e">
        <f ca="1">IF(P$12=0,0,P18/P$12)</f>
        <v>#NAME?</v>
      </c>
      <c r="S18" s="15"/>
      <c r="T18" s="22" t="e">
        <f ca="1">T12-T15</f>
        <v>#NAME?</v>
      </c>
      <c r="U18" s="15"/>
      <c r="V18" s="24" t="e">
        <f ca="1">IF(T$12=0,0,T18/T$12)</f>
        <v>#NAME?</v>
      </c>
      <c r="W18" s="17"/>
      <c r="X18" s="22" t="e">
        <f ca="1">+P18-T18</f>
        <v>#NAME?</v>
      </c>
      <c r="Y18" s="17"/>
      <c r="Z18" s="24" t="e">
        <f ca="1">IF(T18=0,0,X18/T18)</f>
        <v>#NAME?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7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2" customFormat="1" ht="15" customHeight="1" x14ac:dyDescent="0.3">
      <c r="A20" s="13"/>
      <c r="B20" s="27" t="s">
        <v>289</v>
      </c>
      <c r="C20" s="13"/>
      <c r="D20" s="23" t="e">
        <f ca="1">SUM(_xll.ONESTOP.REPORTPLAYER.OSRFUNCTIONS.OSRREF(D22))</f>
        <v>#NAME?</v>
      </c>
      <c r="E20" s="23"/>
      <c r="F20" s="34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4" t="e">
        <f ca="1">IF(H$12=0,0,H20/H$12)</f>
        <v>#NAME?</v>
      </c>
      <c r="K20" s="8"/>
      <c r="L20" s="23" t="e">
        <f ca="1">+D20-H20</f>
        <v>#NAME?</v>
      </c>
      <c r="M20" s="8"/>
      <c r="N20" s="34" t="e">
        <f ca="1">IF(H20=0,0,L20/H20)</f>
        <v>#NAME?</v>
      </c>
      <c r="O20" s="13"/>
      <c r="P20" s="23" t="e">
        <f ca="1">SUM(_xll.ONESTOP.REPORTPLAYER.OSRFUNCTIONS.OSRREF(P22))</f>
        <v>#NAME?</v>
      </c>
      <c r="Q20" s="23"/>
      <c r="R20" s="34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4" t="e">
        <f ca="1">IF(T$12=0,0,T20/T$12)</f>
        <v>#NAME?</v>
      </c>
      <c r="W20" s="8"/>
      <c r="X20" s="23" t="e">
        <f ca="1">+P20-T20</f>
        <v>#NAME?</v>
      </c>
      <c r="Y20" s="8"/>
      <c r="Z20" s="34" t="e">
        <f ca="1">IF(T20=0,0,X20/T20)</f>
        <v>#NAME?</v>
      </c>
    </row>
    <row r="21" spans="1:26" s="68" customFormat="1" ht="15" customHeight="1" outlineLevel="1" collapsed="1" x14ac:dyDescent="0.3">
      <c r="A21" s="20"/>
      <c r="B21" s="11" t="e">
        <f ca="1">CONCATENATE("     ",_xll.ONESTOP.REPORTPLAYER.OSRFUNCTIONS.OSRGET("d_Account","AccountCategory"))</f>
        <v>#NAME?</v>
      </c>
      <c r="C21" s="11"/>
      <c r="D21" s="2" t="e">
        <f ca="1">SUM(_xll.ONESTOP.REPORTPLAYER.OSRFUNCTIONS.OSRREF(D22))</f>
        <v>#NAME?</v>
      </c>
      <c r="E21" s="2"/>
      <c r="F21" s="5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5" t="e">
        <f ca="1">IF(H$12=0,0,H21/H$12)</f>
        <v>#NAME?</v>
      </c>
      <c r="K21" s="2"/>
      <c r="L21" s="2" t="e">
        <f ca="1">+D21-H21</f>
        <v>#NAME?</v>
      </c>
      <c r="M21" s="2"/>
      <c r="N21" s="5" t="e">
        <f ca="1">IF(H21=0,0,L21/H21)</f>
        <v>#NAME?</v>
      </c>
      <c r="O21" s="11"/>
      <c r="P21" s="2" t="e">
        <f ca="1">SUM(_xll.ONESTOP.REPORTPLAYER.OSRFUNCTIONS.OSRREF(P22))</f>
        <v>#NAME?</v>
      </c>
      <c r="Q21" s="2"/>
      <c r="R21" s="5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5" t="e">
        <f ca="1">IF(T$12=0,0,T21/T$12)</f>
        <v>#NAME?</v>
      </c>
      <c r="W21" s="2"/>
      <c r="X21" s="2" t="e">
        <f ca="1">+P21-T21</f>
        <v>#NAME?</v>
      </c>
      <c r="Y21" s="2"/>
      <c r="Z21" s="5" t="e">
        <f ca="1">IF(T21=0,0,X21/T21)</f>
        <v>#NAME?</v>
      </c>
    </row>
    <row r="22" spans="1:26" s="69" customFormat="1" ht="15" hidden="1" customHeight="1" outlineLevel="2" x14ac:dyDescent="0.3">
      <c r="A22" s="21"/>
      <c r="B22" s="9" t="e">
        <f ca="1">CONCATENATE("          ",_xll.ONESTOP.REPORTPLAYER.OSRFUNCTIONS.OSRGET("d_Account","Code")," - ",_xll.ONESTOP.REPORTPLAYER.OSRFUNCTIONS.OSRGET("d_Account","Description"))</f>
        <v>#NAME?</v>
      </c>
      <c r="C22" s="9"/>
      <c r="D22" s="6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6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6" t="e">
        <f ca="1">+D22-H22</f>
        <v>#NAME?</v>
      </c>
      <c r="M22" s="3"/>
      <c r="N22" s="7" t="e">
        <f ca="1">IF(H22=0,0,L22/H22)</f>
        <v>#NAME?</v>
      </c>
      <c r="O22" s="9"/>
      <c r="P22" s="6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6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6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7"/>
      <c r="B23" s="37"/>
      <c r="C23" s="37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7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2" customFormat="1" ht="15" customHeight="1" collapsed="1" x14ac:dyDescent="0.3">
      <c r="A24" s="13"/>
      <c r="B24" s="27" t="s">
        <v>290</v>
      </c>
      <c r="C24" s="13"/>
      <c r="D24" s="8" t="e">
        <f ca="1">SUM(_xll.ONESTOP.REPORTPLAYER.OSRFUNCTIONS.OSRREF(D25))</f>
        <v>#NAME?</v>
      </c>
      <c r="E24" s="8"/>
      <c r="F24" s="14" t="e">
        <f ca="1">IF(D$12=0,0,D24/D$12)</f>
        <v>#NAME?</v>
      </c>
      <c r="G24" s="8"/>
      <c r="H24" s="8" t="e">
        <f ca="1">SUM(_xll.ONESTOP.REPORTPLAYER.OSRFUNCTIONS.OSRREF(H25))</f>
        <v>#NAME?</v>
      </c>
      <c r="I24" s="8"/>
      <c r="J24" s="14" t="e">
        <f ca="1">IF(H$12=0,0,H24/H$12)</f>
        <v>#NAME?</v>
      </c>
      <c r="K24" s="8"/>
      <c r="L24" s="8" t="e">
        <f ca="1">+D24-H24</f>
        <v>#NAME?</v>
      </c>
      <c r="M24" s="8"/>
      <c r="N24" s="14" t="e">
        <f ca="1">IF(H24=0,0,L24/H24)</f>
        <v>#NAME?</v>
      </c>
      <c r="O24" s="13"/>
      <c r="P24" s="8" t="e">
        <f ca="1">SUM(_xll.ONESTOP.REPORTPLAYER.OSRFUNCTIONS.OSRREF(P25))</f>
        <v>#NAME?</v>
      </c>
      <c r="Q24" s="8"/>
      <c r="R24" s="14" t="e">
        <f ca="1">IF(P$12=0,0,P24/P$12)</f>
        <v>#NAME?</v>
      </c>
      <c r="S24" s="8"/>
      <c r="T24" s="8" t="e">
        <f ca="1">SUM(_xll.ONESTOP.REPORTPLAYER.OSRFUNCTIONS.OSRREF(T25))</f>
        <v>#NAME?</v>
      </c>
      <c r="U24" s="8"/>
      <c r="V24" s="14" t="e">
        <f ca="1">IF(T$12=0,0,T24/T$12)</f>
        <v>#NAME?</v>
      </c>
      <c r="W24" s="8"/>
      <c r="X24" s="8" t="e">
        <f ca="1">+P24-T24</f>
        <v>#NAME?</v>
      </c>
      <c r="Y24" s="8"/>
      <c r="Z24" s="14" t="e">
        <f ca="1">IF(T24=0,0,X24/T24)</f>
        <v>#NAME?</v>
      </c>
    </row>
    <row r="25" spans="1:26" s="69" customFormat="1" ht="15" hidden="1" customHeight="1" outlineLevel="1" x14ac:dyDescent="0.3">
      <c r="A25" s="47"/>
      <c r="B25" s="9" t="e">
        <f ca="1">CONCATENATE("          ",_xll.ONESTOP.REPORTPLAYER.OSRFUNCTIONS.OSRGET("d_Account","Code")," - ",_xll.ONESTOP.REPORTPLAYER.OSRFUNCTIONS.OSRGET("d_Account","Description"))</f>
        <v>#NAME?</v>
      </c>
      <c r="C25" s="9"/>
      <c r="D25" s="3" t="e">
        <f ca="1">-_xll.ONESTOP.REPORTPLAYER.OSRFUNCTIONS.OSRGET("GL_F_Trans","Value1")</f>
        <v>#NAME?</v>
      </c>
      <c r="E25" s="3"/>
      <c r="F25" s="26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6" t="e">
        <f ca="1">IF(H$12=0,0,H25/H$12)</f>
        <v>#NAME?</v>
      </c>
      <c r="K25" s="3"/>
      <c r="L25" s="3" t="e">
        <f ca="1">+D25-H25</f>
        <v>#NAME?</v>
      </c>
      <c r="M25" s="3"/>
      <c r="N25" s="26" t="e">
        <f ca="1">IF(H25=0,0,L25/H25)</f>
        <v>#NAME?</v>
      </c>
      <c r="O25" s="9"/>
      <c r="P25" s="3" t="e">
        <f ca="1">-_xll.ONESTOP.REPORTPLAYER.OSRFUNCTIONS.OSRGET("GL_F_Trans","Value1")</f>
        <v>#NAME?</v>
      </c>
      <c r="Q25" s="3"/>
      <c r="R25" s="26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6" t="e">
        <f ca="1">IF(T$12=0,0,T25/T$12)</f>
        <v>#NAME?</v>
      </c>
      <c r="W25" s="3"/>
      <c r="X25" s="3" t="e">
        <f ca="1">+P25-T25</f>
        <v>#NAME?</v>
      </c>
      <c r="Y25" s="3"/>
      <c r="Z25" s="26" t="e">
        <f ca="1">IF(T25=0,0,X25/T25)</f>
        <v>#NAME?</v>
      </c>
    </row>
    <row r="26" spans="1:26" ht="15" customHeight="1" x14ac:dyDescent="0.3">
      <c r="A26" s="12"/>
      <c r="B26" s="13"/>
      <c r="C26" s="13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O26" s="13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2" customFormat="1" ht="15" customHeight="1" x14ac:dyDescent="0.3">
      <c r="A27" s="13"/>
      <c r="B27" s="28" t="s">
        <v>291</v>
      </c>
      <c r="C27" s="28"/>
      <c r="D27" s="22" t="e">
        <f ca="1">+D18-D20+D24</f>
        <v>#NAME?</v>
      </c>
      <c r="E27" s="15"/>
      <c r="F27" s="24" t="e">
        <f ca="1">IF(D$12=0,0,D27/D$12)</f>
        <v>#NAME?</v>
      </c>
      <c r="G27" s="15"/>
      <c r="H27" s="22" t="e">
        <f ca="1">+H18-H20+H24</f>
        <v>#NAME?</v>
      </c>
      <c r="I27" s="15"/>
      <c r="J27" s="24" t="e">
        <f ca="1">IF(H$12=0,0,H27/H$12)</f>
        <v>#NAME?</v>
      </c>
      <c r="K27" s="17"/>
      <c r="L27" s="22" t="e">
        <f ca="1">+D27-H27</f>
        <v>#NAME?</v>
      </c>
      <c r="M27" s="17"/>
      <c r="N27" s="24" t="e">
        <f ca="1">IF(H27=0,0,L27/H27)</f>
        <v>#NAME?</v>
      </c>
      <c r="O27" s="27"/>
      <c r="P27" s="22" t="e">
        <f ca="1">+P18-P20+P24</f>
        <v>#NAME?</v>
      </c>
      <c r="Q27" s="15"/>
      <c r="R27" s="24" t="e">
        <f ca="1">IF(P$12=0,0,P27/P$12)</f>
        <v>#NAME?</v>
      </c>
      <c r="S27" s="15"/>
      <c r="T27" s="22" t="e">
        <f ca="1">+T18-T20+T24</f>
        <v>#NAME?</v>
      </c>
      <c r="U27" s="15"/>
      <c r="V27" s="24" t="e">
        <f ca="1">IF(T$12=0,0,T27/T$12)</f>
        <v>#NAME?</v>
      </c>
      <c r="W27" s="17"/>
      <c r="X27" s="22" t="e">
        <f ca="1">+P27-T27</f>
        <v>#NAME?</v>
      </c>
      <c r="Y27" s="17"/>
      <c r="Z27" s="24" t="e">
        <f ca="1">IF(T27=0,0,X27/T27)</f>
        <v>#NAME?</v>
      </c>
    </row>
    <row r="28" spans="1:26" ht="15" customHeight="1" x14ac:dyDescent="0.3">
      <c r="A28" s="12"/>
      <c r="B28" s="13"/>
      <c r="C28" s="12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2" customFormat="1" ht="15" customHeight="1" x14ac:dyDescent="0.3">
      <c r="A29" s="48"/>
      <c r="B29" s="13" t="s">
        <v>292</v>
      </c>
      <c r="C29" s="13"/>
      <c r="D29" s="8" t="e">
        <f ca="1">_xll.ONESTOP.REPORTPLAYER.OSRFUNCTIONS.OSRGET("GL_F_Trans","Value1")</f>
        <v>#NAME?</v>
      </c>
      <c r="E29" s="8"/>
      <c r="F29" s="14" t="e">
        <f ca="1">IF(D$12=0,0,D29/D$12)</f>
        <v>#NAME?</v>
      </c>
      <c r="G29" s="8"/>
      <c r="H29" s="8" t="e">
        <f ca="1">_xll.ONESTOP.REPORTPLAYER.OSRFUNCTIONS.OSRGET("GL_F_Trans","Value1")</f>
        <v>#NAME?</v>
      </c>
      <c r="I29" s="8"/>
      <c r="J29" s="14" t="e">
        <f ca="1">IF(H$12=0,0,H29/H$12)</f>
        <v>#NAME?</v>
      </c>
      <c r="K29" s="8"/>
      <c r="L29" s="8" t="e">
        <f ca="1">+D29-H29</f>
        <v>#NAME?</v>
      </c>
      <c r="M29" s="8"/>
      <c r="N29" s="14" t="e">
        <f ca="1">IF(H29=0,0,L29/H29)</f>
        <v>#NAME?</v>
      </c>
      <c r="O29" s="13"/>
      <c r="P29" s="8" t="e">
        <f ca="1">_xll.ONESTOP.REPORTPLAYER.OSRFUNCTIONS.OSRGET("GL_F_Trans","Value1")</f>
        <v>#NAME?</v>
      </c>
      <c r="Q29" s="8"/>
      <c r="R29" s="14" t="e">
        <f ca="1">IF(P$12=0,0,P29/P$12)</f>
        <v>#NAME?</v>
      </c>
      <c r="S29" s="8"/>
      <c r="T29" s="8" t="e">
        <f ca="1">_xll.ONESTOP.REPORTPLAYER.OSRFUNCTIONS.OSRGET("GL_F_Trans","Value1")</f>
        <v>#NAME?</v>
      </c>
      <c r="U29" s="8"/>
      <c r="V29" s="14" t="e">
        <f ca="1">IF(T$12=0,0,T29/T$12)</f>
        <v>#NAME?</v>
      </c>
      <c r="W29" s="8"/>
      <c r="X29" s="8" t="e">
        <f ca="1">+P29-T29</f>
        <v>#NAME?</v>
      </c>
      <c r="Y29" s="8"/>
      <c r="Z29" s="14" t="e">
        <f ca="1">IF(T29=0,0,X29/T29)</f>
        <v>#NAME?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293</v>
      </c>
      <c r="C31" s="28"/>
      <c r="D31" s="29" t="e">
        <f ca="1">+D27-D29</f>
        <v>#NAME?</v>
      </c>
      <c r="E31" s="15"/>
      <c r="F31" s="31" t="e">
        <f ca="1">IF(D$12=0,0,D31/D$12)</f>
        <v>#NAME?</v>
      </c>
      <c r="G31" s="15"/>
      <c r="H31" s="29" t="e">
        <f ca="1">+H27-H29</f>
        <v>#NAME?</v>
      </c>
      <c r="I31" s="15"/>
      <c r="J31" s="31" t="e">
        <f ca="1">IF(H$12=0,0,H31/H$12)</f>
        <v>#NAME?</v>
      </c>
      <c r="K31" s="17"/>
      <c r="L31" s="29" t="e">
        <f ca="1">D31-H31</f>
        <v>#NAME?</v>
      </c>
      <c r="M31" s="17"/>
      <c r="N31" s="31" t="e">
        <f ca="1">IF(H31=0,0,L31/H31)</f>
        <v>#NAME?</v>
      </c>
      <c r="O31" s="27"/>
      <c r="P31" s="29" t="e">
        <f ca="1">+P27-P29</f>
        <v>#NAME?</v>
      </c>
      <c r="Q31" s="15"/>
      <c r="R31" s="31" t="e">
        <f ca="1">IF(P$12=0,0,P31/P$12)</f>
        <v>#NAME?</v>
      </c>
      <c r="S31" s="15"/>
      <c r="T31" s="29" t="e">
        <f ca="1">+T27-T29</f>
        <v>#NAME?</v>
      </c>
      <c r="U31" s="15"/>
      <c r="V31" s="31" t="e">
        <f ca="1">IF(T$12=0,0,T31/T$12)</f>
        <v>#NAME?</v>
      </c>
      <c r="W31" s="17"/>
      <c r="X31" s="29" t="e">
        <f ca="1">P31-T31</f>
        <v>#NAME?</v>
      </c>
      <c r="Y31" s="17"/>
      <c r="Z31" s="31" t="e">
        <f ca="1">IF(T31=0,0,X31/T31)</f>
        <v>#NAME?</v>
      </c>
    </row>
    <row r="32" spans="1:26" ht="15" customHeight="1" x14ac:dyDescent="0.3">
      <c r="A32" s="12"/>
      <c r="B32" s="12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2" customFormat="1" ht="15" customHeight="1" x14ac:dyDescent="0.3">
      <c r="A33" s="48"/>
      <c r="B33" s="13" t="s">
        <v>294</v>
      </c>
      <c r="C33" s="13"/>
      <c r="D33" s="8" t="e">
        <f ca="1">-_xll.ONESTOP.REPORTPLAYER.OSRFUNCTIONS.OSRGET("GL_F_Trans","Value1")</f>
        <v>#NAME?</v>
      </c>
      <c r="E33" s="8"/>
      <c r="F33" s="14" t="e">
        <f ca="1">IF(D$12=0,0,D33/D$12)</f>
        <v>#NAME?</v>
      </c>
      <c r="G33" s="8"/>
      <c r="H33" s="8" t="e">
        <f ca="1">-_xll.ONESTOP.REPORTPLAYER.OSRFUNCTIONS.OSRGET("GL_F_Trans","Value1")</f>
        <v>#NAME?</v>
      </c>
      <c r="I33" s="8"/>
      <c r="J33" s="14" t="e">
        <f ca="1">IF(H$12=0,0,H33/H$12)</f>
        <v>#NAME?</v>
      </c>
      <c r="K33" s="8"/>
      <c r="L33" s="8" t="e">
        <f ca="1">+D33-H33</f>
        <v>#NAME?</v>
      </c>
      <c r="M33" s="8"/>
      <c r="N33" s="14" t="e">
        <f ca="1">IF(H33=0,0,L33/H33)</f>
        <v>#NAME?</v>
      </c>
      <c r="O33" s="13"/>
      <c r="P33" s="8" t="e">
        <f ca="1">-_xll.ONESTOP.REPORTPLAYER.OSRFUNCTIONS.OSRGET("GL_F_Trans","Value1")</f>
        <v>#NAME?</v>
      </c>
      <c r="Q33" s="8"/>
      <c r="R33" s="14" t="e">
        <f ca="1">IF(P$12=0,0,P33/P$12)</f>
        <v>#NAME?</v>
      </c>
      <c r="S33" s="8"/>
      <c r="T33" s="8" t="e">
        <f ca="1">-_xll.ONESTOP.REPORTPLAYER.OSRFUNCTIONS.OSRGET("GL_F_Trans","Value1")</f>
        <v>#NAME?</v>
      </c>
      <c r="U33" s="8"/>
      <c r="V33" s="14" t="e">
        <f ca="1">IF(T$12=0,0,T33/T$12)</f>
        <v>#NAME?</v>
      </c>
      <c r="W33" s="8"/>
      <c r="X33" s="8" t="e">
        <f ca="1">+P33-T33</f>
        <v>#NAME?</v>
      </c>
      <c r="Y33" s="8"/>
      <c r="Z33" s="14" t="e">
        <f ca="1">IF(T33=0,0,X33/T33)</f>
        <v>#NAME?</v>
      </c>
    </row>
    <row r="34" spans="1:26" s="62" customFormat="1" ht="15" customHeight="1" x14ac:dyDescent="0.3">
      <c r="A34" s="48"/>
      <c r="B34" s="13" t="s">
        <v>295</v>
      </c>
      <c r="C34" s="13"/>
      <c r="D34" s="8" t="e">
        <f ca="1">-_xll.ONESTOP.REPORTPLAYER.OSRFUNCTIONS.OSRGET("GL_F_Trans","Value1")</f>
        <v>#NAME?</v>
      </c>
      <c r="E34" s="8"/>
      <c r="F34" s="14" t="e">
        <f ca="1">IF(D$12=0,0,D34/D$12)</f>
        <v>#NAME?</v>
      </c>
      <c r="G34" s="8"/>
      <c r="H34" s="8" t="e">
        <f ca="1">-_xll.ONESTOP.REPORTPLAYER.OSRFUNCTIONS.OSRGET("GL_F_Trans","Value1")</f>
        <v>#NAME?</v>
      </c>
      <c r="I34" s="8"/>
      <c r="J34" s="14" t="e">
        <f ca="1">IF(H$12=0,0,H34/H$12)</f>
        <v>#NAME?</v>
      </c>
      <c r="K34" s="8"/>
      <c r="L34" s="8" t="e">
        <f ca="1">+D34-H34</f>
        <v>#NAME?</v>
      </c>
      <c r="M34" s="8"/>
      <c r="N34" s="14" t="e">
        <f ca="1">IF(H34=0,0,L34/H34)</f>
        <v>#NAME?</v>
      </c>
      <c r="O34" s="13"/>
      <c r="P34" s="8" t="e">
        <f ca="1">-_xll.ONESTOP.REPORTPLAYER.OSRFUNCTIONS.OSRGET("GL_F_Trans","Value1")</f>
        <v>#NAME?</v>
      </c>
      <c r="Q34" s="8"/>
      <c r="R34" s="14" t="e">
        <f ca="1">IF(P$12=0,0,P34/P$12)</f>
        <v>#NAME?</v>
      </c>
      <c r="S34" s="8"/>
      <c r="T34" s="8" t="e">
        <f ca="1">-_xll.ONESTOP.REPORTPLAYER.OSRFUNCTIONS.OSRGET("GL_F_Trans","Value1")</f>
        <v>#NAME?</v>
      </c>
      <c r="U34" s="8"/>
      <c r="V34" s="14" t="e">
        <f ca="1">IF(T$12=0,0,T34/T$12)</f>
        <v>#NAME?</v>
      </c>
      <c r="W34" s="8"/>
      <c r="X34" s="8" t="e">
        <f ca="1">+P34-T34</f>
        <v>#NAME?</v>
      </c>
      <c r="Y34" s="8"/>
      <c r="Z34" s="14" t="e">
        <f ca="1">IF(T34=0,0,X34/T34)</f>
        <v>#NAME?</v>
      </c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2" customFormat="1" ht="15" customHeight="1" x14ac:dyDescent="0.3">
      <c r="A36" s="13"/>
      <c r="B36" s="28" t="s">
        <v>296</v>
      </c>
      <c r="C36" s="28"/>
      <c r="D36" s="30" t="e">
        <f ca="1">SUM(D31:D35)</f>
        <v>#NAME?</v>
      </c>
      <c r="E36" s="15"/>
      <c r="F36" s="35" t="e">
        <f ca="1">IF(D$12=0,0,D36/D$12)</f>
        <v>#NAME?</v>
      </c>
      <c r="G36" s="15"/>
      <c r="H36" s="30" t="e">
        <f ca="1">SUM(H31:H35)</f>
        <v>#NAME?</v>
      </c>
      <c r="I36" s="15"/>
      <c r="J36" s="35" t="e">
        <f ca="1">IF(H$12=0,0,H36/H$12)</f>
        <v>#NAME?</v>
      </c>
      <c r="K36" s="17"/>
      <c r="L36" s="30" t="e">
        <f ca="1">+D36-H36</f>
        <v>#NAME?</v>
      </c>
      <c r="M36" s="17"/>
      <c r="N36" s="35" t="e">
        <f ca="1">IF(H36=0,0,L36/H36)</f>
        <v>#NAME?</v>
      </c>
      <c r="O36" s="27"/>
      <c r="P36" s="30" t="e">
        <f ca="1">SUM(P31:P35)</f>
        <v>#NAME?</v>
      </c>
      <c r="Q36" s="15"/>
      <c r="R36" s="35" t="e">
        <f ca="1">IF(P$12=0,0,P36/P$12)</f>
        <v>#NAME?</v>
      </c>
      <c r="S36" s="15"/>
      <c r="T36" s="30" t="e">
        <f ca="1">SUM(T31:T35)</f>
        <v>#NAME?</v>
      </c>
      <c r="U36" s="15"/>
      <c r="V36" s="35" t="e">
        <f ca="1">IF(T$12=0,0,T36/T$12)</f>
        <v>#NAME?</v>
      </c>
      <c r="W36" s="17"/>
      <c r="X36" s="30" t="e">
        <f ca="1">+P36-T36</f>
        <v>#NAME?</v>
      </c>
      <c r="Y36" s="17"/>
      <c r="Z36" s="35" t="e">
        <f ca="1">IF(T36=0,0,X36/T36)</f>
        <v>#NAME?</v>
      </c>
    </row>
    <row r="37" spans="1:26" ht="15" customHeight="1" x14ac:dyDescent="0.3">
      <c r="A37" s="12"/>
      <c r="C37" s="12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4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3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1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C4C3D-ED47-F231-C4C6-1C8370C8BC81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","200"," - ","Corporate Expense")</f>
        <v>Department 200 - Corporate Expense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-5770176.8500000015</v>
      </c>
      <c r="E18" s="23"/>
      <c r="F18" s="34">
        <f t="shared" ref="F18:F27" si="0">IF(D$12=0,0,D18/D$12)</f>
        <v>0</v>
      </c>
      <c r="G18" s="23"/>
      <c r="H18" s="23" cm="1">
        <f t="array" ref="H18">SUM(OSRRefH22x_0)</f>
        <v>9658.2599999999584</v>
      </c>
      <c r="I18" s="23"/>
      <c r="J18" s="34">
        <f t="shared" ref="J18:J27" si="1">IF(H$12=0,0,H18/H$12)</f>
        <v>0</v>
      </c>
      <c r="K18" s="8"/>
      <c r="L18" s="23">
        <f t="shared" ref="L18:L27" si="2">+D18-H18</f>
        <v>-5779835.1100000013</v>
      </c>
      <c r="M18" s="8"/>
      <c r="N18" s="34">
        <f t="shared" ref="N18:N27" si="3">IF(H18=0,0,L18/H18)</f>
        <v>-598.43440847523527</v>
      </c>
      <c r="O18" s="13"/>
      <c r="P18" s="23" cm="1">
        <f t="array" ref="P18">SUM(OSRRefP22x_0)</f>
        <v>-5392421.0600000005</v>
      </c>
      <c r="Q18" s="23"/>
      <c r="R18" s="34">
        <f t="shared" ref="R18:R27" si="4">IF(P$12=0,0,P18/P$12)</f>
        <v>0</v>
      </c>
      <c r="S18" s="23"/>
      <c r="T18" s="23" cm="1">
        <f t="array" ref="T18">SUM(OSRRefT22x_0)</f>
        <v>726.46999999995023</v>
      </c>
      <c r="U18" s="23"/>
      <c r="V18" s="34">
        <f t="shared" ref="V18:V27" si="5">IF(T$12=0,0,T18/T$12)</f>
        <v>0</v>
      </c>
      <c r="W18" s="8"/>
      <c r="X18" s="23">
        <f t="shared" ref="X18:X27" si="6">+P18-T18</f>
        <v>-5393147.5300000003</v>
      </c>
      <c r="Y18" s="8"/>
      <c r="Z18" s="34">
        <f t="shared" ref="Z18:Z27" si="7">IF(T18=0,0,X18/T18)</f>
        <v>-7423.7718419210287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-5780756.2200000007</v>
      </c>
      <c r="E19" s="2"/>
      <c r="F19" s="5">
        <f t="shared" si="0"/>
        <v>0</v>
      </c>
      <c r="G19" s="2"/>
      <c r="H19" s="2">
        <f>SUM(OSRRefH22_0x_0)</f>
        <v>8607.0799999999581</v>
      </c>
      <c r="I19" s="2"/>
      <c r="J19" s="5">
        <f t="shared" si="1"/>
        <v>0</v>
      </c>
      <c r="K19" s="2"/>
      <c r="L19" s="2">
        <f t="shared" si="2"/>
        <v>-5789363.3000000007</v>
      </c>
      <c r="M19" s="2"/>
      <c r="N19" s="5">
        <f t="shared" si="3"/>
        <v>-672.62803413004519</v>
      </c>
      <c r="O19" s="11"/>
      <c r="P19" s="2">
        <f>SUM(OSRRefP22_0x_0)</f>
        <v>-5484334.0600000005</v>
      </c>
      <c r="Q19" s="2"/>
      <c r="R19" s="5">
        <f t="shared" si="4"/>
        <v>0</v>
      </c>
      <c r="S19" s="2"/>
      <c r="T19" s="2">
        <f>SUM(OSRRefT22_0x_0)</f>
        <v>-68086.800000000047</v>
      </c>
      <c r="U19" s="2"/>
      <c r="V19" s="5">
        <f t="shared" si="5"/>
        <v>0</v>
      </c>
      <c r="W19" s="2"/>
      <c r="X19" s="2">
        <f t="shared" si="6"/>
        <v>-5416247.2600000007</v>
      </c>
      <c r="Y19" s="2"/>
      <c r="Z19" s="5">
        <f t="shared" si="7"/>
        <v>79.549152846072914</v>
      </c>
    </row>
    <row r="20" spans="1:26" s="69" customFormat="1" ht="15" hidden="1" customHeight="1" outlineLevel="2" x14ac:dyDescent="0.3">
      <c r="A20" s="21"/>
      <c r="B20" s="9" t="str">
        <f>CONCATENATE("          ","6115"," - ","P.E.R.S.")</f>
        <v xml:space="preserve">          6115 - P.E.R.S.</v>
      </c>
      <c r="C20" s="9"/>
      <c r="D20" s="6">
        <v>-3112920</v>
      </c>
      <c r="E20" s="3"/>
      <c r="F20" s="7">
        <f t="shared" si="0"/>
        <v>0</v>
      </c>
      <c r="G20" s="3"/>
      <c r="H20" s="6">
        <v>1024129</v>
      </c>
      <c r="I20" s="3"/>
      <c r="J20" s="7">
        <f t="shared" si="1"/>
        <v>0</v>
      </c>
      <c r="K20" s="3"/>
      <c r="L20" s="6">
        <f t="shared" si="2"/>
        <v>-4137049</v>
      </c>
      <c r="M20" s="3"/>
      <c r="N20" s="7">
        <f t="shared" si="3"/>
        <v>-4.0395780219093496</v>
      </c>
      <c r="O20" s="9"/>
      <c r="P20" s="6">
        <v>-3112920</v>
      </c>
      <c r="Q20" s="3"/>
      <c r="R20" s="7">
        <f t="shared" si="4"/>
        <v>0</v>
      </c>
      <c r="S20" s="3"/>
      <c r="T20" s="6">
        <v>1024129</v>
      </c>
      <c r="U20" s="3"/>
      <c r="V20" s="7">
        <f t="shared" si="5"/>
        <v>0</v>
      </c>
      <c r="W20" s="3"/>
      <c r="X20" s="6">
        <f t="shared" si="6"/>
        <v>-4137049</v>
      </c>
      <c r="Y20" s="3"/>
      <c r="Z20" s="7">
        <f t="shared" si="7"/>
        <v>-4.0395780219093496</v>
      </c>
    </row>
    <row r="21" spans="1:26" s="69" customFormat="1" ht="15" hidden="1" customHeight="1" outlineLevel="2" x14ac:dyDescent="0.3">
      <c r="A21" s="21"/>
      <c r="B21" s="9" t="str">
        <f>CONCATENATE("          ","6120"," - ","RETIREES HEALTH INSURANCE")</f>
        <v xml:space="preserve">          6120 - RETIREES HEALTH INSURANCE</v>
      </c>
      <c r="C21" s="9"/>
      <c r="D21" s="6">
        <v>-2667836.2200000002</v>
      </c>
      <c r="E21" s="3"/>
      <c r="F21" s="7">
        <f t="shared" si="0"/>
        <v>0</v>
      </c>
      <c r="G21" s="3"/>
      <c r="H21" s="6">
        <v>-1015521.92</v>
      </c>
      <c r="I21" s="3"/>
      <c r="J21" s="7">
        <f t="shared" si="1"/>
        <v>0</v>
      </c>
      <c r="K21" s="3"/>
      <c r="L21" s="6">
        <f t="shared" si="2"/>
        <v>-1652314.3000000003</v>
      </c>
      <c r="M21" s="3"/>
      <c r="N21" s="7">
        <f t="shared" si="3"/>
        <v>1.627059216998487</v>
      </c>
      <c r="O21" s="9"/>
      <c r="P21" s="6">
        <v>-2371414.06</v>
      </c>
      <c r="Q21" s="3"/>
      <c r="R21" s="7">
        <f t="shared" si="4"/>
        <v>0</v>
      </c>
      <c r="S21" s="3"/>
      <c r="T21" s="6">
        <v>-1092215.8</v>
      </c>
      <c r="U21" s="3"/>
      <c r="V21" s="7">
        <f t="shared" si="5"/>
        <v>0</v>
      </c>
      <c r="W21" s="3"/>
      <c r="X21" s="6">
        <f t="shared" si="6"/>
        <v>-1279198.26</v>
      </c>
      <c r="Y21" s="3"/>
      <c r="Z21" s="7">
        <f t="shared" si="7"/>
        <v>1.1711955274772623</v>
      </c>
    </row>
    <row r="22" spans="1:26" s="68" customFormat="1" ht="15" customHeight="1" outlineLevel="1" collapsed="1" x14ac:dyDescent="0.3">
      <c r="A22" s="20"/>
      <c r="B22" s="11" t="str">
        <f>CONCATENATE("     ","Bank/card Fees                                    ")</f>
        <v xml:space="preserve">     Bank/card Fees                                    </v>
      </c>
      <c r="C22" s="11"/>
      <c r="D22" s="2">
        <f>SUM(OSRRefD22_1x_0)</f>
        <v>382.6</v>
      </c>
      <c r="E22" s="2"/>
      <c r="F22" s="5">
        <f t="shared" si="0"/>
        <v>0</v>
      </c>
      <c r="G22" s="2"/>
      <c r="H22" s="2">
        <f>SUM(OSRRefH22_1x_0)</f>
        <v>3.07</v>
      </c>
      <c r="I22" s="2"/>
      <c r="J22" s="5">
        <f t="shared" si="1"/>
        <v>0</v>
      </c>
      <c r="K22" s="2"/>
      <c r="L22" s="2">
        <f t="shared" si="2"/>
        <v>379.53000000000003</v>
      </c>
      <c r="M22" s="2"/>
      <c r="N22" s="5">
        <f t="shared" si="3"/>
        <v>123.62540716612379</v>
      </c>
      <c r="O22" s="11"/>
      <c r="P22" s="2">
        <f>SUM(OSRRefP22_1x_0)</f>
        <v>13559.82</v>
      </c>
      <c r="Q22" s="2"/>
      <c r="R22" s="5">
        <f t="shared" si="4"/>
        <v>0</v>
      </c>
      <c r="S22" s="2"/>
      <c r="T22" s="2">
        <f>SUM(OSRRefT22_1x_0)</f>
        <v>6999.14</v>
      </c>
      <c r="U22" s="2"/>
      <c r="V22" s="5">
        <f t="shared" si="5"/>
        <v>0</v>
      </c>
      <c r="W22" s="2"/>
      <c r="X22" s="2">
        <f t="shared" si="6"/>
        <v>6560.6799999999994</v>
      </c>
      <c r="Y22" s="2"/>
      <c r="Z22" s="5">
        <f t="shared" si="7"/>
        <v>0.93735516077689529</v>
      </c>
    </row>
    <row r="23" spans="1:26" s="69" customFormat="1" ht="15" hidden="1" customHeight="1" outlineLevel="2" x14ac:dyDescent="0.3">
      <c r="A23" s="21"/>
      <c r="B23" s="9" t="str">
        <f>CONCATENATE("          ","6381"," - ","BANK/CREDIT CARD FEES")</f>
        <v xml:space="preserve">          6381 - BANK/CREDIT CARD FEES</v>
      </c>
      <c r="C23" s="9"/>
      <c r="D23" s="6">
        <v>382.6</v>
      </c>
      <c r="E23" s="3"/>
      <c r="F23" s="7">
        <f t="shared" si="0"/>
        <v>0</v>
      </c>
      <c r="G23" s="3"/>
      <c r="H23" s="6">
        <v>3.07</v>
      </c>
      <c r="I23" s="3"/>
      <c r="J23" s="7">
        <f t="shared" si="1"/>
        <v>0</v>
      </c>
      <c r="K23" s="3"/>
      <c r="L23" s="6">
        <f t="shared" si="2"/>
        <v>379.53000000000003</v>
      </c>
      <c r="M23" s="3"/>
      <c r="N23" s="7">
        <f t="shared" si="3"/>
        <v>123.62540716612379</v>
      </c>
      <c r="O23" s="9"/>
      <c r="P23" s="6">
        <v>13559.82</v>
      </c>
      <c r="Q23" s="3"/>
      <c r="R23" s="7">
        <f t="shared" si="4"/>
        <v>0</v>
      </c>
      <c r="S23" s="3"/>
      <c r="T23" s="6">
        <v>6999.14</v>
      </c>
      <c r="U23" s="3"/>
      <c r="V23" s="7">
        <f t="shared" si="5"/>
        <v>0</v>
      </c>
      <c r="W23" s="3"/>
      <c r="X23" s="6">
        <f t="shared" si="6"/>
        <v>6560.6799999999994</v>
      </c>
      <c r="Y23" s="3"/>
      <c r="Z23" s="7">
        <f t="shared" si="7"/>
        <v>0.93735516077689529</v>
      </c>
    </row>
    <row r="24" spans="1:26" s="68" customFormat="1" ht="15" customHeight="1" outlineLevel="1" collapsed="1" x14ac:dyDescent="0.3">
      <c r="A24" s="20"/>
      <c r="B24" s="11" t="str">
        <f>CONCATENATE("     ","Board                                             ")</f>
        <v xml:space="preserve">     Board                                             </v>
      </c>
      <c r="C24" s="11"/>
      <c r="D24" s="2">
        <f>SUM(OSRRefD22_2x_0)</f>
        <v>10196.77</v>
      </c>
      <c r="E24" s="2"/>
      <c r="F24" s="5">
        <f t="shared" si="0"/>
        <v>0</v>
      </c>
      <c r="G24" s="2"/>
      <c r="H24" s="2">
        <f>SUM(OSRRefH22_2x_0)</f>
        <v>1048.1099999999999</v>
      </c>
      <c r="I24" s="2"/>
      <c r="J24" s="5">
        <f t="shared" si="1"/>
        <v>0</v>
      </c>
      <c r="K24" s="2"/>
      <c r="L24" s="2">
        <f t="shared" si="2"/>
        <v>9148.66</v>
      </c>
      <c r="M24" s="2"/>
      <c r="N24" s="5">
        <f t="shared" si="3"/>
        <v>8.7287212220091401</v>
      </c>
      <c r="O24" s="11"/>
      <c r="P24" s="2">
        <f>SUM(OSRRefP22_2x_0)</f>
        <v>36852.18</v>
      </c>
      <c r="Q24" s="2"/>
      <c r="R24" s="5">
        <f t="shared" si="4"/>
        <v>0</v>
      </c>
      <c r="S24" s="2"/>
      <c r="T24" s="2">
        <f>SUM(OSRRefT22_2x_0)</f>
        <v>15246.13</v>
      </c>
      <c r="U24" s="2"/>
      <c r="V24" s="5">
        <f t="shared" si="5"/>
        <v>0</v>
      </c>
      <c r="W24" s="2"/>
      <c r="X24" s="2">
        <f t="shared" si="6"/>
        <v>21606.050000000003</v>
      </c>
      <c r="Y24" s="2"/>
      <c r="Z24" s="5">
        <f t="shared" si="7"/>
        <v>1.4171497947347953</v>
      </c>
    </row>
    <row r="25" spans="1:26" s="69" customFormat="1" ht="15" hidden="1" customHeight="1" outlineLevel="2" x14ac:dyDescent="0.3">
      <c r="A25" s="21"/>
      <c r="B25" s="9" t="str">
        <f>CONCATENATE("          ","6397"," - ","BOARD EXPENSES")</f>
        <v xml:space="preserve">          6397 - BOARD EXPENSES</v>
      </c>
      <c r="C25" s="9"/>
      <c r="D25" s="6">
        <v>10196.77</v>
      </c>
      <c r="E25" s="3"/>
      <c r="F25" s="7">
        <f t="shared" si="0"/>
        <v>0</v>
      </c>
      <c r="G25" s="3"/>
      <c r="H25" s="6">
        <v>1048.1099999999999</v>
      </c>
      <c r="I25" s="3"/>
      <c r="J25" s="7">
        <f t="shared" si="1"/>
        <v>0</v>
      </c>
      <c r="K25" s="3"/>
      <c r="L25" s="6">
        <f t="shared" si="2"/>
        <v>9148.66</v>
      </c>
      <c r="M25" s="3"/>
      <c r="N25" s="7">
        <f t="shared" si="3"/>
        <v>8.7287212220091401</v>
      </c>
      <c r="O25" s="9"/>
      <c r="P25" s="6">
        <v>36852.18</v>
      </c>
      <c r="Q25" s="3"/>
      <c r="R25" s="7">
        <f t="shared" si="4"/>
        <v>0</v>
      </c>
      <c r="S25" s="3"/>
      <c r="T25" s="6">
        <v>15246.13</v>
      </c>
      <c r="U25" s="3"/>
      <c r="V25" s="7">
        <f t="shared" si="5"/>
        <v>0</v>
      </c>
      <c r="W25" s="3"/>
      <c r="X25" s="6">
        <f t="shared" si="6"/>
        <v>21606.050000000003</v>
      </c>
      <c r="Y25" s="3"/>
      <c r="Z25" s="7">
        <f t="shared" si="7"/>
        <v>1.4171497947347953</v>
      </c>
    </row>
    <row r="26" spans="1:26" s="68" customFormat="1" ht="15" customHeight="1" outlineLevel="1" collapsed="1" x14ac:dyDescent="0.3">
      <c r="A26" s="20"/>
      <c r="B26" s="11" t="str">
        <f>CONCATENATE("     ","Professional Services                             ")</f>
        <v xml:space="preserve">     Professional Services                             </v>
      </c>
      <c r="C26" s="11"/>
      <c r="D26" s="2">
        <f>SUM(OSRRefD22_3x_0)</f>
        <v>0</v>
      </c>
      <c r="E26" s="2"/>
      <c r="F26" s="5">
        <f t="shared" si="0"/>
        <v>0</v>
      </c>
      <c r="G26" s="2"/>
      <c r="H26" s="2">
        <f>SUM(OSRRefH22_3x_0)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SUM(OSRRefP22_3x_0)</f>
        <v>41501</v>
      </c>
      <c r="Q26" s="2"/>
      <c r="R26" s="5">
        <f t="shared" si="4"/>
        <v>0</v>
      </c>
      <c r="S26" s="2"/>
      <c r="T26" s="2">
        <f>SUM(OSRRefT22_3x_0)</f>
        <v>46568</v>
      </c>
      <c r="U26" s="2"/>
      <c r="V26" s="5">
        <f t="shared" si="5"/>
        <v>0</v>
      </c>
      <c r="W26" s="2"/>
      <c r="X26" s="2">
        <f t="shared" si="6"/>
        <v>-5067</v>
      </c>
      <c r="Y26" s="2"/>
      <c r="Z26" s="5">
        <f t="shared" si="7"/>
        <v>-0.1088086239477753</v>
      </c>
    </row>
    <row r="27" spans="1:26" s="69" customFormat="1" ht="15" hidden="1" customHeight="1" outlineLevel="2" x14ac:dyDescent="0.3">
      <c r="A27" s="21"/>
      <c r="B27" s="9" t="str">
        <f>CONCATENATE("          ","6331"," - ","INDIRECT COSTS-AUXILIARY ORGAN")</f>
        <v xml:space="preserve">          6331 - INDIRECT COSTS-AUXILIARY ORGAN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41501</v>
      </c>
      <c r="Q27" s="3"/>
      <c r="R27" s="7">
        <f t="shared" si="4"/>
        <v>0</v>
      </c>
      <c r="S27" s="3"/>
      <c r="T27" s="6">
        <v>46568</v>
      </c>
      <c r="U27" s="3"/>
      <c r="V27" s="7">
        <f t="shared" si="5"/>
        <v>0</v>
      </c>
      <c r="W27" s="3"/>
      <c r="X27" s="6">
        <f t="shared" si="6"/>
        <v>-5067</v>
      </c>
      <c r="Y27" s="3"/>
      <c r="Z27" s="7">
        <f t="shared" si="7"/>
        <v>-0.1088086239477753</v>
      </c>
    </row>
    <row r="28" spans="1:26" s="64" customFormat="1" ht="15" customHeight="1" x14ac:dyDescent="0.3">
      <c r="A28" s="37"/>
      <c r="B28" s="37"/>
      <c r="C28" s="37"/>
      <c r="D28" s="2"/>
      <c r="E28" s="2"/>
      <c r="F28" s="5"/>
      <c r="G28" s="2"/>
      <c r="H28" s="2"/>
      <c r="I28" s="2"/>
      <c r="J28" s="5"/>
      <c r="K28" s="2"/>
      <c r="L28" s="2"/>
      <c r="M28" s="2"/>
      <c r="N28" s="5"/>
      <c r="O28" s="37"/>
      <c r="P28" s="2"/>
      <c r="Q28" s="2"/>
      <c r="R28" s="5"/>
      <c r="S28" s="2"/>
      <c r="T28" s="2"/>
      <c r="U28" s="2"/>
      <c r="V28" s="5"/>
      <c r="W28" s="2"/>
      <c r="X28" s="2"/>
      <c r="Y28" s="2"/>
      <c r="Z28" s="5"/>
    </row>
    <row r="29" spans="1:26" s="62" customFormat="1" ht="15" customHeight="1" x14ac:dyDescent="0.3">
      <c r="A29" s="13"/>
      <c r="B29" s="27" t="s">
        <v>290</v>
      </c>
      <c r="C29" s="13"/>
      <c r="D29" s="8">
        <f>SUM(0)</f>
        <v>0</v>
      </c>
      <c r="E29" s="8"/>
      <c r="F29" s="14">
        <f>IF(D$12=0,0,D29/D$12)</f>
        <v>0</v>
      </c>
      <c r="G29" s="8"/>
      <c r="H29" s="8">
        <f>SUM(0)</f>
        <v>0</v>
      </c>
      <c r="I29" s="8"/>
      <c r="J29" s="14">
        <f>IF(H$12=0,0,H29/H$12)</f>
        <v>0</v>
      </c>
      <c r="K29" s="8"/>
      <c r="L29" s="8">
        <f>+D29-H29</f>
        <v>0</v>
      </c>
      <c r="M29" s="8"/>
      <c r="N29" s="14">
        <f>IF(H29=0,0,L29/H29)</f>
        <v>0</v>
      </c>
      <c r="O29" s="13"/>
      <c r="P29" s="8">
        <f>SUM(0)</f>
        <v>0</v>
      </c>
      <c r="Q29" s="8"/>
      <c r="R29" s="14">
        <f>IF(P$12=0,0,P29/P$12)</f>
        <v>0</v>
      </c>
      <c r="S29" s="8"/>
      <c r="T29" s="8">
        <f>SUM(0)</f>
        <v>0</v>
      </c>
      <c r="U29" s="8"/>
      <c r="V29" s="14">
        <f>IF(T$12=0,0,T29/T$12)</f>
        <v>0</v>
      </c>
      <c r="W29" s="8"/>
      <c r="X29" s="8">
        <f>+P29-T29</f>
        <v>0</v>
      </c>
      <c r="Y29" s="8"/>
      <c r="Z29" s="14">
        <f>IF(T29=0,0,X29/T29)</f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2" customFormat="1" ht="15" customHeight="1" x14ac:dyDescent="0.3">
      <c r="A31" s="13"/>
      <c r="B31" s="28" t="s">
        <v>291</v>
      </c>
      <c r="C31" s="28"/>
      <c r="D31" s="22">
        <f>+D16-D18+D29</f>
        <v>5770176.8500000015</v>
      </c>
      <c r="E31" s="15"/>
      <c r="F31" s="24">
        <f>IF(D$12=0,0,D31/D$12)</f>
        <v>0</v>
      </c>
      <c r="G31" s="15"/>
      <c r="H31" s="22">
        <f>+H16-H18+H29</f>
        <v>-9658.2599999999584</v>
      </c>
      <c r="I31" s="15"/>
      <c r="J31" s="24">
        <f>IF(H$12=0,0,H31/H$12)</f>
        <v>0</v>
      </c>
      <c r="K31" s="17"/>
      <c r="L31" s="22">
        <f>+D31-H31</f>
        <v>5779835.1100000013</v>
      </c>
      <c r="M31" s="17"/>
      <c r="N31" s="24">
        <f>IF(H31=0,0,L31/H31)</f>
        <v>-598.43440847523527</v>
      </c>
      <c r="O31" s="27"/>
      <c r="P31" s="22">
        <f>+P16-P18+P29</f>
        <v>5392421.0600000005</v>
      </c>
      <c r="Q31" s="15"/>
      <c r="R31" s="24">
        <f>IF(P$12=0,0,P31/P$12)</f>
        <v>0</v>
      </c>
      <c r="S31" s="15"/>
      <c r="T31" s="22">
        <f>+T16-T18+T29</f>
        <v>-726.46999999995023</v>
      </c>
      <c r="U31" s="15"/>
      <c r="V31" s="24">
        <f>IF(T$12=0,0,T31/T$12)</f>
        <v>0</v>
      </c>
      <c r="W31" s="17"/>
      <c r="X31" s="22">
        <f>+P31-T31</f>
        <v>5393147.5300000003</v>
      </c>
      <c r="Y31" s="17"/>
      <c r="Z31" s="24">
        <f>IF(T31=0,0,X31/T31)</f>
        <v>-7423.7718419210287</v>
      </c>
    </row>
    <row r="32" spans="1:26" ht="15" customHeight="1" x14ac:dyDescent="0.3">
      <c r="A32" s="12"/>
      <c r="B32" s="13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2" customFormat="1" ht="15" customHeight="1" x14ac:dyDescent="0.3">
      <c r="A33" s="48"/>
      <c r="B33" s="13" t="s">
        <v>292</v>
      </c>
      <c r="C33" s="13"/>
      <c r="D33" s="8"/>
      <c r="E33" s="8"/>
      <c r="F33" s="14">
        <f>IF(D$12=0,0,D33/D$12)</f>
        <v>0</v>
      </c>
      <c r="G33" s="8"/>
      <c r="H33" s="8"/>
      <c r="I33" s="8"/>
      <c r="J33" s="14">
        <f>IF(H$12=0,0,H33/H$12)</f>
        <v>0</v>
      </c>
      <c r="K33" s="8"/>
      <c r="L33" s="8">
        <f>+D33-H33</f>
        <v>0</v>
      </c>
      <c r="M33" s="8"/>
      <c r="N33" s="14">
        <f>IF(H33=0,0,L33/H33)</f>
        <v>0</v>
      </c>
      <c r="O33" s="13"/>
      <c r="P33" s="8"/>
      <c r="Q33" s="8"/>
      <c r="R33" s="14">
        <f>IF(P$12=0,0,P33/P$12)</f>
        <v>0</v>
      </c>
      <c r="S33" s="8"/>
      <c r="T33" s="8"/>
      <c r="U33" s="8"/>
      <c r="V33" s="14">
        <f>IF(T$12=0,0,T33/T$12)</f>
        <v>0</v>
      </c>
      <c r="W33" s="8"/>
      <c r="X33" s="8">
        <f>+P33-T33</f>
        <v>0</v>
      </c>
      <c r="Y33" s="8"/>
      <c r="Z33" s="14">
        <f>IF(T33=0,0,X33/T33)</f>
        <v>0</v>
      </c>
    </row>
    <row r="34" spans="1:26" ht="15" customHeight="1" x14ac:dyDescent="0.3">
      <c r="A34" s="12"/>
      <c r="B34" s="13"/>
      <c r="C34" s="13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O34" s="13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2" customFormat="1" ht="15" customHeight="1" x14ac:dyDescent="0.3">
      <c r="A35" s="13"/>
      <c r="B35" s="28" t="s">
        <v>293</v>
      </c>
      <c r="C35" s="28"/>
      <c r="D35" s="29">
        <f>+D31-D33</f>
        <v>5770176.8500000015</v>
      </c>
      <c r="E35" s="15"/>
      <c r="F35" s="31">
        <f>IF(D$12=0,0,D35/D$12)</f>
        <v>0</v>
      </c>
      <c r="G35" s="15"/>
      <c r="H35" s="29">
        <f>+H31-H33</f>
        <v>-9658.2599999999584</v>
      </c>
      <c r="I35" s="15"/>
      <c r="J35" s="31">
        <f>IF(H$12=0,0,H35/H$12)</f>
        <v>0</v>
      </c>
      <c r="K35" s="17"/>
      <c r="L35" s="29">
        <f>D35-H35</f>
        <v>5779835.1100000013</v>
      </c>
      <c r="M35" s="17"/>
      <c r="N35" s="31">
        <f>IF(H35=0,0,L35/H35)</f>
        <v>-598.43440847523527</v>
      </c>
      <c r="O35" s="27"/>
      <c r="P35" s="29">
        <f>+P31-P33</f>
        <v>5392421.0600000005</v>
      </c>
      <c r="Q35" s="15"/>
      <c r="R35" s="31">
        <f>IF(P$12=0,0,P35/P$12)</f>
        <v>0</v>
      </c>
      <c r="S35" s="15"/>
      <c r="T35" s="29">
        <f>+T31-T33</f>
        <v>-726.46999999995023</v>
      </c>
      <c r="U35" s="15"/>
      <c r="V35" s="31">
        <f>IF(T$12=0,0,T35/T$12)</f>
        <v>0</v>
      </c>
      <c r="W35" s="17"/>
      <c r="X35" s="29">
        <f>P35-T35</f>
        <v>5393147.5300000003</v>
      </c>
      <c r="Y35" s="17"/>
      <c r="Z35" s="31">
        <f>IF(T35=0,0,X35/T35)</f>
        <v>-7423.7718419210287</v>
      </c>
    </row>
    <row r="36" spans="1:26" ht="15" customHeight="1" x14ac:dyDescent="0.3">
      <c r="A36" s="12"/>
      <c r="B36" s="12"/>
      <c r="C36" s="12"/>
      <c r="D36" s="4"/>
      <c r="E36" s="4"/>
      <c r="F36" s="10"/>
      <c r="G36" s="4"/>
      <c r="H36" s="4"/>
      <c r="I36" s="4"/>
      <c r="J36" s="10"/>
      <c r="K36" s="4"/>
      <c r="L36" s="4"/>
      <c r="M36" s="4"/>
      <c r="N36" s="10"/>
      <c r="P36" s="4"/>
      <c r="Q36" s="4"/>
      <c r="R36" s="10"/>
      <c r="S36" s="4"/>
      <c r="T36" s="4"/>
      <c r="U36" s="4"/>
      <c r="V36" s="10"/>
      <c r="W36" s="4"/>
      <c r="X36" s="4"/>
      <c r="Y36" s="4"/>
      <c r="Z36" s="10"/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2" customFormat="1" ht="15" customHeight="1" x14ac:dyDescent="0.3">
      <c r="A38" s="13"/>
      <c r="B38" s="28" t="s">
        <v>296</v>
      </c>
      <c r="C38" s="28"/>
      <c r="D38" s="30">
        <f>SUM(D35:D37)</f>
        <v>5770176.8500000015</v>
      </c>
      <c r="E38" s="15"/>
      <c r="F38" s="35">
        <f>IF(D$12=0,0,D38/D$12)</f>
        <v>0</v>
      </c>
      <c r="G38" s="15"/>
      <c r="H38" s="30">
        <f>SUM(H35:H37)</f>
        <v>-9658.2599999999584</v>
      </c>
      <c r="I38" s="15"/>
      <c r="J38" s="35">
        <f>IF(H$12=0,0,H38/H$12)</f>
        <v>0</v>
      </c>
      <c r="K38" s="17"/>
      <c r="L38" s="30">
        <f>+D38-H38</f>
        <v>5779835.1100000013</v>
      </c>
      <c r="M38" s="17"/>
      <c r="N38" s="35">
        <f>IF(H38=0,0,L38/H38)</f>
        <v>-598.43440847523527</v>
      </c>
      <c r="O38" s="27"/>
      <c r="P38" s="30">
        <f>SUM(P35:P37)</f>
        <v>5392421.0600000005</v>
      </c>
      <c r="Q38" s="15"/>
      <c r="R38" s="35">
        <f>IF(P$12=0,0,P38/P$12)</f>
        <v>0</v>
      </c>
      <c r="S38" s="15"/>
      <c r="T38" s="30">
        <f>SUM(T35:T37)</f>
        <v>-726.46999999995023</v>
      </c>
      <c r="U38" s="15"/>
      <c r="V38" s="35">
        <f>IF(T$12=0,0,T38/T$12)</f>
        <v>0</v>
      </c>
      <c r="W38" s="17"/>
      <c r="X38" s="30">
        <f>+P38-T38</f>
        <v>5393147.5300000003</v>
      </c>
      <c r="Y38" s="17"/>
      <c r="Z38" s="35">
        <f>IF(T38=0,0,X38/T38)</f>
        <v>-7423.7718419210287</v>
      </c>
    </row>
    <row r="39" spans="1:26" ht="15" customHeight="1" x14ac:dyDescent="0.3">
      <c r="A39" s="12"/>
      <c r="C39" s="12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4">
        <v>44767.815885219905</v>
      </c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3" t="s">
        <v>297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1"/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94CEC-64AA-BFEA-7568-15BC378EB86C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","201"," - ","General Manager")</f>
        <v>Department 201 - General Manager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35731.839999999997</v>
      </c>
      <c r="E18" s="23"/>
      <c r="F18" s="34">
        <f t="shared" ref="F18:F65" si="0">IF(D$12=0,0,D18/D$12)</f>
        <v>0</v>
      </c>
      <c r="G18" s="23"/>
      <c r="H18" s="23" cm="1">
        <f t="array" ref="H18">SUM(OSRRefH22x_0)</f>
        <v>62958.810000000005</v>
      </c>
      <c r="I18" s="23"/>
      <c r="J18" s="34">
        <f t="shared" ref="J18:J65" si="1">IF(H$12=0,0,H18/H$12)</f>
        <v>0</v>
      </c>
      <c r="K18" s="8"/>
      <c r="L18" s="23">
        <f t="shared" ref="L18:L65" si="2">+D18-H18</f>
        <v>-27226.970000000008</v>
      </c>
      <c r="M18" s="8"/>
      <c r="N18" s="34">
        <f t="shared" ref="N18:N65" si="3">IF(H18=0,0,L18/H18)</f>
        <v>-0.43245687140528871</v>
      </c>
      <c r="O18" s="13"/>
      <c r="P18" s="23" cm="1">
        <f t="array" ref="P18">SUM(OSRRefP22x_0)</f>
        <v>559581.35</v>
      </c>
      <c r="Q18" s="23"/>
      <c r="R18" s="34">
        <f t="shared" ref="R18:R65" si="4">IF(P$12=0,0,P18/P$12)</f>
        <v>0</v>
      </c>
      <c r="S18" s="23"/>
      <c r="T18" s="23" cm="1">
        <f t="array" ref="T18">SUM(OSRRefT22x_0)</f>
        <v>476464.99000000005</v>
      </c>
      <c r="U18" s="23"/>
      <c r="V18" s="34">
        <f t="shared" ref="V18:V65" si="5">IF(T$12=0,0,T18/T$12)</f>
        <v>0</v>
      </c>
      <c r="W18" s="8"/>
      <c r="X18" s="23">
        <f t="shared" ref="X18:X65" si="6">+P18-T18</f>
        <v>83116.359999999928</v>
      </c>
      <c r="Y18" s="8"/>
      <c r="Z18" s="34">
        <f t="shared" ref="Z18:Z65" si="7">IF(T18=0,0,X18/T18)</f>
        <v>0.17444379281676062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9914.3999999999978</v>
      </c>
      <c r="E19" s="2"/>
      <c r="F19" s="5">
        <f t="shared" si="0"/>
        <v>0</v>
      </c>
      <c r="G19" s="2"/>
      <c r="H19" s="2">
        <f>SUM(OSRRefH22_0x_0)</f>
        <v>11134.529999999999</v>
      </c>
      <c r="I19" s="2"/>
      <c r="J19" s="5">
        <f t="shared" si="1"/>
        <v>0</v>
      </c>
      <c r="K19" s="2"/>
      <c r="L19" s="2">
        <f t="shared" si="2"/>
        <v>-1220.130000000001</v>
      </c>
      <c r="M19" s="2"/>
      <c r="N19" s="5">
        <f t="shared" si="3"/>
        <v>-0.10958073668129693</v>
      </c>
      <c r="O19" s="11"/>
      <c r="P19" s="2">
        <f>SUM(OSRRefP22_0x_0)</f>
        <v>165029.35</v>
      </c>
      <c r="Q19" s="2"/>
      <c r="R19" s="5">
        <f t="shared" si="4"/>
        <v>0</v>
      </c>
      <c r="S19" s="2"/>
      <c r="T19" s="2">
        <f>SUM(OSRRefT22_0x_0)</f>
        <v>129722.24999999999</v>
      </c>
      <c r="U19" s="2"/>
      <c r="V19" s="5">
        <f t="shared" si="5"/>
        <v>0</v>
      </c>
      <c r="W19" s="2"/>
      <c r="X19" s="2">
        <f t="shared" si="6"/>
        <v>35307.10000000002</v>
      </c>
      <c r="Y19" s="2"/>
      <c r="Z19" s="5">
        <f t="shared" si="7"/>
        <v>0.27217458839944592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1226.53</v>
      </c>
      <c r="E20" s="3"/>
      <c r="F20" s="7">
        <f t="shared" si="0"/>
        <v>0</v>
      </c>
      <c r="G20" s="3"/>
      <c r="H20" s="6">
        <v>1454.4</v>
      </c>
      <c r="I20" s="3"/>
      <c r="J20" s="7">
        <f t="shared" si="1"/>
        <v>0</v>
      </c>
      <c r="K20" s="3"/>
      <c r="L20" s="6">
        <f t="shared" si="2"/>
        <v>-227.87000000000012</v>
      </c>
      <c r="M20" s="3"/>
      <c r="N20" s="7">
        <f t="shared" si="3"/>
        <v>-0.156676292629263</v>
      </c>
      <c r="O20" s="9"/>
      <c r="P20" s="6">
        <v>21010.59</v>
      </c>
      <c r="Q20" s="3"/>
      <c r="R20" s="7">
        <f t="shared" si="4"/>
        <v>0</v>
      </c>
      <c r="S20" s="3"/>
      <c r="T20" s="6">
        <v>16290.18</v>
      </c>
      <c r="U20" s="3"/>
      <c r="V20" s="7">
        <f t="shared" si="5"/>
        <v>0</v>
      </c>
      <c r="W20" s="3"/>
      <c r="X20" s="6">
        <f t="shared" si="6"/>
        <v>4720.41</v>
      </c>
      <c r="Y20" s="3"/>
      <c r="Z20" s="7">
        <f t="shared" si="7"/>
        <v>0.2897702787814499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-575.12</v>
      </c>
      <c r="E21" s="3"/>
      <c r="F21" s="7">
        <f t="shared" si="0"/>
        <v>0</v>
      </c>
      <c r="G21" s="3"/>
      <c r="H21" s="6">
        <v>62.74</v>
      </c>
      <c r="I21" s="3"/>
      <c r="J21" s="7">
        <f t="shared" si="1"/>
        <v>0</v>
      </c>
      <c r="K21" s="3"/>
      <c r="L21" s="6">
        <f t="shared" si="2"/>
        <v>-637.86</v>
      </c>
      <c r="M21" s="3"/>
      <c r="N21" s="7">
        <f t="shared" si="3"/>
        <v>-10.166719795983424</v>
      </c>
      <c r="O21" s="9"/>
      <c r="P21" s="6">
        <v>3178.47</v>
      </c>
      <c r="Q21" s="3"/>
      <c r="R21" s="7">
        <f t="shared" si="4"/>
        <v>0</v>
      </c>
      <c r="S21" s="3"/>
      <c r="T21" s="6">
        <v>913.78</v>
      </c>
      <c r="U21" s="3"/>
      <c r="V21" s="7">
        <f t="shared" si="5"/>
        <v>0</v>
      </c>
      <c r="W21" s="3"/>
      <c r="X21" s="6">
        <f t="shared" si="6"/>
        <v>2264.6899999999996</v>
      </c>
      <c r="Y21" s="3"/>
      <c r="Z21" s="7">
        <f t="shared" si="7"/>
        <v>2.4783755389699924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3588.59</v>
      </c>
      <c r="E22" s="3"/>
      <c r="F22" s="7">
        <f t="shared" si="0"/>
        <v>0</v>
      </c>
      <c r="G22" s="3"/>
      <c r="H22" s="6">
        <v>3917.15</v>
      </c>
      <c r="I22" s="3"/>
      <c r="J22" s="7">
        <f t="shared" si="1"/>
        <v>0</v>
      </c>
      <c r="K22" s="3"/>
      <c r="L22" s="6">
        <f t="shared" si="2"/>
        <v>-328.55999999999995</v>
      </c>
      <c r="M22" s="3"/>
      <c r="N22" s="7">
        <f t="shared" si="3"/>
        <v>-8.3877308757642655E-2</v>
      </c>
      <c r="O22" s="9"/>
      <c r="P22" s="6">
        <v>45187.88</v>
      </c>
      <c r="Q22" s="3"/>
      <c r="R22" s="7">
        <f t="shared" si="4"/>
        <v>0</v>
      </c>
      <c r="S22" s="3"/>
      <c r="T22" s="6">
        <v>47716.82</v>
      </c>
      <c r="U22" s="3"/>
      <c r="V22" s="7">
        <f t="shared" si="5"/>
        <v>0</v>
      </c>
      <c r="W22" s="3"/>
      <c r="X22" s="6">
        <f t="shared" si="6"/>
        <v>-2528.9400000000023</v>
      </c>
      <c r="Y22" s="3"/>
      <c r="Z22" s="7">
        <f t="shared" si="7"/>
        <v>-5.2998921554286357E-2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49.43</v>
      </c>
      <c r="I23" s="3"/>
      <c r="J23" s="7">
        <f t="shared" si="1"/>
        <v>0</v>
      </c>
      <c r="K23" s="3"/>
      <c r="L23" s="6">
        <f t="shared" si="2"/>
        <v>-49.43</v>
      </c>
      <c r="M23" s="3"/>
      <c r="N23" s="7">
        <f t="shared" si="3"/>
        <v>-1</v>
      </c>
      <c r="O23" s="9"/>
      <c r="P23" s="6">
        <v>756.53</v>
      </c>
      <c r="Q23" s="3"/>
      <c r="R23" s="7">
        <f t="shared" si="4"/>
        <v>0</v>
      </c>
      <c r="S23" s="3"/>
      <c r="T23" s="6">
        <v>719.95</v>
      </c>
      <c r="U23" s="3"/>
      <c r="V23" s="7">
        <f t="shared" si="5"/>
        <v>0</v>
      </c>
      <c r="W23" s="3"/>
      <c r="X23" s="6">
        <f t="shared" si="6"/>
        <v>36.579999999999927</v>
      </c>
      <c r="Y23" s="3"/>
      <c r="Z23" s="7">
        <f t="shared" si="7"/>
        <v>5.0809083964164073E-2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2425.4</v>
      </c>
      <c r="E24" s="3"/>
      <c r="F24" s="7">
        <f t="shared" si="0"/>
        <v>0</v>
      </c>
      <c r="G24" s="3"/>
      <c r="H24" s="6">
        <v>3073.55</v>
      </c>
      <c r="I24" s="3"/>
      <c r="J24" s="7">
        <f t="shared" si="1"/>
        <v>0</v>
      </c>
      <c r="K24" s="3"/>
      <c r="L24" s="6">
        <f t="shared" si="2"/>
        <v>-648.15000000000009</v>
      </c>
      <c r="M24" s="3"/>
      <c r="N24" s="7">
        <f t="shared" si="3"/>
        <v>-0.21087992712010542</v>
      </c>
      <c r="O24" s="9"/>
      <c r="P24" s="6">
        <v>28723.9</v>
      </c>
      <c r="Q24" s="3"/>
      <c r="R24" s="7">
        <f t="shared" si="4"/>
        <v>0</v>
      </c>
      <c r="S24" s="3"/>
      <c r="T24" s="6">
        <v>30837.23</v>
      </c>
      <c r="U24" s="3"/>
      <c r="V24" s="7">
        <f t="shared" si="5"/>
        <v>0</v>
      </c>
      <c r="W24" s="3"/>
      <c r="X24" s="6">
        <f t="shared" si="6"/>
        <v>-2113.3299999999981</v>
      </c>
      <c r="Y24" s="3"/>
      <c r="Z24" s="7">
        <f t="shared" si="7"/>
        <v>-6.8531771498283017E-2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1984.64</v>
      </c>
      <c r="E25" s="3"/>
      <c r="F25" s="7">
        <f t="shared" si="0"/>
        <v>0</v>
      </c>
      <c r="G25" s="3"/>
      <c r="H25" s="6">
        <v>1658.98</v>
      </c>
      <c r="I25" s="3"/>
      <c r="J25" s="7">
        <f t="shared" si="1"/>
        <v>0</v>
      </c>
      <c r="K25" s="3"/>
      <c r="L25" s="6">
        <f t="shared" si="2"/>
        <v>325.66000000000008</v>
      </c>
      <c r="M25" s="3"/>
      <c r="N25" s="7">
        <f t="shared" si="3"/>
        <v>0.19630134178832781</v>
      </c>
      <c r="O25" s="9"/>
      <c r="P25" s="6">
        <v>30615.81</v>
      </c>
      <c r="Q25" s="3"/>
      <c r="R25" s="7">
        <f t="shared" si="4"/>
        <v>0</v>
      </c>
      <c r="S25" s="3"/>
      <c r="T25" s="6">
        <v>21566.74</v>
      </c>
      <c r="U25" s="3"/>
      <c r="V25" s="7">
        <f t="shared" si="5"/>
        <v>0</v>
      </c>
      <c r="W25" s="3"/>
      <c r="X25" s="6">
        <f t="shared" si="6"/>
        <v>9049.07</v>
      </c>
      <c r="Y25" s="3"/>
      <c r="Z25" s="7">
        <f t="shared" si="7"/>
        <v>0.41958450836797767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1020.54</v>
      </c>
      <c r="E26" s="3"/>
      <c r="F26" s="7">
        <f t="shared" si="0"/>
        <v>0</v>
      </c>
      <c r="G26" s="3"/>
      <c r="H26" s="6">
        <v>856.8</v>
      </c>
      <c r="I26" s="3"/>
      <c r="J26" s="7">
        <f t="shared" si="1"/>
        <v>0</v>
      </c>
      <c r="K26" s="3"/>
      <c r="L26" s="6">
        <f t="shared" si="2"/>
        <v>163.74</v>
      </c>
      <c r="M26" s="3"/>
      <c r="N26" s="7">
        <f t="shared" si="3"/>
        <v>0.19110644257703083</v>
      </c>
      <c r="O26" s="9"/>
      <c r="P26" s="6">
        <v>32887.53</v>
      </c>
      <c r="Q26" s="3"/>
      <c r="R26" s="7">
        <f t="shared" si="4"/>
        <v>0</v>
      </c>
      <c r="S26" s="3"/>
      <c r="T26" s="6">
        <v>11138.4</v>
      </c>
      <c r="U26" s="3"/>
      <c r="V26" s="7">
        <f t="shared" si="5"/>
        <v>0</v>
      </c>
      <c r="W26" s="3"/>
      <c r="X26" s="6">
        <f t="shared" si="6"/>
        <v>21749.129999999997</v>
      </c>
      <c r="Y26" s="3"/>
      <c r="Z26" s="7">
        <f t="shared" si="7"/>
        <v>1.9526260504201678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243.82</v>
      </c>
      <c r="E27" s="3"/>
      <c r="F27" s="7">
        <f t="shared" si="0"/>
        <v>0</v>
      </c>
      <c r="G27" s="3"/>
      <c r="H27" s="6">
        <v>61.48</v>
      </c>
      <c r="I27" s="3"/>
      <c r="J27" s="7">
        <f t="shared" si="1"/>
        <v>0</v>
      </c>
      <c r="K27" s="3"/>
      <c r="L27" s="6">
        <f t="shared" si="2"/>
        <v>182.34</v>
      </c>
      <c r="M27" s="3"/>
      <c r="N27" s="7">
        <f t="shared" si="3"/>
        <v>2.9658425504229018</v>
      </c>
      <c r="O27" s="9"/>
      <c r="P27" s="6">
        <v>2668.64</v>
      </c>
      <c r="Q27" s="3"/>
      <c r="R27" s="7">
        <f t="shared" si="4"/>
        <v>0</v>
      </c>
      <c r="S27" s="3"/>
      <c r="T27" s="6">
        <v>539.15</v>
      </c>
      <c r="U27" s="3"/>
      <c r="V27" s="7">
        <f t="shared" si="5"/>
        <v>0</v>
      </c>
      <c r="W27" s="3"/>
      <c r="X27" s="6">
        <f t="shared" si="6"/>
        <v>2129.4899999999998</v>
      </c>
      <c r="Y27" s="3"/>
      <c r="Z27" s="7">
        <f t="shared" si="7"/>
        <v>3.9497171473615875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20804.759999999998</v>
      </c>
      <c r="E28" s="2"/>
      <c r="F28" s="5">
        <f t="shared" si="0"/>
        <v>0</v>
      </c>
      <c r="G28" s="2"/>
      <c r="H28" s="2">
        <f>SUM(OSRRefH22_1x_0)</f>
        <v>48079.460000000006</v>
      </c>
      <c r="I28" s="2"/>
      <c r="J28" s="5">
        <f t="shared" si="1"/>
        <v>0</v>
      </c>
      <c r="K28" s="2"/>
      <c r="L28" s="2">
        <f t="shared" si="2"/>
        <v>-27274.700000000008</v>
      </c>
      <c r="M28" s="2"/>
      <c r="N28" s="5">
        <f t="shared" si="3"/>
        <v>-0.56728382556709256</v>
      </c>
      <c r="O28" s="11"/>
      <c r="P28" s="2">
        <f>SUM(OSRRefP22_1x_0)</f>
        <v>256087.41</v>
      </c>
      <c r="Q28" s="2"/>
      <c r="R28" s="5">
        <f t="shared" si="4"/>
        <v>0</v>
      </c>
      <c r="S28" s="2"/>
      <c r="T28" s="2">
        <f>SUM(OSRRefT22_1x_0)</f>
        <v>217400.77</v>
      </c>
      <c r="U28" s="2"/>
      <c r="V28" s="5">
        <f t="shared" si="5"/>
        <v>0</v>
      </c>
      <c r="W28" s="2"/>
      <c r="X28" s="2">
        <f t="shared" si="6"/>
        <v>38686.640000000014</v>
      </c>
      <c r="Y28" s="2"/>
      <c r="Z28" s="5">
        <f t="shared" si="7"/>
        <v>0.17795079566645516</v>
      </c>
    </row>
    <row r="29" spans="1:26" s="69" customFormat="1" ht="15" hidden="1" customHeight="1" outlineLevel="2" x14ac:dyDescent="0.3">
      <c r="A29" s="21"/>
      <c r="B29" s="9" t="str">
        <f>CONCATENATE("          ","6001"," - ","ADMINISTRATIVE SALARIES")</f>
        <v xml:space="preserve">          6001 - ADMINISTRATIVE SALARIES</v>
      </c>
      <c r="C29" s="9"/>
      <c r="D29" s="6">
        <v>17494.62</v>
      </c>
      <c r="E29" s="3"/>
      <c r="F29" s="7">
        <f t="shared" si="0"/>
        <v>0</v>
      </c>
      <c r="G29" s="3"/>
      <c r="H29" s="6">
        <v>43182.98</v>
      </c>
      <c r="I29" s="3"/>
      <c r="J29" s="7">
        <f t="shared" si="1"/>
        <v>0</v>
      </c>
      <c r="K29" s="3"/>
      <c r="L29" s="6">
        <f t="shared" si="2"/>
        <v>-25688.360000000004</v>
      </c>
      <c r="M29" s="3"/>
      <c r="N29" s="7">
        <f t="shared" si="3"/>
        <v>-0.59487233164547704</v>
      </c>
      <c r="O29" s="9"/>
      <c r="P29" s="6">
        <v>199530.88</v>
      </c>
      <c r="Q29" s="3"/>
      <c r="R29" s="7">
        <f t="shared" si="4"/>
        <v>0</v>
      </c>
      <c r="S29" s="3"/>
      <c r="T29" s="6">
        <v>206935.89</v>
      </c>
      <c r="U29" s="3"/>
      <c r="V29" s="7">
        <f t="shared" si="5"/>
        <v>0</v>
      </c>
      <c r="W29" s="3"/>
      <c r="X29" s="6">
        <f t="shared" si="6"/>
        <v>-7405.0100000000093</v>
      </c>
      <c r="Y29" s="3"/>
      <c r="Z29" s="7">
        <f t="shared" si="7"/>
        <v>-3.5784077861022605E-2</v>
      </c>
    </row>
    <row r="30" spans="1:26" s="69" customFormat="1" ht="15" hidden="1" customHeight="1" outlineLevel="2" x14ac:dyDescent="0.3">
      <c r="A30" s="21"/>
      <c r="B30" s="9" t="str">
        <f>CONCATENATE("          ","6002"," - ","STAFF SALARIES")</f>
        <v xml:space="preserve">          6002 - STAFF SALARIES</v>
      </c>
      <c r="C30" s="9"/>
      <c r="D30" s="6">
        <v>3310.14</v>
      </c>
      <c r="E30" s="3"/>
      <c r="F30" s="7">
        <f t="shared" si="0"/>
        <v>0</v>
      </c>
      <c r="G30" s="3"/>
      <c r="H30" s="6">
        <v>4896.4799999999996</v>
      </c>
      <c r="I30" s="3"/>
      <c r="J30" s="7">
        <f t="shared" si="1"/>
        <v>0</v>
      </c>
      <c r="K30" s="3"/>
      <c r="L30" s="6">
        <f t="shared" si="2"/>
        <v>-1586.3399999999997</v>
      </c>
      <c r="M30" s="3"/>
      <c r="N30" s="7">
        <f t="shared" si="3"/>
        <v>-0.32397559062836973</v>
      </c>
      <c r="O30" s="9"/>
      <c r="P30" s="6">
        <v>56426.43</v>
      </c>
      <c r="Q30" s="3"/>
      <c r="R30" s="7">
        <f t="shared" si="4"/>
        <v>0</v>
      </c>
      <c r="S30" s="3"/>
      <c r="T30" s="6">
        <v>55422.17</v>
      </c>
      <c r="U30" s="3"/>
      <c r="V30" s="7">
        <f t="shared" si="5"/>
        <v>0</v>
      </c>
      <c r="W30" s="3"/>
      <c r="X30" s="6">
        <f t="shared" si="6"/>
        <v>1004.260000000002</v>
      </c>
      <c r="Y30" s="3"/>
      <c r="Z30" s="7">
        <f t="shared" si="7"/>
        <v>1.8120185478121879E-2</v>
      </c>
    </row>
    <row r="31" spans="1:26" s="69" customFormat="1" ht="15" hidden="1" customHeight="1" outlineLevel="2" x14ac:dyDescent="0.3">
      <c r="A31" s="21"/>
      <c r="B31" s="9" t="str">
        <f>CONCATENATE("          ","6004"," - ","STAFF HOURLY")</f>
        <v xml:space="preserve">          6004 - STAFF HOURLY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70.88</v>
      </c>
      <c r="Q31" s="3"/>
      <c r="R31" s="7">
        <f t="shared" si="4"/>
        <v>0</v>
      </c>
      <c r="S31" s="3"/>
      <c r="T31" s="6"/>
      <c r="U31" s="3"/>
      <c r="V31" s="7">
        <f t="shared" si="5"/>
        <v>0</v>
      </c>
      <c r="W31" s="3"/>
      <c r="X31" s="6">
        <f t="shared" si="6"/>
        <v>70.88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1"/>
      <c r="B32" s="9" t="str">
        <f>CONCATENATE("          ","6007"," - ","STUDENT HOURLY")</f>
        <v xml:space="preserve">          6007 - STUDENT HOURLY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59.22</v>
      </c>
      <c r="Q32" s="3"/>
      <c r="R32" s="7">
        <f t="shared" si="4"/>
        <v>0</v>
      </c>
      <c r="S32" s="3"/>
      <c r="T32" s="6">
        <v>-44957.29</v>
      </c>
      <c r="U32" s="3"/>
      <c r="V32" s="7">
        <f t="shared" si="5"/>
        <v>0</v>
      </c>
      <c r="W32" s="3"/>
      <c r="X32" s="6">
        <f t="shared" si="6"/>
        <v>45016.51</v>
      </c>
      <c r="Y32" s="3"/>
      <c r="Z32" s="7">
        <f t="shared" si="7"/>
        <v>-1.0013172502168168</v>
      </c>
    </row>
    <row r="33" spans="1:26" s="68" customFormat="1" ht="15" customHeight="1" outlineLevel="1" collapsed="1" x14ac:dyDescent="0.3">
      <c r="A33" s="20"/>
      <c r="B33" s="11" t="str">
        <f>CONCATENATE("     ","Advertising/Promo                                 ")</f>
        <v xml:space="preserve">     Advertising/Promo                                 </v>
      </c>
      <c r="C33" s="11"/>
      <c r="D33" s="2">
        <f>SUM(OSRRefD22_2x_0)</f>
        <v>0</v>
      </c>
      <c r="E33" s="2"/>
      <c r="F33" s="5">
        <f t="shared" si="0"/>
        <v>0</v>
      </c>
      <c r="G33" s="2"/>
      <c r="H33" s="2">
        <f>SUM(OSRRefH22_2x_0)</f>
        <v>0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SUM(OSRRefP22_2x_0)</f>
        <v>1969.62</v>
      </c>
      <c r="Q33" s="2"/>
      <c r="R33" s="5">
        <f t="shared" si="4"/>
        <v>0</v>
      </c>
      <c r="S33" s="2"/>
      <c r="T33" s="2">
        <f>SUM(OSRRefT22_2x_0)</f>
        <v>245.07</v>
      </c>
      <c r="U33" s="2"/>
      <c r="V33" s="5">
        <f t="shared" si="5"/>
        <v>0</v>
      </c>
      <c r="W33" s="2"/>
      <c r="X33" s="2">
        <f t="shared" si="6"/>
        <v>1724.55</v>
      </c>
      <c r="Y33" s="2"/>
      <c r="Z33" s="5">
        <f t="shared" si="7"/>
        <v>7.0369690292569471</v>
      </c>
    </row>
    <row r="34" spans="1:26" s="69" customFormat="1" ht="15" hidden="1" customHeight="1" outlineLevel="2" x14ac:dyDescent="0.3">
      <c r="A34" s="21"/>
      <c r="B34" s="9" t="str">
        <f>CONCATENATE("          ","6362"," - ","ADVERTISING EXPENSE")</f>
        <v xml:space="preserve">          6362 - ADVERTISING EXPENSE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>
        <v>1969.62</v>
      </c>
      <c r="Q34" s="3"/>
      <c r="R34" s="7">
        <f t="shared" si="4"/>
        <v>0</v>
      </c>
      <c r="S34" s="3"/>
      <c r="T34" s="6">
        <v>245.07</v>
      </c>
      <c r="U34" s="3"/>
      <c r="V34" s="7">
        <f t="shared" si="5"/>
        <v>0</v>
      </c>
      <c r="W34" s="3"/>
      <c r="X34" s="6">
        <f t="shared" si="6"/>
        <v>1724.55</v>
      </c>
      <c r="Y34" s="3"/>
      <c r="Z34" s="7">
        <f t="shared" si="7"/>
        <v>7.0369690292569471</v>
      </c>
    </row>
    <row r="35" spans="1:26" s="68" customFormat="1" ht="15" customHeight="1" outlineLevel="1" collapsed="1" x14ac:dyDescent="0.3">
      <c r="A35" s="20"/>
      <c r="B35" s="11" t="str">
        <f>CONCATENATE("     ","Depreciation                                      ")</f>
        <v xml:space="preserve">     Depreciation                                      </v>
      </c>
      <c r="C35" s="11"/>
      <c r="D35" s="2">
        <f>SUM(OSRRefD22_3x_0)</f>
        <v>314.81</v>
      </c>
      <c r="E35" s="2"/>
      <c r="F35" s="5">
        <f t="shared" si="0"/>
        <v>0</v>
      </c>
      <c r="G35" s="2"/>
      <c r="H35" s="2">
        <f>SUM(OSRRefH22_3x_0)</f>
        <v>314.81</v>
      </c>
      <c r="I35" s="2"/>
      <c r="J35" s="5">
        <f t="shared" si="1"/>
        <v>0</v>
      </c>
      <c r="K35" s="2"/>
      <c r="L35" s="2">
        <f t="shared" si="2"/>
        <v>0</v>
      </c>
      <c r="M35" s="2"/>
      <c r="N35" s="5">
        <f t="shared" si="3"/>
        <v>0</v>
      </c>
      <c r="O35" s="11"/>
      <c r="P35" s="2">
        <f>SUM(OSRRefP22_3x_0)</f>
        <v>3778.38</v>
      </c>
      <c r="Q35" s="2"/>
      <c r="R35" s="5">
        <f t="shared" si="4"/>
        <v>0</v>
      </c>
      <c r="S35" s="2"/>
      <c r="T35" s="2">
        <f>SUM(OSRRefT22_3x_0)</f>
        <v>3778.38</v>
      </c>
      <c r="U35" s="2"/>
      <c r="V35" s="5">
        <f t="shared" si="5"/>
        <v>0</v>
      </c>
      <c r="W35" s="2"/>
      <c r="X35" s="2">
        <f t="shared" si="6"/>
        <v>0</v>
      </c>
      <c r="Y35" s="2"/>
      <c r="Z35" s="5">
        <f t="shared" si="7"/>
        <v>0</v>
      </c>
    </row>
    <row r="36" spans="1:26" s="69" customFormat="1" ht="15" hidden="1" customHeight="1" outlineLevel="2" x14ac:dyDescent="0.3">
      <c r="A36" s="21"/>
      <c r="B36" s="9" t="str">
        <f>CONCATENATE("          ","6322"," - ","EQUIPMENT DEPRECIATION EXPENSE")</f>
        <v xml:space="preserve">          6322 - EQUIPMENT DEPRECIATION EXPENSE</v>
      </c>
      <c r="C36" s="9"/>
      <c r="D36" s="6">
        <v>314.81</v>
      </c>
      <c r="E36" s="3"/>
      <c r="F36" s="7">
        <f t="shared" si="0"/>
        <v>0</v>
      </c>
      <c r="G36" s="3"/>
      <c r="H36" s="6">
        <v>314.81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3778.38</v>
      </c>
      <c r="Q36" s="3"/>
      <c r="R36" s="7">
        <f t="shared" si="4"/>
        <v>0</v>
      </c>
      <c r="S36" s="3"/>
      <c r="T36" s="6">
        <v>3778.38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0"/>
      <c r="B37" s="11" t="str">
        <f>CONCATENATE("     ","Donations                                         ")</f>
        <v xml:space="preserve">     Donations                                         </v>
      </c>
      <c r="C37" s="11"/>
      <c r="D37" s="2">
        <f>SUM(OSRRefD22_4x_0)</f>
        <v>2469.2399999999998</v>
      </c>
      <c r="E37" s="2"/>
      <c r="F37" s="5">
        <f t="shared" si="0"/>
        <v>0</v>
      </c>
      <c r="G37" s="2"/>
      <c r="H37" s="2">
        <f>SUM(OSRRefH22_4x_0)</f>
        <v>263.25</v>
      </c>
      <c r="I37" s="2"/>
      <c r="J37" s="5">
        <f t="shared" si="1"/>
        <v>0</v>
      </c>
      <c r="K37" s="2"/>
      <c r="L37" s="2">
        <f t="shared" si="2"/>
        <v>2205.9899999999998</v>
      </c>
      <c r="M37" s="2"/>
      <c r="N37" s="5">
        <f t="shared" si="3"/>
        <v>8.3798290598290581</v>
      </c>
      <c r="O37" s="11"/>
      <c r="P37" s="2">
        <f>SUM(OSRRefP22_4x_0)</f>
        <v>27769.24</v>
      </c>
      <c r="Q37" s="2"/>
      <c r="R37" s="5">
        <f t="shared" si="4"/>
        <v>0</v>
      </c>
      <c r="S37" s="2"/>
      <c r="T37" s="2">
        <f>SUM(OSRRefT22_4x_0)</f>
        <v>26763.25</v>
      </c>
      <c r="U37" s="2"/>
      <c r="V37" s="5">
        <f t="shared" si="5"/>
        <v>0</v>
      </c>
      <c r="W37" s="2"/>
      <c r="X37" s="2">
        <f t="shared" si="6"/>
        <v>1005.9900000000016</v>
      </c>
      <c r="Y37" s="2"/>
      <c r="Z37" s="5">
        <f t="shared" si="7"/>
        <v>3.7588484208756469E-2</v>
      </c>
    </row>
    <row r="38" spans="1:26" s="69" customFormat="1" ht="15" hidden="1" customHeight="1" outlineLevel="2" x14ac:dyDescent="0.3">
      <c r="A38" s="21"/>
      <c r="B38" s="9" t="str">
        <f>CONCATENATE("          ","6399"," - ","DONATION-ON CAMPUS")</f>
        <v xml:space="preserve">          6399 - DONATION-ON CAMPUS</v>
      </c>
      <c r="C38" s="9"/>
      <c r="D38" s="6">
        <v>2469.2399999999998</v>
      </c>
      <c r="E38" s="3"/>
      <c r="F38" s="7">
        <f t="shared" si="0"/>
        <v>0</v>
      </c>
      <c r="G38" s="3"/>
      <c r="H38" s="6">
        <v>263.25</v>
      </c>
      <c r="I38" s="3"/>
      <c r="J38" s="7">
        <f t="shared" si="1"/>
        <v>0</v>
      </c>
      <c r="K38" s="3"/>
      <c r="L38" s="6">
        <f t="shared" si="2"/>
        <v>2205.9899999999998</v>
      </c>
      <c r="M38" s="3"/>
      <c r="N38" s="7">
        <f t="shared" si="3"/>
        <v>8.3798290598290581</v>
      </c>
      <c r="O38" s="9"/>
      <c r="P38" s="6">
        <v>27769.24</v>
      </c>
      <c r="Q38" s="3"/>
      <c r="R38" s="7">
        <f t="shared" si="4"/>
        <v>0</v>
      </c>
      <c r="S38" s="3"/>
      <c r="T38" s="6">
        <v>26763.25</v>
      </c>
      <c r="U38" s="3"/>
      <c r="V38" s="7">
        <f t="shared" si="5"/>
        <v>0</v>
      </c>
      <c r="W38" s="3"/>
      <c r="X38" s="6">
        <f t="shared" si="6"/>
        <v>1005.9900000000016</v>
      </c>
      <c r="Y38" s="3"/>
      <c r="Z38" s="7">
        <f t="shared" si="7"/>
        <v>3.7588484208756469E-2</v>
      </c>
    </row>
    <row r="39" spans="1:26" s="68" customFormat="1" ht="15" customHeight="1" outlineLevel="1" collapsed="1" x14ac:dyDescent="0.3">
      <c r="A39" s="20"/>
      <c r="B39" s="11" t="str">
        <f>CONCATENATE("     ","Employees' Appreciation                           ")</f>
        <v xml:space="preserve">     Employees' Appreciation                           </v>
      </c>
      <c r="C39" s="11"/>
      <c r="D39" s="2">
        <f>SUM(OSRRefD22_5x_0)</f>
        <v>0</v>
      </c>
      <c r="E39" s="2"/>
      <c r="F39" s="5">
        <f t="shared" si="0"/>
        <v>0</v>
      </c>
      <c r="G39" s="2"/>
      <c r="H39" s="2">
        <f>SUM(OSRRefH22_5x_0)</f>
        <v>0</v>
      </c>
      <c r="I39" s="2"/>
      <c r="J39" s="5">
        <f t="shared" si="1"/>
        <v>0</v>
      </c>
      <c r="K39" s="2"/>
      <c r="L39" s="2">
        <f t="shared" si="2"/>
        <v>0</v>
      </c>
      <c r="M39" s="2"/>
      <c r="N39" s="5">
        <f t="shared" si="3"/>
        <v>0</v>
      </c>
      <c r="O39" s="11"/>
      <c r="P39" s="2">
        <f>SUM(OSRRefP22_5x_0)</f>
        <v>772.29</v>
      </c>
      <c r="Q39" s="2"/>
      <c r="R39" s="5">
        <f t="shared" si="4"/>
        <v>0</v>
      </c>
      <c r="S39" s="2"/>
      <c r="T39" s="2">
        <f>SUM(OSRRefT22_5x_0)</f>
        <v>0</v>
      </c>
      <c r="U39" s="2"/>
      <c r="V39" s="5">
        <f t="shared" si="5"/>
        <v>0</v>
      </c>
      <c r="W39" s="2"/>
      <c r="X39" s="2">
        <f t="shared" si="6"/>
        <v>772.29</v>
      </c>
      <c r="Y39" s="2"/>
      <c r="Z39" s="5">
        <f t="shared" si="7"/>
        <v>0</v>
      </c>
    </row>
    <row r="40" spans="1:26" s="69" customFormat="1" ht="15" hidden="1" customHeight="1" outlineLevel="2" x14ac:dyDescent="0.3">
      <c r="A40" s="21"/>
      <c r="B40" s="9" t="str">
        <f>CONCATENATE("          ","6277"," - ","EMPLOYEE APPRECIATION")</f>
        <v xml:space="preserve">          6277 - EMPLOYEE APPRECIATION</v>
      </c>
      <c r="C40" s="9"/>
      <c r="D40" s="6"/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>
        <v>772.29</v>
      </c>
      <c r="Q40" s="3"/>
      <c r="R40" s="7">
        <f t="shared" si="4"/>
        <v>0</v>
      </c>
      <c r="S40" s="3"/>
      <c r="T40" s="6"/>
      <c r="U40" s="3"/>
      <c r="V40" s="7">
        <f t="shared" si="5"/>
        <v>0</v>
      </c>
      <c r="W40" s="3"/>
      <c r="X40" s="6">
        <f t="shared" si="6"/>
        <v>772.29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0"/>
      <c r="B41" s="11" t="str">
        <f>CONCATENATE("     ","Equipment Rental                                  ")</f>
        <v xml:space="preserve">     Equipment Rental                                  </v>
      </c>
      <c r="C41" s="11"/>
      <c r="D41" s="2">
        <f>SUM(OSRRefD22_6x_0)</f>
        <v>-6.28</v>
      </c>
      <c r="E41" s="2"/>
      <c r="F41" s="5">
        <f t="shared" si="0"/>
        <v>0</v>
      </c>
      <c r="G41" s="2"/>
      <c r="H41" s="2">
        <f>SUM(OSRRefH22_6x_0)</f>
        <v>117.71</v>
      </c>
      <c r="I41" s="2"/>
      <c r="J41" s="5">
        <f t="shared" si="1"/>
        <v>0</v>
      </c>
      <c r="K41" s="2"/>
      <c r="L41" s="2">
        <f t="shared" si="2"/>
        <v>-123.99</v>
      </c>
      <c r="M41" s="2"/>
      <c r="N41" s="5">
        <f t="shared" si="3"/>
        <v>-1.0533514569705207</v>
      </c>
      <c r="O41" s="11"/>
      <c r="P41" s="2">
        <f>SUM(OSRRefP22_6x_0)</f>
        <v>1288.53</v>
      </c>
      <c r="Q41" s="2"/>
      <c r="R41" s="5">
        <f t="shared" si="4"/>
        <v>0</v>
      </c>
      <c r="S41" s="2"/>
      <c r="T41" s="2">
        <f>SUM(OSRRefT22_6x_0)</f>
        <v>1503.78</v>
      </c>
      <c r="U41" s="2"/>
      <c r="V41" s="5">
        <f t="shared" si="5"/>
        <v>0</v>
      </c>
      <c r="W41" s="2"/>
      <c r="X41" s="2">
        <f t="shared" si="6"/>
        <v>-215.25</v>
      </c>
      <c r="Y41" s="2"/>
      <c r="Z41" s="5">
        <f t="shared" si="7"/>
        <v>-0.1431392889917408</v>
      </c>
    </row>
    <row r="42" spans="1:26" s="69" customFormat="1" ht="15" hidden="1" customHeight="1" outlineLevel="2" x14ac:dyDescent="0.3">
      <c r="A42" s="21"/>
      <c r="B42" s="9" t="str">
        <f>CONCATENATE("          ","6351"," - ","EQUIPMENT RENTAL")</f>
        <v xml:space="preserve">          6351 - EQUIPMENT RENTAL</v>
      </c>
      <c r="C42" s="9"/>
      <c r="D42" s="6">
        <v>-6.28</v>
      </c>
      <c r="E42" s="3"/>
      <c r="F42" s="7">
        <f t="shared" si="0"/>
        <v>0</v>
      </c>
      <c r="G42" s="3"/>
      <c r="H42" s="6">
        <v>117.71</v>
      </c>
      <c r="I42" s="3"/>
      <c r="J42" s="7">
        <f t="shared" si="1"/>
        <v>0</v>
      </c>
      <c r="K42" s="3"/>
      <c r="L42" s="6">
        <f t="shared" si="2"/>
        <v>-123.99</v>
      </c>
      <c r="M42" s="3"/>
      <c r="N42" s="7">
        <f t="shared" si="3"/>
        <v>-1.0533514569705207</v>
      </c>
      <c r="O42" s="9"/>
      <c r="P42" s="6">
        <v>1288.53</v>
      </c>
      <c r="Q42" s="3"/>
      <c r="R42" s="7">
        <f t="shared" si="4"/>
        <v>0</v>
      </c>
      <c r="S42" s="3"/>
      <c r="T42" s="6">
        <v>1503.78</v>
      </c>
      <c r="U42" s="3"/>
      <c r="V42" s="7">
        <f t="shared" si="5"/>
        <v>0</v>
      </c>
      <c r="W42" s="3"/>
      <c r="X42" s="6">
        <f t="shared" si="6"/>
        <v>-215.25</v>
      </c>
      <c r="Y42" s="3"/>
      <c r="Z42" s="7">
        <f t="shared" si="7"/>
        <v>-0.1431392889917408</v>
      </c>
    </row>
    <row r="43" spans="1:26" s="68" customFormat="1" ht="15" customHeight="1" outlineLevel="1" collapsed="1" x14ac:dyDescent="0.3">
      <c r="A43" s="20"/>
      <c r="B43" s="11" t="str">
        <f>CONCATENATE("     ","Freight out/Postage                               ")</f>
        <v xml:space="preserve">     Freight out/Postage                               </v>
      </c>
      <c r="C43" s="11"/>
      <c r="D43" s="2">
        <f>SUM(OSRRefD22_7x_0)</f>
        <v>0</v>
      </c>
      <c r="E43" s="2"/>
      <c r="F43" s="5">
        <f t="shared" si="0"/>
        <v>0</v>
      </c>
      <c r="G43" s="2"/>
      <c r="H43" s="2">
        <f>SUM(OSRRefH22_7x_0)</f>
        <v>0</v>
      </c>
      <c r="I43" s="2"/>
      <c r="J43" s="5">
        <f t="shared" si="1"/>
        <v>0</v>
      </c>
      <c r="K43" s="2"/>
      <c r="L43" s="2">
        <f t="shared" si="2"/>
        <v>0</v>
      </c>
      <c r="M43" s="2"/>
      <c r="N43" s="5">
        <f t="shared" si="3"/>
        <v>0</v>
      </c>
      <c r="O43" s="11"/>
      <c r="P43" s="2">
        <f>SUM(OSRRefP22_7x_0)</f>
        <v>32.17</v>
      </c>
      <c r="Q43" s="2"/>
      <c r="R43" s="5">
        <f t="shared" si="4"/>
        <v>0</v>
      </c>
      <c r="S43" s="2"/>
      <c r="T43" s="2">
        <f>SUM(OSRRefT22_7x_0)</f>
        <v>70.680000000000007</v>
      </c>
      <c r="U43" s="2"/>
      <c r="V43" s="5">
        <f t="shared" si="5"/>
        <v>0</v>
      </c>
      <c r="W43" s="2"/>
      <c r="X43" s="2">
        <f t="shared" si="6"/>
        <v>-38.510000000000005</v>
      </c>
      <c r="Y43" s="2"/>
      <c r="Z43" s="5">
        <f t="shared" si="7"/>
        <v>-0.54485002829654783</v>
      </c>
    </row>
    <row r="44" spans="1:26" s="69" customFormat="1" ht="15" hidden="1" customHeight="1" outlineLevel="2" x14ac:dyDescent="0.3">
      <c r="A44" s="21"/>
      <c r="B44" s="9" t="str">
        <f>CONCATENATE("          ","6307"," - ","POSTAGE")</f>
        <v xml:space="preserve">          6307 - POSTAGE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32.17</v>
      </c>
      <c r="Q44" s="3"/>
      <c r="R44" s="7">
        <f t="shared" si="4"/>
        <v>0</v>
      </c>
      <c r="S44" s="3"/>
      <c r="T44" s="6">
        <v>70.680000000000007</v>
      </c>
      <c r="U44" s="3"/>
      <c r="V44" s="7">
        <f t="shared" si="5"/>
        <v>0</v>
      </c>
      <c r="W44" s="3"/>
      <c r="X44" s="6">
        <f t="shared" si="6"/>
        <v>-38.510000000000005</v>
      </c>
      <c r="Y44" s="3"/>
      <c r="Z44" s="7">
        <f t="shared" si="7"/>
        <v>-0.54485002829654783</v>
      </c>
    </row>
    <row r="45" spans="1:26" s="68" customFormat="1" ht="15" customHeight="1" outlineLevel="1" collapsed="1" x14ac:dyDescent="0.3">
      <c r="A45" s="20"/>
      <c r="B45" s="11" t="str">
        <f>CONCATENATE("     ","General                                           ")</f>
        <v xml:space="preserve">     General                                           </v>
      </c>
      <c r="C45" s="11"/>
      <c r="D45" s="2">
        <f>SUM(OSRRefD22_8x_0)</f>
        <v>102.5</v>
      </c>
      <c r="E45" s="2"/>
      <c r="F45" s="5">
        <f t="shared" si="0"/>
        <v>0</v>
      </c>
      <c r="G45" s="2"/>
      <c r="H45" s="2">
        <f>SUM(OSRRefH22_8x_0)</f>
        <v>0</v>
      </c>
      <c r="I45" s="2"/>
      <c r="J45" s="5">
        <f t="shared" si="1"/>
        <v>0</v>
      </c>
      <c r="K45" s="2"/>
      <c r="L45" s="2">
        <f t="shared" si="2"/>
        <v>102.5</v>
      </c>
      <c r="M45" s="2"/>
      <c r="N45" s="5">
        <f t="shared" si="3"/>
        <v>0</v>
      </c>
      <c r="O45" s="11"/>
      <c r="P45" s="2">
        <f>SUM(OSRRefP22_8x_0)</f>
        <v>102.5</v>
      </c>
      <c r="Q45" s="2"/>
      <c r="R45" s="5">
        <f t="shared" si="4"/>
        <v>0</v>
      </c>
      <c r="S45" s="2"/>
      <c r="T45" s="2">
        <f>SUM(OSRRefT22_8x_0)</f>
        <v>0</v>
      </c>
      <c r="U45" s="2"/>
      <c r="V45" s="5">
        <f t="shared" si="5"/>
        <v>0</v>
      </c>
      <c r="W45" s="2"/>
      <c r="X45" s="2">
        <f t="shared" si="6"/>
        <v>102.5</v>
      </c>
      <c r="Y45" s="2"/>
      <c r="Z45" s="5">
        <f t="shared" si="7"/>
        <v>0</v>
      </c>
    </row>
    <row r="46" spans="1:26" s="69" customFormat="1" ht="15" hidden="1" customHeight="1" outlineLevel="2" x14ac:dyDescent="0.3">
      <c r="A46" s="21"/>
      <c r="B46" s="9" t="str">
        <f>CONCATENATE("          ","6279"," - ","GENERAL EXPENSE")</f>
        <v xml:space="preserve">          6279 - GENERAL EXPENSE</v>
      </c>
      <c r="C46" s="9"/>
      <c r="D46" s="6">
        <v>102.5</v>
      </c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102.5</v>
      </c>
      <c r="M46" s="3"/>
      <c r="N46" s="7">
        <f t="shared" si="3"/>
        <v>0</v>
      </c>
      <c r="O46" s="9"/>
      <c r="P46" s="6">
        <v>102.5</v>
      </c>
      <c r="Q46" s="3"/>
      <c r="R46" s="7">
        <f t="shared" si="4"/>
        <v>0</v>
      </c>
      <c r="S46" s="3"/>
      <c r="T46" s="6"/>
      <c r="U46" s="3"/>
      <c r="V46" s="7">
        <f t="shared" si="5"/>
        <v>0</v>
      </c>
      <c r="W46" s="3"/>
      <c r="X46" s="6">
        <f t="shared" si="6"/>
        <v>102.5</v>
      </c>
      <c r="Y46" s="3"/>
      <c r="Z46" s="7">
        <f t="shared" si="7"/>
        <v>0</v>
      </c>
    </row>
    <row r="47" spans="1:26" s="68" customFormat="1" ht="15" customHeight="1" outlineLevel="1" collapsed="1" x14ac:dyDescent="0.3">
      <c r="A47" s="20"/>
      <c r="B47" s="11" t="str">
        <f>CONCATENATE("     ","Insurance                                         ")</f>
        <v xml:space="preserve">     Insurance                                         </v>
      </c>
      <c r="C47" s="11"/>
      <c r="D47" s="2">
        <f>SUM(OSRRefD22_9x_0)</f>
        <v>-48.6</v>
      </c>
      <c r="E47" s="2"/>
      <c r="F47" s="5">
        <f t="shared" si="0"/>
        <v>0</v>
      </c>
      <c r="G47" s="2"/>
      <c r="H47" s="2">
        <f>SUM(OSRRefH22_9x_0)</f>
        <v>247.17</v>
      </c>
      <c r="I47" s="2"/>
      <c r="J47" s="5">
        <f t="shared" si="1"/>
        <v>0</v>
      </c>
      <c r="K47" s="2"/>
      <c r="L47" s="2">
        <f t="shared" si="2"/>
        <v>-295.77</v>
      </c>
      <c r="M47" s="2"/>
      <c r="N47" s="5">
        <f t="shared" si="3"/>
        <v>-1.1966258041024396</v>
      </c>
      <c r="O47" s="11"/>
      <c r="P47" s="2">
        <f>SUM(OSRRefP22_9x_0)</f>
        <v>1672.68</v>
      </c>
      <c r="Q47" s="2"/>
      <c r="R47" s="5">
        <f t="shared" si="4"/>
        <v>0</v>
      </c>
      <c r="S47" s="2"/>
      <c r="T47" s="2">
        <f>SUM(OSRRefT22_9x_0)</f>
        <v>1513.6</v>
      </c>
      <c r="U47" s="2"/>
      <c r="V47" s="5">
        <f t="shared" si="5"/>
        <v>0</v>
      </c>
      <c r="W47" s="2"/>
      <c r="X47" s="2">
        <f t="shared" si="6"/>
        <v>159.08000000000015</v>
      </c>
      <c r="Y47" s="2"/>
      <c r="Z47" s="5">
        <f t="shared" si="7"/>
        <v>0.10510042283298109</v>
      </c>
    </row>
    <row r="48" spans="1:26" s="69" customFormat="1" ht="15" hidden="1" customHeight="1" outlineLevel="2" x14ac:dyDescent="0.3">
      <c r="A48" s="21"/>
      <c r="B48" s="9" t="str">
        <f>CONCATENATE("          ","6314"," - ","LIABILITY INSURANCE")</f>
        <v xml:space="preserve">          6314 - LIABILITY INSURANCE</v>
      </c>
      <c r="C48" s="9"/>
      <c r="D48" s="6">
        <v>-48.6</v>
      </c>
      <c r="E48" s="3"/>
      <c r="F48" s="7">
        <f t="shared" si="0"/>
        <v>0</v>
      </c>
      <c r="G48" s="3"/>
      <c r="H48" s="6">
        <v>247.17</v>
      </c>
      <c r="I48" s="3"/>
      <c r="J48" s="7">
        <f t="shared" si="1"/>
        <v>0</v>
      </c>
      <c r="K48" s="3"/>
      <c r="L48" s="6">
        <f t="shared" si="2"/>
        <v>-295.77</v>
      </c>
      <c r="M48" s="3"/>
      <c r="N48" s="7">
        <f t="shared" si="3"/>
        <v>-1.1966258041024396</v>
      </c>
      <c r="O48" s="9"/>
      <c r="P48" s="6">
        <v>1672.68</v>
      </c>
      <c r="Q48" s="3"/>
      <c r="R48" s="7">
        <f t="shared" si="4"/>
        <v>0</v>
      </c>
      <c r="S48" s="3"/>
      <c r="T48" s="6">
        <v>1513.6</v>
      </c>
      <c r="U48" s="3"/>
      <c r="V48" s="7">
        <f t="shared" si="5"/>
        <v>0</v>
      </c>
      <c r="W48" s="3"/>
      <c r="X48" s="6">
        <f t="shared" si="6"/>
        <v>159.08000000000015</v>
      </c>
      <c r="Y48" s="3"/>
      <c r="Z48" s="7">
        <f t="shared" si="7"/>
        <v>0.10510042283298109</v>
      </c>
    </row>
    <row r="49" spans="1:26" s="68" customFormat="1" ht="15" customHeight="1" outlineLevel="1" collapsed="1" x14ac:dyDescent="0.3">
      <c r="A49" s="20"/>
      <c r="B49" s="11" t="str">
        <f>CONCATENATE("     ","Professional Services                             ")</f>
        <v xml:space="preserve">     Professional Services                             </v>
      </c>
      <c r="C49" s="11"/>
      <c r="D49" s="2">
        <f>SUM(OSRRefD22_10x_0)</f>
        <v>0</v>
      </c>
      <c r="E49" s="2"/>
      <c r="F49" s="5">
        <f t="shared" si="0"/>
        <v>0</v>
      </c>
      <c r="G49" s="2"/>
      <c r="H49" s="2">
        <f>SUM(OSRRefH22_10x_0)</f>
        <v>0</v>
      </c>
      <c r="I49" s="2"/>
      <c r="J49" s="5">
        <f t="shared" si="1"/>
        <v>0</v>
      </c>
      <c r="K49" s="2"/>
      <c r="L49" s="2">
        <f t="shared" si="2"/>
        <v>0</v>
      </c>
      <c r="M49" s="2"/>
      <c r="N49" s="5">
        <f t="shared" si="3"/>
        <v>0</v>
      </c>
      <c r="O49" s="11"/>
      <c r="P49" s="2">
        <f>SUM(OSRRefP22_10x_0)</f>
        <v>56875</v>
      </c>
      <c r="Q49" s="2"/>
      <c r="R49" s="5">
        <f t="shared" si="4"/>
        <v>0</v>
      </c>
      <c r="S49" s="2"/>
      <c r="T49" s="2">
        <f>SUM(OSRRefT22_10x_0)</f>
        <v>50379.24</v>
      </c>
      <c r="U49" s="2"/>
      <c r="V49" s="5">
        <f t="shared" si="5"/>
        <v>0</v>
      </c>
      <c r="W49" s="2"/>
      <c r="X49" s="2">
        <f t="shared" si="6"/>
        <v>6495.760000000002</v>
      </c>
      <c r="Y49" s="2"/>
      <c r="Z49" s="5">
        <f t="shared" si="7"/>
        <v>0.12893723684597072</v>
      </c>
    </row>
    <row r="50" spans="1:26" s="69" customFormat="1" ht="15" hidden="1" customHeight="1" outlineLevel="2" x14ac:dyDescent="0.3">
      <c r="A50" s="21"/>
      <c r="B50" s="9" t="str">
        <f>CONCATENATE("          ","6331"," - ","INDIRECT COSTS-AUXILIARY ORGAN")</f>
        <v xml:space="preserve">          6331 - INDIRECT COSTS-AUXILIARY ORGAN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48350</v>
      </c>
      <c r="Q50" s="3"/>
      <c r="R50" s="7">
        <f t="shared" si="4"/>
        <v>0</v>
      </c>
      <c r="S50" s="3"/>
      <c r="T50" s="6">
        <v>45850</v>
      </c>
      <c r="U50" s="3"/>
      <c r="V50" s="7">
        <f t="shared" si="5"/>
        <v>0</v>
      </c>
      <c r="W50" s="3"/>
      <c r="X50" s="6">
        <f t="shared" si="6"/>
        <v>2500</v>
      </c>
      <c r="Y50" s="3"/>
      <c r="Z50" s="7">
        <f t="shared" si="7"/>
        <v>5.4525627044711013E-2</v>
      </c>
    </row>
    <row r="51" spans="1:26" s="69" customFormat="1" ht="15" hidden="1" customHeight="1" outlineLevel="2" x14ac:dyDescent="0.3">
      <c r="A51" s="21"/>
      <c r="B51" s="9" t="str">
        <f>CONCATENATE("          ","6334"," - ","LEGAL COUNCIL EXPENSE")</f>
        <v xml:space="preserve">          6334 - LEGAL COUNCIL EXPENSE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200</v>
      </c>
      <c r="Q51" s="3"/>
      <c r="R51" s="7">
        <f t="shared" si="4"/>
        <v>0</v>
      </c>
      <c r="S51" s="3"/>
      <c r="T51" s="6">
        <v>4529.24</v>
      </c>
      <c r="U51" s="3"/>
      <c r="V51" s="7">
        <f t="shared" si="5"/>
        <v>0</v>
      </c>
      <c r="W51" s="3"/>
      <c r="X51" s="6">
        <f t="shared" si="6"/>
        <v>-4329.24</v>
      </c>
      <c r="Y51" s="3"/>
      <c r="Z51" s="7">
        <f t="shared" si="7"/>
        <v>-0.95584248129929084</v>
      </c>
    </row>
    <row r="52" spans="1:26" s="69" customFormat="1" ht="15" hidden="1" customHeight="1" outlineLevel="2" x14ac:dyDescent="0.3">
      <c r="A52" s="21"/>
      <c r="B52" s="9" t="str">
        <f>CONCATENATE("          ","6336"," - ","PROFESSIONAL SERVICES")</f>
        <v xml:space="preserve">          6336 - PROFESSIONAL SERVICES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8325</v>
      </c>
      <c r="Q52" s="3"/>
      <c r="R52" s="7">
        <f t="shared" si="4"/>
        <v>0</v>
      </c>
      <c r="S52" s="3"/>
      <c r="T52" s="6"/>
      <c r="U52" s="3"/>
      <c r="V52" s="7">
        <f t="shared" si="5"/>
        <v>0</v>
      </c>
      <c r="W52" s="3"/>
      <c r="X52" s="6">
        <f t="shared" si="6"/>
        <v>8325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0"/>
      <c r="B53" s="11" t="str">
        <f>CONCATENATE("     ","Repair and Maintenance                            ")</f>
        <v xml:space="preserve">     Repair and Maintenance                            </v>
      </c>
      <c r="C53" s="11"/>
      <c r="D53" s="2">
        <f>SUM(OSRRefD22_11x_0)</f>
        <v>247.29</v>
      </c>
      <c r="E53" s="2"/>
      <c r="F53" s="5">
        <f t="shared" si="0"/>
        <v>0</v>
      </c>
      <c r="G53" s="2"/>
      <c r="H53" s="2">
        <f>SUM(OSRRefH22_11x_0)</f>
        <v>2219.7199999999998</v>
      </c>
      <c r="I53" s="2"/>
      <c r="J53" s="5">
        <f t="shared" si="1"/>
        <v>0</v>
      </c>
      <c r="K53" s="2"/>
      <c r="L53" s="2">
        <f t="shared" si="2"/>
        <v>-1972.4299999999998</v>
      </c>
      <c r="M53" s="2"/>
      <c r="N53" s="5">
        <f t="shared" si="3"/>
        <v>-0.88859405690807847</v>
      </c>
      <c r="O53" s="11"/>
      <c r="P53" s="2">
        <f>SUM(OSRRefP22_11x_0)</f>
        <v>31440.27</v>
      </c>
      <c r="Q53" s="2"/>
      <c r="R53" s="5">
        <f t="shared" si="4"/>
        <v>0</v>
      </c>
      <c r="S53" s="2"/>
      <c r="T53" s="2">
        <f>SUM(OSRRefT22_11x_0)</f>
        <v>26559</v>
      </c>
      <c r="U53" s="2"/>
      <c r="V53" s="5">
        <f t="shared" si="5"/>
        <v>0</v>
      </c>
      <c r="W53" s="2"/>
      <c r="X53" s="2">
        <f t="shared" si="6"/>
        <v>4881.2700000000004</v>
      </c>
      <c r="Y53" s="2"/>
      <c r="Z53" s="5">
        <f t="shared" si="7"/>
        <v>0.18378967581610756</v>
      </c>
    </row>
    <row r="54" spans="1:26" s="69" customFormat="1" ht="15" hidden="1" customHeight="1" outlineLevel="2" x14ac:dyDescent="0.3">
      <c r="A54" s="21"/>
      <c r="B54" s="9" t="str">
        <f>CONCATENATE("          ","6371"," - ","COMPUTER SOFTWARE MAINTENANCE")</f>
        <v xml:space="preserve">          6371 - COMPUTER SOFTWARE MAINTENANCE</v>
      </c>
      <c r="C54" s="9"/>
      <c r="D54" s="6"/>
      <c r="E54" s="3"/>
      <c r="F54" s="7">
        <f t="shared" si="0"/>
        <v>0</v>
      </c>
      <c r="G54" s="3"/>
      <c r="H54" s="6"/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/>
      <c r="Q54" s="3"/>
      <c r="R54" s="7">
        <f t="shared" si="4"/>
        <v>0</v>
      </c>
      <c r="S54" s="3"/>
      <c r="T54" s="6">
        <v>1980</v>
      </c>
      <c r="U54" s="3"/>
      <c r="V54" s="7">
        <f t="shared" si="5"/>
        <v>0</v>
      </c>
      <c r="W54" s="3"/>
      <c r="X54" s="6">
        <f t="shared" si="6"/>
        <v>-1980</v>
      </c>
      <c r="Y54" s="3"/>
      <c r="Z54" s="7">
        <f t="shared" si="7"/>
        <v>-1</v>
      </c>
    </row>
    <row r="55" spans="1:26" s="69" customFormat="1" ht="15" hidden="1" customHeight="1" outlineLevel="2" x14ac:dyDescent="0.3">
      <c r="A55" s="21"/>
      <c r="B55" s="9" t="str">
        <f>CONCATENATE("          ","6373"," - ","MAINTENANCE CONTRACTS")</f>
        <v xml:space="preserve">          6373 - MAINTENANCE CONTRACTS</v>
      </c>
      <c r="C55" s="9"/>
      <c r="D55" s="6">
        <v>247.29</v>
      </c>
      <c r="E55" s="3"/>
      <c r="F55" s="7">
        <f t="shared" si="0"/>
        <v>0</v>
      </c>
      <c r="G55" s="3"/>
      <c r="H55" s="6">
        <v>2219.7199999999998</v>
      </c>
      <c r="I55" s="3"/>
      <c r="J55" s="7">
        <f t="shared" si="1"/>
        <v>0</v>
      </c>
      <c r="K55" s="3"/>
      <c r="L55" s="6">
        <f t="shared" si="2"/>
        <v>-1972.4299999999998</v>
      </c>
      <c r="M55" s="3"/>
      <c r="N55" s="7">
        <f t="shared" si="3"/>
        <v>-0.88859405690807847</v>
      </c>
      <c r="O55" s="9"/>
      <c r="P55" s="6">
        <v>31342.28</v>
      </c>
      <c r="Q55" s="3"/>
      <c r="R55" s="7">
        <f t="shared" si="4"/>
        <v>0</v>
      </c>
      <c r="S55" s="3"/>
      <c r="T55" s="6">
        <v>24579</v>
      </c>
      <c r="U55" s="3"/>
      <c r="V55" s="7">
        <f t="shared" si="5"/>
        <v>0</v>
      </c>
      <c r="W55" s="3"/>
      <c r="X55" s="6">
        <f t="shared" si="6"/>
        <v>6763.2799999999988</v>
      </c>
      <c r="Y55" s="3"/>
      <c r="Z55" s="7">
        <f t="shared" si="7"/>
        <v>0.27516497823345126</v>
      </c>
    </row>
    <row r="56" spans="1:26" s="69" customFormat="1" ht="15" hidden="1" customHeight="1" outlineLevel="2" x14ac:dyDescent="0.3">
      <c r="A56" s="21"/>
      <c r="B56" s="9" t="str">
        <f>CONCATENATE("          ","6375"," - ","OUTSIDE REPAIRS &amp; MAINTENANCE")</f>
        <v xml:space="preserve">          6375 - OUTSIDE REPAIRS &amp; MAINTENANCE</v>
      </c>
      <c r="C56" s="9"/>
      <c r="D56" s="6"/>
      <c r="E56" s="3"/>
      <c r="F56" s="7">
        <f t="shared" si="0"/>
        <v>0</v>
      </c>
      <c r="G56" s="3"/>
      <c r="H56" s="6"/>
      <c r="I56" s="3"/>
      <c r="J56" s="7">
        <f t="shared" si="1"/>
        <v>0</v>
      </c>
      <c r="K56" s="3"/>
      <c r="L56" s="6">
        <f t="shared" si="2"/>
        <v>0</v>
      </c>
      <c r="M56" s="3"/>
      <c r="N56" s="7">
        <f t="shared" si="3"/>
        <v>0</v>
      </c>
      <c r="O56" s="9"/>
      <c r="P56" s="6">
        <v>97.99</v>
      </c>
      <c r="Q56" s="3"/>
      <c r="R56" s="7">
        <f t="shared" si="4"/>
        <v>0</v>
      </c>
      <c r="S56" s="3"/>
      <c r="T56" s="6"/>
      <c r="U56" s="3"/>
      <c r="V56" s="7">
        <f t="shared" si="5"/>
        <v>0</v>
      </c>
      <c r="W56" s="3"/>
      <c r="X56" s="6">
        <f t="shared" si="6"/>
        <v>97.99</v>
      </c>
      <c r="Y56" s="3"/>
      <c r="Z56" s="7">
        <f t="shared" si="7"/>
        <v>0</v>
      </c>
    </row>
    <row r="57" spans="1:26" s="68" customFormat="1" ht="15" customHeight="1" outlineLevel="1" collapsed="1" x14ac:dyDescent="0.3">
      <c r="A57" s="20"/>
      <c r="B57" s="11" t="str">
        <f>CONCATENATE("     ","Subscriptions &amp; Dues                              ")</f>
        <v xml:space="preserve">     Subscriptions &amp; Dues                              </v>
      </c>
      <c r="C57" s="11"/>
      <c r="D57" s="2">
        <f>SUM(OSRRefD22_12x_0)</f>
        <v>1103.31</v>
      </c>
      <c r="E57" s="2"/>
      <c r="F57" s="5">
        <f t="shared" si="0"/>
        <v>0</v>
      </c>
      <c r="G57" s="2"/>
      <c r="H57" s="2">
        <f>SUM(OSRRefH22_12x_0)</f>
        <v>0</v>
      </c>
      <c r="I57" s="2"/>
      <c r="J57" s="5">
        <f t="shared" si="1"/>
        <v>0</v>
      </c>
      <c r="K57" s="2"/>
      <c r="L57" s="2">
        <f t="shared" si="2"/>
        <v>1103.31</v>
      </c>
      <c r="M57" s="2"/>
      <c r="N57" s="5">
        <f t="shared" si="3"/>
        <v>0</v>
      </c>
      <c r="O57" s="11"/>
      <c r="P57" s="2">
        <f>SUM(OSRRefP22_12x_0)</f>
        <v>6725.31</v>
      </c>
      <c r="Q57" s="2"/>
      <c r="R57" s="5">
        <f t="shared" si="4"/>
        <v>0</v>
      </c>
      <c r="S57" s="2"/>
      <c r="T57" s="2">
        <f>SUM(OSRRefT22_12x_0)</f>
        <v>8793</v>
      </c>
      <c r="U57" s="2"/>
      <c r="V57" s="5">
        <f t="shared" si="5"/>
        <v>0</v>
      </c>
      <c r="W57" s="2"/>
      <c r="X57" s="2">
        <f t="shared" si="6"/>
        <v>-2067.6899999999996</v>
      </c>
      <c r="Y57" s="2"/>
      <c r="Z57" s="5">
        <f t="shared" si="7"/>
        <v>-0.23515182531559189</v>
      </c>
    </row>
    <row r="58" spans="1:26" s="69" customFormat="1" ht="15" hidden="1" customHeight="1" outlineLevel="2" x14ac:dyDescent="0.3">
      <c r="A58" s="21"/>
      <c r="B58" s="9" t="str">
        <f>CONCATENATE("          ","6258"," - ","MEMBERSHIP DUES")</f>
        <v xml:space="preserve">          6258 - MEMBERSHIP DUES</v>
      </c>
      <c r="C58" s="9"/>
      <c r="D58" s="6">
        <v>1103.31</v>
      </c>
      <c r="E58" s="3"/>
      <c r="F58" s="7">
        <f t="shared" si="0"/>
        <v>0</v>
      </c>
      <c r="G58" s="3"/>
      <c r="H58" s="6"/>
      <c r="I58" s="3"/>
      <c r="J58" s="7">
        <f t="shared" si="1"/>
        <v>0</v>
      </c>
      <c r="K58" s="3"/>
      <c r="L58" s="6">
        <f t="shared" si="2"/>
        <v>1103.31</v>
      </c>
      <c r="M58" s="3"/>
      <c r="N58" s="7">
        <f t="shared" si="3"/>
        <v>0</v>
      </c>
      <c r="O58" s="9"/>
      <c r="P58" s="6">
        <v>6725.31</v>
      </c>
      <c r="Q58" s="3"/>
      <c r="R58" s="7">
        <f t="shared" si="4"/>
        <v>0</v>
      </c>
      <c r="S58" s="3"/>
      <c r="T58" s="6">
        <v>8793</v>
      </c>
      <c r="U58" s="3"/>
      <c r="V58" s="7">
        <f t="shared" si="5"/>
        <v>0</v>
      </c>
      <c r="W58" s="3"/>
      <c r="X58" s="6">
        <f t="shared" si="6"/>
        <v>-2067.6899999999996</v>
      </c>
      <c r="Y58" s="3"/>
      <c r="Z58" s="7">
        <f t="shared" si="7"/>
        <v>-0.23515182531559189</v>
      </c>
    </row>
    <row r="59" spans="1:26" s="68" customFormat="1" ht="15" customHeight="1" outlineLevel="1" collapsed="1" x14ac:dyDescent="0.3">
      <c r="A59" s="20"/>
      <c r="B59" s="11" t="str">
        <f>CONCATENATE("     ","Supplies                                          ")</f>
        <v xml:space="preserve">     Supplies                                          </v>
      </c>
      <c r="C59" s="11"/>
      <c r="D59" s="2">
        <f>SUM(OSRRefD22_13x_0)</f>
        <v>526.63</v>
      </c>
      <c r="E59" s="2"/>
      <c r="F59" s="5">
        <f t="shared" si="0"/>
        <v>0</v>
      </c>
      <c r="G59" s="2"/>
      <c r="H59" s="2">
        <f>SUM(OSRRefH22_13x_0)</f>
        <v>39.69</v>
      </c>
      <c r="I59" s="2"/>
      <c r="J59" s="5">
        <f t="shared" si="1"/>
        <v>0</v>
      </c>
      <c r="K59" s="2"/>
      <c r="L59" s="2">
        <f t="shared" si="2"/>
        <v>486.94</v>
      </c>
      <c r="M59" s="2"/>
      <c r="N59" s="5">
        <f t="shared" si="3"/>
        <v>12.268581506676746</v>
      </c>
      <c r="O59" s="11"/>
      <c r="P59" s="2">
        <f>SUM(OSRRefP22_13x_0)</f>
        <v>935.78</v>
      </c>
      <c r="Q59" s="2"/>
      <c r="R59" s="5">
        <f t="shared" si="4"/>
        <v>0</v>
      </c>
      <c r="S59" s="2"/>
      <c r="T59" s="2">
        <f>SUM(OSRRefT22_13x_0)</f>
        <v>683.38000000000011</v>
      </c>
      <c r="U59" s="2"/>
      <c r="V59" s="5">
        <f t="shared" si="5"/>
        <v>0</v>
      </c>
      <c r="W59" s="2"/>
      <c r="X59" s="2">
        <f t="shared" si="6"/>
        <v>252.39999999999986</v>
      </c>
      <c r="Y59" s="2"/>
      <c r="Z59" s="5">
        <f t="shared" si="7"/>
        <v>0.3693406303959727</v>
      </c>
    </row>
    <row r="60" spans="1:26" s="69" customFormat="1" ht="15" hidden="1" customHeight="1" outlineLevel="2" x14ac:dyDescent="0.3">
      <c r="A60" s="21"/>
      <c r="B60" s="9" t="str">
        <f>CONCATENATE("          ","6235"," - ","COVID-19 EXPENSES")</f>
        <v xml:space="preserve">          6235 - COVID-19 EXPENSES</v>
      </c>
      <c r="C60" s="9"/>
      <c r="D60" s="6"/>
      <c r="E60" s="3"/>
      <c r="F60" s="7">
        <f t="shared" si="0"/>
        <v>0</v>
      </c>
      <c r="G60" s="3"/>
      <c r="H60" s="6"/>
      <c r="I60" s="3"/>
      <c r="J60" s="7">
        <f t="shared" si="1"/>
        <v>0</v>
      </c>
      <c r="K60" s="3"/>
      <c r="L60" s="6">
        <f t="shared" si="2"/>
        <v>0</v>
      </c>
      <c r="M60" s="3"/>
      <c r="N60" s="7">
        <f t="shared" si="3"/>
        <v>0</v>
      </c>
      <c r="O60" s="9"/>
      <c r="P60" s="6"/>
      <c r="Q60" s="3"/>
      <c r="R60" s="7">
        <f t="shared" si="4"/>
        <v>0</v>
      </c>
      <c r="S60" s="3"/>
      <c r="T60" s="6">
        <v>106.94</v>
      </c>
      <c r="U60" s="3"/>
      <c r="V60" s="7">
        <f t="shared" si="5"/>
        <v>0</v>
      </c>
      <c r="W60" s="3"/>
      <c r="X60" s="6">
        <f t="shared" si="6"/>
        <v>-106.94</v>
      </c>
      <c r="Y60" s="3"/>
      <c r="Z60" s="7">
        <f t="shared" si="7"/>
        <v>-1</v>
      </c>
    </row>
    <row r="61" spans="1:26" s="69" customFormat="1" ht="15" hidden="1" customHeight="1" outlineLevel="2" x14ac:dyDescent="0.3">
      <c r="A61" s="21"/>
      <c r="B61" s="9" t="str">
        <f>CONCATENATE("          ","6241"," - ","OFFICE EXPENSE")</f>
        <v xml:space="preserve">          6241 - OFFICE EXPENSE</v>
      </c>
      <c r="C61" s="9"/>
      <c r="D61" s="6">
        <v>526.63</v>
      </c>
      <c r="E61" s="3"/>
      <c r="F61" s="7">
        <f t="shared" si="0"/>
        <v>0</v>
      </c>
      <c r="G61" s="3"/>
      <c r="H61" s="6">
        <v>39.69</v>
      </c>
      <c r="I61" s="3"/>
      <c r="J61" s="7">
        <f t="shared" si="1"/>
        <v>0</v>
      </c>
      <c r="K61" s="3"/>
      <c r="L61" s="6">
        <f t="shared" si="2"/>
        <v>486.94</v>
      </c>
      <c r="M61" s="3"/>
      <c r="N61" s="7">
        <f t="shared" si="3"/>
        <v>12.268581506676746</v>
      </c>
      <c r="O61" s="9"/>
      <c r="P61" s="6">
        <v>935.78</v>
      </c>
      <c r="Q61" s="3"/>
      <c r="R61" s="7">
        <f t="shared" si="4"/>
        <v>0</v>
      </c>
      <c r="S61" s="3"/>
      <c r="T61" s="6">
        <v>576.44000000000005</v>
      </c>
      <c r="U61" s="3"/>
      <c r="V61" s="7">
        <f t="shared" si="5"/>
        <v>0</v>
      </c>
      <c r="W61" s="3"/>
      <c r="X61" s="6">
        <f t="shared" si="6"/>
        <v>359.33999999999992</v>
      </c>
      <c r="Y61" s="3"/>
      <c r="Z61" s="7">
        <f t="shared" si="7"/>
        <v>0.62337797515786531</v>
      </c>
    </row>
    <row r="62" spans="1:26" s="68" customFormat="1" ht="15" customHeight="1" outlineLevel="1" collapsed="1" x14ac:dyDescent="0.3">
      <c r="A62" s="20"/>
      <c r="B62" s="11" t="str">
        <f>CONCATENATE("     ","Telephone/Data Lines                              ")</f>
        <v xml:space="preserve">     Telephone/Data Lines                              </v>
      </c>
      <c r="C62" s="11"/>
      <c r="D62" s="2">
        <f>SUM(OSRRefD22_14x_0)</f>
        <v>303.77999999999997</v>
      </c>
      <c r="E62" s="2"/>
      <c r="F62" s="5">
        <f t="shared" si="0"/>
        <v>0</v>
      </c>
      <c r="G62" s="2"/>
      <c r="H62" s="2">
        <f>SUM(OSRRefH22_14x_0)</f>
        <v>542.47</v>
      </c>
      <c r="I62" s="2"/>
      <c r="J62" s="5">
        <f t="shared" si="1"/>
        <v>0</v>
      </c>
      <c r="K62" s="2"/>
      <c r="L62" s="2">
        <f t="shared" si="2"/>
        <v>-238.69000000000005</v>
      </c>
      <c r="M62" s="2"/>
      <c r="N62" s="5">
        <f t="shared" si="3"/>
        <v>-0.44000589894372044</v>
      </c>
      <c r="O62" s="11"/>
      <c r="P62" s="2">
        <f>SUM(OSRRefP22_14x_0)</f>
        <v>5102.82</v>
      </c>
      <c r="Q62" s="2"/>
      <c r="R62" s="5">
        <f t="shared" si="4"/>
        <v>0</v>
      </c>
      <c r="S62" s="2"/>
      <c r="T62" s="2">
        <f>SUM(OSRRefT22_14x_0)</f>
        <v>4776.09</v>
      </c>
      <c r="U62" s="2"/>
      <c r="V62" s="5">
        <f t="shared" si="5"/>
        <v>0</v>
      </c>
      <c r="W62" s="2"/>
      <c r="X62" s="2">
        <f t="shared" si="6"/>
        <v>326.72999999999956</v>
      </c>
      <c r="Y62" s="2"/>
      <c r="Z62" s="5">
        <f t="shared" si="7"/>
        <v>6.8409514896075982E-2</v>
      </c>
    </row>
    <row r="63" spans="1:26" s="69" customFormat="1" ht="15" hidden="1" customHeight="1" outlineLevel="2" x14ac:dyDescent="0.3">
      <c r="A63" s="21"/>
      <c r="B63" s="9" t="str">
        <f>CONCATENATE("          ","6309"," - ","TELEPHONE")</f>
        <v xml:space="preserve">          6309 - TELEPHONE</v>
      </c>
      <c r="C63" s="9"/>
      <c r="D63" s="6">
        <v>303.77999999999997</v>
      </c>
      <c r="E63" s="3"/>
      <c r="F63" s="7">
        <f t="shared" si="0"/>
        <v>0</v>
      </c>
      <c r="G63" s="3"/>
      <c r="H63" s="6">
        <v>542.47</v>
      </c>
      <c r="I63" s="3"/>
      <c r="J63" s="7">
        <f t="shared" si="1"/>
        <v>0</v>
      </c>
      <c r="K63" s="3"/>
      <c r="L63" s="6">
        <f t="shared" si="2"/>
        <v>-238.69000000000005</v>
      </c>
      <c r="M63" s="3"/>
      <c r="N63" s="7">
        <f t="shared" si="3"/>
        <v>-0.44000589894372044</v>
      </c>
      <c r="O63" s="9"/>
      <c r="P63" s="6">
        <v>5102.82</v>
      </c>
      <c r="Q63" s="3"/>
      <c r="R63" s="7">
        <f t="shared" si="4"/>
        <v>0</v>
      </c>
      <c r="S63" s="3"/>
      <c r="T63" s="6">
        <v>4776.09</v>
      </c>
      <c r="U63" s="3"/>
      <c r="V63" s="7">
        <f t="shared" si="5"/>
        <v>0</v>
      </c>
      <c r="W63" s="3"/>
      <c r="X63" s="6">
        <f t="shared" si="6"/>
        <v>326.72999999999956</v>
      </c>
      <c r="Y63" s="3"/>
      <c r="Z63" s="7">
        <f t="shared" si="7"/>
        <v>6.8409514896075982E-2</v>
      </c>
    </row>
    <row r="64" spans="1:26" s="68" customFormat="1" ht="15" customHeight="1" outlineLevel="1" collapsed="1" x14ac:dyDescent="0.3">
      <c r="A64" s="20"/>
      <c r="B64" s="11" t="str">
        <f>CONCATENATE("     ","Training                                          ")</f>
        <v xml:space="preserve">     Training                                          </v>
      </c>
      <c r="C64" s="11"/>
      <c r="D64" s="2">
        <f>SUM(OSRRefD22_15x_0)</f>
        <v>0</v>
      </c>
      <c r="E64" s="2"/>
      <c r="F64" s="5">
        <f t="shared" si="0"/>
        <v>0</v>
      </c>
      <c r="G64" s="2"/>
      <c r="H64" s="2">
        <f>SUM(OSRRefH22_15x_0)</f>
        <v>0</v>
      </c>
      <c r="I64" s="2"/>
      <c r="J64" s="5">
        <f t="shared" si="1"/>
        <v>0</v>
      </c>
      <c r="K64" s="2"/>
      <c r="L64" s="2">
        <f t="shared" si="2"/>
        <v>0</v>
      </c>
      <c r="M64" s="2"/>
      <c r="N64" s="5">
        <f t="shared" si="3"/>
        <v>0</v>
      </c>
      <c r="O64" s="11"/>
      <c r="P64" s="2">
        <f>SUM(OSRRefP22_15x_0)</f>
        <v>0</v>
      </c>
      <c r="Q64" s="2"/>
      <c r="R64" s="5">
        <f t="shared" si="4"/>
        <v>0</v>
      </c>
      <c r="S64" s="2"/>
      <c r="T64" s="2">
        <f>SUM(OSRRefT22_15x_0)</f>
        <v>4276.5</v>
      </c>
      <c r="U64" s="2"/>
      <c r="V64" s="5">
        <f t="shared" si="5"/>
        <v>0</v>
      </c>
      <c r="W64" s="2"/>
      <c r="X64" s="2">
        <f t="shared" si="6"/>
        <v>-4276.5</v>
      </c>
      <c r="Y64" s="2"/>
      <c r="Z64" s="5">
        <f t="shared" si="7"/>
        <v>-1</v>
      </c>
    </row>
    <row r="65" spans="1:26" s="69" customFormat="1" ht="15" hidden="1" customHeight="1" outlineLevel="2" x14ac:dyDescent="0.3">
      <c r="A65" s="21"/>
      <c r="B65" s="9" t="str">
        <f>CONCATENATE("          ","6376"," - ","TRAINING")</f>
        <v xml:space="preserve">          6376 - TRAINING</v>
      </c>
      <c r="C65" s="9"/>
      <c r="D65" s="6"/>
      <c r="E65" s="3"/>
      <c r="F65" s="7">
        <f t="shared" si="0"/>
        <v>0</v>
      </c>
      <c r="G65" s="3"/>
      <c r="H65" s="6"/>
      <c r="I65" s="3"/>
      <c r="J65" s="7">
        <f t="shared" si="1"/>
        <v>0</v>
      </c>
      <c r="K65" s="3"/>
      <c r="L65" s="6">
        <f t="shared" si="2"/>
        <v>0</v>
      </c>
      <c r="M65" s="3"/>
      <c r="N65" s="7">
        <f t="shared" si="3"/>
        <v>0</v>
      </c>
      <c r="O65" s="9"/>
      <c r="P65" s="6">
        <v>0</v>
      </c>
      <c r="Q65" s="3"/>
      <c r="R65" s="7">
        <f t="shared" si="4"/>
        <v>0</v>
      </c>
      <c r="S65" s="3"/>
      <c r="T65" s="6">
        <v>4276.5</v>
      </c>
      <c r="U65" s="3"/>
      <c r="V65" s="7">
        <f t="shared" si="5"/>
        <v>0</v>
      </c>
      <c r="W65" s="3"/>
      <c r="X65" s="6">
        <f t="shared" si="6"/>
        <v>-4276.5</v>
      </c>
      <c r="Y65" s="3"/>
      <c r="Z65" s="7">
        <f t="shared" si="7"/>
        <v>-1</v>
      </c>
    </row>
    <row r="66" spans="1:26" s="64" customFormat="1" ht="15" customHeight="1" x14ac:dyDescent="0.3">
      <c r="A66" s="37"/>
      <c r="B66" s="37"/>
      <c r="C66" s="37"/>
      <c r="D66" s="2"/>
      <c r="E66" s="2"/>
      <c r="F66" s="5"/>
      <c r="G66" s="2"/>
      <c r="H66" s="2"/>
      <c r="I66" s="2"/>
      <c r="J66" s="5"/>
      <c r="K66" s="2"/>
      <c r="L66" s="2"/>
      <c r="M66" s="2"/>
      <c r="N66" s="5"/>
      <c r="O66" s="37"/>
      <c r="P66" s="2"/>
      <c r="Q66" s="2"/>
      <c r="R66" s="5"/>
      <c r="S66" s="2"/>
      <c r="T66" s="2"/>
      <c r="U66" s="2"/>
      <c r="V66" s="5"/>
      <c r="W66" s="2"/>
      <c r="X66" s="2"/>
      <c r="Y66" s="2"/>
      <c r="Z66" s="5"/>
    </row>
    <row r="67" spans="1:26" s="62" customFormat="1" ht="15" customHeight="1" x14ac:dyDescent="0.3">
      <c r="A67" s="13"/>
      <c r="B67" s="27" t="s">
        <v>290</v>
      </c>
      <c r="C67" s="13"/>
      <c r="D67" s="8">
        <f>SUM(0)</f>
        <v>0</v>
      </c>
      <c r="E67" s="8"/>
      <c r="F67" s="14">
        <f>IF(D$12=0,0,D67/D$12)</f>
        <v>0</v>
      </c>
      <c r="G67" s="8"/>
      <c r="H67" s="8">
        <f>SUM(0)</f>
        <v>0</v>
      </c>
      <c r="I67" s="8"/>
      <c r="J67" s="14">
        <f>IF(H$12=0,0,H67/H$12)</f>
        <v>0</v>
      </c>
      <c r="K67" s="8"/>
      <c r="L67" s="8">
        <f>+D67-H67</f>
        <v>0</v>
      </c>
      <c r="M67" s="8"/>
      <c r="N67" s="14">
        <f>IF(H67=0,0,L67/H67)</f>
        <v>0</v>
      </c>
      <c r="O67" s="13"/>
      <c r="P67" s="8">
        <f>SUM(0)</f>
        <v>0</v>
      </c>
      <c r="Q67" s="8"/>
      <c r="R67" s="14">
        <f>IF(P$12=0,0,P67/P$12)</f>
        <v>0</v>
      </c>
      <c r="S67" s="8"/>
      <c r="T67" s="8">
        <f>SUM(0)</f>
        <v>0</v>
      </c>
      <c r="U67" s="8"/>
      <c r="V67" s="14">
        <f>IF(T$12=0,0,T67/T$12)</f>
        <v>0</v>
      </c>
      <c r="W67" s="8"/>
      <c r="X67" s="8">
        <f>+P67-T67</f>
        <v>0</v>
      </c>
      <c r="Y67" s="8"/>
      <c r="Z67" s="14">
        <f>IF(T67=0,0,X67/T67)</f>
        <v>0</v>
      </c>
    </row>
    <row r="68" spans="1:26" ht="15" customHeight="1" x14ac:dyDescent="0.3">
      <c r="A68" s="12"/>
      <c r="B68" s="13"/>
      <c r="C68" s="13"/>
      <c r="D68" s="4"/>
      <c r="E68" s="4"/>
      <c r="F68" s="10"/>
      <c r="G68" s="4"/>
      <c r="H68" s="4"/>
      <c r="I68" s="4"/>
      <c r="J68" s="10"/>
      <c r="K68" s="4"/>
      <c r="L68" s="4"/>
      <c r="M68" s="4"/>
      <c r="N68" s="10"/>
      <c r="O68" s="13"/>
      <c r="P68" s="4"/>
      <c r="Q68" s="4"/>
      <c r="R68" s="10"/>
      <c r="S68" s="4"/>
      <c r="T68" s="4"/>
      <c r="U68" s="4"/>
      <c r="V68" s="10"/>
      <c r="W68" s="4"/>
      <c r="X68" s="4"/>
      <c r="Y68" s="4"/>
      <c r="Z68" s="10"/>
    </row>
    <row r="69" spans="1:26" s="62" customFormat="1" ht="15" customHeight="1" x14ac:dyDescent="0.3">
      <c r="A69" s="13"/>
      <c r="B69" s="28" t="s">
        <v>291</v>
      </c>
      <c r="C69" s="28"/>
      <c r="D69" s="22">
        <f>+D16-D18+D67</f>
        <v>-35731.839999999997</v>
      </c>
      <c r="E69" s="15"/>
      <c r="F69" s="24">
        <f>IF(D$12=0,0,D69/D$12)</f>
        <v>0</v>
      </c>
      <c r="G69" s="15"/>
      <c r="H69" s="22">
        <f>+H16-H18+H67</f>
        <v>-62958.810000000005</v>
      </c>
      <c r="I69" s="15"/>
      <c r="J69" s="24">
        <f>IF(H$12=0,0,H69/H$12)</f>
        <v>0</v>
      </c>
      <c r="K69" s="17"/>
      <c r="L69" s="22">
        <f>+D69-H69</f>
        <v>27226.970000000008</v>
      </c>
      <c r="M69" s="17"/>
      <c r="N69" s="24">
        <f>IF(H69=0,0,L69/H69)</f>
        <v>-0.43245687140528871</v>
      </c>
      <c r="O69" s="27"/>
      <c r="P69" s="22">
        <f>+P16-P18+P67</f>
        <v>-559581.35</v>
      </c>
      <c r="Q69" s="15"/>
      <c r="R69" s="24">
        <f>IF(P$12=0,0,P69/P$12)</f>
        <v>0</v>
      </c>
      <c r="S69" s="15"/>
      <c r="T69" s="22">
        <f>+T16-T18+T67</f>
        <v>-476464.99000000005</v>
      </c>
      <c r="U69" s="15"/>
      <c r="V69" s="24">
        <f>IF(T$12=0,0,T69/T$12)</f>
        <v>0</v>
      </c>
      <c r="W69" s="17"/>
      <c r="X69" s="22">
        <f>+P69-T69</f>
        <v>-83116.359999999928</v>
      </c>
      <c r="Y69" s="17"/>
      <c r="Z69" s="24">
        <f>IF(T69=0,0,X69/T69)</f>
        <v>0.17444379281676062</v>
      </c>
    </row>
    <row r="70" spans="1:26" ht="15" customHeight="1" x14ac:dyDescent="0.3">
      <c r="A70" s="12"/>
      <c r="B70" s="13"/>
      <c r="C70" s="12"/>
      <c r="D70" s="4"/>
      <c r="E70" s="4"/>
      <c r="F70" s="10"/>
      <c r="G70" s="4"/>
      <c r="H70" s="4"/>
      <c r="I70" s="4"/>
      <c r="J70" s="10"/>
      <c r="K70" s="4"/>
      <c r="L70" s="4"/>
      <c r="M70" s="4"/>
      <c r="N70" s="10"/>
      <c r="P70" s="4"/>
      <c r="Q70" s="4"/>
      <c r="R70" s="10"/>
      <c r="S70" s="4"/>
      <c r="T70" s="4"/>
      <c r="U70" s="4"/>
      <c r="V70" s="10"/>
      <c r="W70" s="4"/>
      <c r="X70" s="4"/>
      <c r="Y70" s="4"/>
      <c r="Z70" s="10"/>
    </row>
    <row r="71" spans="1:26" s="62" customFormat="1" ht="15" customHeight="1" x14ac:dyDescent="0.3">
      <c r="A71" s="48"/>
      <c r="B71" s="13" t="s">
        <v>292</v>
      </c>
      <c r="C71" s="13"/>
      <c r="D71" s="8"/>
      <c r="E71" s="8"/>
      <c r="F71" s="14">
        <f>IF(D$12=0,0,D71/D$12)</f>
        <v>0</v>
      </c>
      <c r="G71" s="8"/>
      <c r="H71" s="8"/>
      <c r="I71" s="8"/>
      <c r="J71" s="14">
        <f>IF(H$12=0,0,H71/H$12)</f>
        <v>0</v>
      </c>
      <c r="K71" s="8"/>
      <c r="L71" s="8">
        <f>+D71-H71</f>
        <v>0</v>
      </c>
      <c r="M71" s="8"/>
      <c r="N71" s="14">
        <f>IF(H71=0,0,L71/H71)</f>
        <v>0</v>
      </c>
      <c r="O71" s="13"/>
      <c r="P71" s="8"/>
      <c r="Q71" s="8"/>
      <c r="R71" s="14">
        <f>IF(P$12=0,0,P71/P$12)</f>
        <v>0</v>
      </c>
      <c r="S71" s="8"/>
      <c r="T71" s="8"/>
      <c r="U71" s="8"/>
      <c r="V71" s="14">
        <f>IF(T$12=0,0,T71/T$12)</f>
        <v>0</v>
      </c>
      <c r="W71" s="8"/>
      <c r="X71" s="8">
        <f>+P71-T71</f>
        <v>0</v>
      </c>
      <c r="Y71" s="8"/>
      <c r="Z71" s="14">
        <f>IF(T71=0,0,X71/T71)</f>
        <v>0</v>
      </c>
    </row>
    <row r="72" spans="1:26" ht="15" customHeight="1" x14ac:dyDescent="0.3">
      <c r="A72" s="12"/>
      <c r="B72" s="13"/>
      <c r="C72" s="13"/>
      <c r="D72" s="4"/>
      <c r="E72" s="4"/>
      <c r="F72" s="10"/>
      <c r="G72" s="4"/>
      <c r="H72" s="4"/>
      <c r="I72" s="4"/>
      <c r="J72" s="10"/>
      <c r="K72" s="4"/>
      <c r="L72" s="4"/>
      <c r="M72" s="4"/>
      <c r="N72" s="10"/>
      <c r="O72" s="13"/>
      <c r="P72" s="4"/>
      <c r="Q72" s="4"/>
      <c r="R72" s="10"/>
      <c r="S72" s="4"/>
      <c r="T72" s="4"/>
      <c r="U72" s="4"/>
      <c r="V72" s="10"/>
      <c r="W72" s="4"/>
      <c r="X72" s="4"/>
      <c r="Y72" s="4"/>
      <c r="Z72" s="10"/>
    </row>
    <row r="73" spans="1:26" s="62" customFormat="1" ht="15" customHeight="1" x14ac:dyDescent="0.3">
      <c r="A73" s="13"/>
      <c r="B73" s="28" t="s">
        <v>293</v>
      </c>
      <c r="C73" s="28"/>
      <c r="D73" s="29">
        <f>+D69-D71</f>
        <v>-35731.839999999997</v>
      </c>
      <c r="E73" s="15"/>
      <c r="F73" s="31">
        <f>IF(D$12=0,0,D73/D$12)</f>
        <v>0</v>
      </c>
      <c r="G73" s="15"/>
      <c r="H73" s="29">
        <f>+H69-H71</f>
        <v>-62958.810000000005</v>
      </c>
      <c r="I73" s="15"/>
      <c r="J73" s="31">
        <f>IF(H$12=0,0,H73/H$12)</f>
        <v>0</v>
      </c>
      <c r="K73" s="17"/>
      <c r="L73" s="29">
        <f>D73-H73</f>
        <v>27226.970000000008</v>
      </c>
      <c r="M73" s="17"/>
      <c r="N73" s="31">
        <f>IF(H73=0,0,L73/H73)</f>
        <v>-0.43245687140528871</v>
      </c>
      <c r="O73" s="27"/>
      <c r="P73" s="29">
        <f>+P69-P71</f>
        <v>-559581.35</v>
      </c>
      <c r="Q73" s="15"/>
      <c r="R73" s="31">
        <f>IF(P$12=0,0,P73/P$12)</f>
        <v>0</v>
      </c>
      <c r="S73" s="15"/>
      <c r="T73" s="29">
        <f>+T69-T71</f>
        <v>-476464.99000000005</v>
      </c>
      <c r="U73" s="15"/>
      <c r="V73" s="31">
        <f>IF(T$12=0,0,T73/T$12)</f>
        <v>0</v>
      </c>
      <c r="W73" s="17"/>
      <c r="X73" s="29">
        <f>P73-T73</f>
        <v>-83116.359999999928</v>
      </c>
      <c r="Y73" s="17"/>
      <c r="Z73" s="31">
        <f>IF(T73=0,0,X73/T73)</f>
        <v>0.17444379281676062</v>
      </c>
    </row>
    <row r="74" spans="1:26" ht="15" customHeight="1" x14ac:dyDescent="0.3">
      <c r="A74" s="12"/>
      <c r="B74" s="12"/>
      <c r="C74" s="12"/>
      <c r="D74" s="4"/>
      <c r="E74" s="4"/>
      <c r="F74" s="10"/>
      <c r="G74" s="4"/>
      <c r="H74" s="4"/>
      <c r="I74" s="4"/>
      <c r="J74" s="10"/>
      <c r="K74" s="4"/>
      <c r="L74" s="4"/>
      <c r="M74" s="4"/>
      <c r="N74" s="10"/>
      <c r="P74" s="4"/>
      <c r="Q74" s="4"/>
      <c r="R74" s="10"/>
      <c r="S74" s="4"/>
      <c r="T74" s="4"/>
      <c r="U74" s="4"/>
      <c r="V74" s="10"/>
      <c r="W74" s="4"/>
      <c r="X74" s="4"/>
      <c r="Y74" s="4"/>
      <c r="Z74" s="10"/>
    </row>
    <row r="75" spans="1:26" ht="15" customHeight="1" x14ac:dyDescent="0.3">
      <c r="A75" s="12"/>
      <c r="B75" s="12"/>
      <c r="C75" s="12"/>
      <c r="D75" s="4"/>
      <c r="E75" s="4"/>
      <c r="F75" s="10"/>
      <c r="G75" s="4"/>
      <c r="H75" s="4"/>
      <c r="I75" s="4"/>
      <c r="J75" s="10"/>
      <c r="K75" s="4"/>
      <c r="L75" s="4"/>
      <c r="M75" s="4"/>
      <c r="N75" s="10"/>
      <c r="P75" s="4"/>
      <c r="Q75" s="4"/>
      <c r="R75" s="10"/>
      <c r="S75" s="4"/>
      <c r="T75" s="4"/>
      <c r="U75" s="4"/>
      <c r="V75" s="10"/>
      <c r="W75" s="4"/>
      <c r="X75" s="4"/>
      <c r="Y75" s="4"/>
      <c r="Z75" s="10"/>
    </row>
    <row r="76" spans="1:26" s="62" customFormat="1" ht="15" customHeight="1" x14ac:dyDescent="0.3">
      <c r="A76" s="13"/>
      <c r="B76" s="28" t="s">
        <v>296</v>
      </c>
      <c r="C76" s="28"/>
      <c r="D76" s="30">
        <f>SUM(D73:D75)</f>
        <v>-35731.839999999997</v>
      </c>
      <c r="E76" s="15"/>
      <c r="F76" s="35">
        <f>IF(D$12=0,0,D76/D$12)</f>
        <v>0</v>
      </c>
      <c r="G76" s="15"/>
      <c r="H76" s="30">
        <f>SUM(H73:H75)</f>
        <v>-62958.810000000005</v>
      </c>
      <c r="I76" s="15"/>
      <c r="J76" s="35">
        <f>IF(H$12=0,0,H76/H$12)</f>
        <v>0</v>
      </c>
      <c r="K76" s="17"/>
      <c r="L76" s="30">
        <f>+D76-H76</f>
        <v>27226.970000000008</v>
      </c>
      <c r="M76" s="17"/>
      <c r="N76" s="35">
        <f>IF(H76=0,0,L76/H76)</f>
        <v>-0.43245687140528871</v>
      </c>
      <c r="O76" s="27"/>
      <c r="P76" s="30">
        <f>SUM(P73:P75)</f>
        <v>-559581.35</v>
      </c>
      <c r="Q76" s="15"/>
      <c r="R76" s="35">
        <f>IF(P$12=0,0,P76/P$12)</f>
        <v>0</v>
      </c>
      <c r="S76" s="15"/>
      <c r="T76" s="30">
        <f>SUM(T73:T75)</f>
        <v>-476464.99000000005</v>
      </c>
      <c r="U76" s="15"/>
      <c r="V76" s="35">
        <f>IF(T$12=0,0,T76/T$12)</f>
        <v>0</v>
      </c>
      <c r="W76" s="17"/>
      <c r="X76" s="30">
        <f>+P76-T76</f>
        <v>-83116.359999999928</v>
      </c>
      <c r="Y76" s="17"/>
      <c r="Z76" s="35">
        <f>IF(T76=0,0,X76/T76)</f>
        <v>0.17444379281676062</v>
      </c>
    </row>
    <row r="77" spans="1:26" ht="15" customHeight="1" x14ac:dyDescent="0.3">
      <c r="A77" s="12"/>
      <c r="C77" s="12"/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A78" s="12"/>
      <c r="B78" s="54">
        <v>44767.815885219905</v>
      </c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A79" s="12"/>
      <c r="B79" s="53" t="s">
        <v>297</v>
      </c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  <row r="80" spans="1:26" ht="15" customHeight="1" x14ac:dyDescent="0.3">
      <c r="A80" s="12"/>
      <c r="B80" s="51"/>
      <c r="D80" s="19"/>
      <c r="E80" s="19"/>
      <c r="G80" s="19"/>
      <c r="H80" s="19"/>
      <c r="I80" s="19"/>
      <c r="J80" s="41"/>
      <c r="K80" s="19"/>
      <c r="L80" s="19"/>
      <c r="M80" s="19"/>
      <c r="P80" s="19"/>
      <c r="Q80" s="19"/>
      <c r="R80" s="41"/>
      <c r="S80" s="19"/>
      <c r="T80" s="19"/>
      <c r="U80" s="19"/>
      <c r="V80" s="41"/>
      <c r="W80" s="19"/>
      <c r="X80" s="19"/>
    </row>
    <row r="81" spans="4:24" ht="15" customHeight="1" x14ac:dyDescent="0.3">
      <c r="D81" s="19"/>
      <c r="E81" s="19"/>
      <c r="G81" s="19"/>
      <c r="H81" s="19"/>
      <c r="I81" s="19"/>
      <c r="J81" s="41"/>
      <c r="K81" s="19"/>
      <c r="L81" s="19"/>
      <c r="M81" s="19"/>
      <c r="P81" s="19"/>
      <c r="Q81" s="19"/>
      <c r="R81" s="41"/>
      <c r="S81" s="19"/>
      <c r="T81" s="19"/>
      <c r="U81" s="19"/>
      <c r="V81" s="41"/>
      <c r="W81" s="19"/>
      <c r="X8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8F8E3-380B-8D4E-F00E-F0B147EE4AA7}">
  <sheetPr>
    <tabColor rgb="FF92D05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8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59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6"/>
      <c r="C6" s="46"/>
      <c r="D6" s="25" t="str">
        <f>CONCATENATE("Department ","202"," - ","Accounting")</f>
        <v>Department 202 - Accounting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6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2"/>
      <c r="C9" s="12"/>
      <c r="D9" s="16" t="s">
        <v>279</v>
      </c>
      <c r="E9" s="16"/>
      <c r="F9" s="39"/>
      <c r="G9" s="16"/>
      <c r="H9" s="16"/>
      <c r="I9" s="16"/>
      <c r="J9" s="43"/>
      <c r="K9" s="16"/>
      <c r="L9" s="16"/>
      <c r="M9" s="16"/>
      <c r="N9" s="39"/>
      <c r="P9" s="16" t="s">
        <v>280</v>
      </c>
      <c r="Q9" s="16"/>
      <c r="R9" s="39"/>
      <c r="S9" s="16"/>
      <c r="T9" s="16"/>
      <c r="U9" s="16"/>
      <c r="V9" s="43"/>
      <c r="W9" s="16"/>
      <c r="X9" s="16"/>
      <c r="Y9" s="16"/>
      <c r="Z9" s="39"/>
    </row>
    <row r="10" spans="1:26" ht="15" customHeight="1" x14ac:dyDescent="0.3">
      <c r="A10" s="13"/>
      <c r="B10" s="49"/>
      <c r="C10" s="13"/>
      <c r="D10" s="40" t="s">
        <v>281</v>
      </c>
      <c r="E10" s="33"/>
      <c r="F10" s="32" t="s">
        <v>282</v>
      </c>
      <c r="G10" s="33"/>
      <c r="H10" s="42" t="s">
        <v>283</v>
      </c>
      <c r="I10" s="33"/>
      <c r="J10" s="32" t="s">
        <v>282</v>
      </c>
      <c r="K10" s="13"/>
      <c r="L10" s="40" t="s">
        <v>284</v>
      </c>
      <c r="M10" s="13"/>
      <c r="N10" s="32" t="s">
        <v>285</v>
      </c>
      <c r="O10" s="13"/>
      <c r="P10" s="55" t="s">
        <v>281</v>
      </c>
      <c r="Q10" s="33"/>
      <c r="R10" s="32" t="s">
        <v>282</v>
      </c>
      <c r="S10" s="33"/>
      <c r="T10" s="42" t="s">
        <v>283</v>
      </c>
      <c r="U10" s="33"/>
      <c r="V10" s="32" t="s">
        <v>282</v>
      </c>
      <c r="W10" s="13"/>
      <c r="X10" s="40" t="s">
        <v>284</v>
      </c>
      <c r="Y10" s="13"/>
      <c r="Z10" s="32" t="s">
        <v>285</v>
      </c>
    </row>
    <row r="11" spans="1:26" ht="16.5" customHeight="1" x14ac:dyDescent="0.3">
      <c r="A11" s="12"/>
      <c r="B11" s="52"/>
      <c r="C11" s="12"/>
      <c r="D11" s="12"/>
      <c r="E11" s="12"/>
      <c r="F11" s="10"/>
      <c r="G11" s="12"/>
      <c r="H11" s="12"/>
      <c r="I11" s="12"/>
      <c r="J11" s="45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5"/>
      <c r="W11" s="12"/>
      <c r="X11" s="12"/>
      <c r="Y11" s="12"/>
      <c r="Z11" s="10"/>
    </row>
    <row r="12" spans="1:26" s="62" customFormat="1" ht="15" customHeight="1" x14ac:dyDescent="0.3">
      <c r="A12" s="13"/>
      <c r="B12" s="27" t="s">
        <v>286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2" customFormat="1" ht="15" customHeight="1" x14ac:dyDescent="0.3">
      <c r="A14" s="13"/>
      <c r="B14" s="27" t="s">
        <v>287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2" customFormat="1" ht="15" customHeight="1" x14ac:dyDescent="0.3">
      <c r="A16" s="13"/>
      <c r="B16" s="28" t="s">
        <v>288</v>
      </c>
      <c r="C16" s="28"/>
      <c r="D16" s="22">
        <f>D12-D14</f>
        <v>0</v>
      </c>
      <c r="E16" s="15"/>
      <c r="F16" s="24">
        <f>IF(D$12=0,0,D16/D$12)</f>
        <v>0</v>
      </c>
      <c r="G16" s="15"/>
      <c r="H16" s="22">
        <f>H12-H14</f>
        <v>0</v>
      </c>
      <c r="I16" s="15"/>
      <c r="J16" s="24">
        <f>IF(H$12=0,0,H16/H$12)</f>
        <v>0</v>
      </c>
      <c r="K16" s="17"/>
      <c r="L16" s="22">
        <f>+D16-H16</f>
        <v>0</v>
      </c>
      <c r="M16" s="17"/>
      <c r="N16" s="24">
        <f>IF(H16=0,0,L16/H16)</f>
        <v>0</v>
      </c>
      <c r="O16" s="27"/>
      <c r="P16" s="22">
        <f>P12-P14</f>
        <v>0</v>
      </c>
      <c r="Q16" s="15"/>
      <c r="R16" s="24">
        <f>IF(P$12=0,0,P16/P$12)</f>
        <v>0</v>
      </c>
      <c r="S16" s="15"/>
      <c r="T16" s="22">
        <f>T12-T14</f>
        <v>0</v>
      </c>
      <c r="U16" s="15"/>
      <c r="V16" s="24">
        <f>IF(T$12=0,0,T16/T$12)</f>
        <v>0</v>
      </c>
      <c r="W16" s="17"/>
      <c r="X16" s="22">
        <f>+P16-T16</f>
        <v>0</v>
      </c>
      <c r="Y16" s="17"/>
      <c r="Z16" s="24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7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2" customFormat="1" ht="15" customHeight="1" x14ac:dyDescent="0.3">
      <c r="A18" s="13"/>
      <c r="B18" s="27" t="s">
        <v>289</v>
      </c>
      <c r="C18" s="13"/>
      <c r="D18" s="23" cm="1">
        <f t="array" ref="D18">SUM(OSRRefD22x_0)</f>
        <v>41416.729999999996</v>
      </c>
      <c r="E18" s="23"/>
      <c r="F18" s="34">
        <f t="shared" ref="F18:F60" si="0">IF(D$12=0,0,D18/D$12)</f>
        <v>0</v>
      </c>
      <c r="G18" s="23"/>
      <c r="H18" s="23" cm="1">
        <f t="array" ref="H18">SUM(OSRRefH22x_0)</f>
        <v>37925.810000000005</v>
      </c>
      <c r="I18" s="23"/>
      <c r="J18" s="34">
        <f t="shared" ref="J18:J60" si="1">IF(H$12=0,0,H18/H$12)</f>
        <v>0</v>
      </c>
      <c r="K18" s="8"/>
      <c r="L18" s="23">
        <f t="shared" ref="L18:L60" si="2">+D18-H18</f>
        <v>3490.919999999991</v>
      </c>
      <c r="M18" s="8"/>
      <c r="N18" s="34">
        <f t="shared" ref="N18:N60" si="3">IF(H18=0,0,L18/H18)</f>
        <v>9.2046023539114674E-2</v>
      </c>
      <c r="O18" s="13"/>
      <c r="P18" s="23" cm="1">
        <f t="array" ref="P18">SUM(OSRRefP22x_0)</f>
        <v>525809.81000000017</v>
      </c>
      <c r="Q18" s="23"/>
      <c r="R18" s="34">
        <f t="shared" ref="R18:R60" si="4">IF(P$12=0,0,P18/P$12)</f>
        <v>0</v>
      </c>
      <c r="S18" s="23"/>
      <c r="T18" s="23" cm="1">
        <f t="array" ref="T18">SUM(OSRRefT22x_0)</f>
        <v>491918.74999999994</v>
      </c>
      <c r="U18" s="23"/>
      <c r="V18" s="34">
        <f t="shared" ref="V18:V60" si="5">IF(T$12=0,0,T18/T$12)</f>
        <v>0</v>
      </c>
      <c r="W18" s="8"/>
      <c r="X18" s="23">
        <f t="shared" ref="X18:X60" si="6">+P18-T18</f>
        <v>33891.060000000231</v>
      </c>
      <c r="Y18" s="8"/>
      <c r="Z18" s="34">
        <f t="shared" ref="Z18:Z60" si="7">IF(T18=0,0,X18/T18)</f>
        <v>6.8895645876479061E-2</v>
      </c>
    </row>
    <row r="19" spans="1:26" s="68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11949.660000000002</v>
      </c>
      <c r="E19" s="2"/>
      <c r="F19" s="5">
        <f t="shared" si="0"/>
        <v>0</v>
      </c>
      <c r="G19" s="2"/>
      <c r="H19" s="2">
        <f>SUM(OSRRefH22_0x_0)</f>
        <v>13913</v>
      </c>
      <c r="I19" s="2"/>
      <c r="J19" s="5">
        <f t="shared" si="1"/>
        <v>0</v>
      </c>
      <c r="K19" s="2"/>
      <c r="L19" s="2">
        <f t="shared" si="2"/>
        <v>-1963.3399999999983</v>
      </c>
      <c r="M19" s="2"/>
      <c r="N19" s="5">
        <f t="shared" si="3"/>
        <v>-0.14111550348594828</v>
      </c>
      <c r="O19" s="11"/>
      <c r="P19" s="2">
        <f>SUM(OSRRefP22_0x_0)</f>
        <v>164072.99000000002</v>
      </c>
      <c r="Q19" s="2"/>
      <c r="R19" s="5">
        <f t="shared" si="4"/>
        <v>0</v>
      </c>
      <c r="S19" s="2"/>
      <c r="T19" s="2">
        <f>SUM(OSRRefT22_0x_0)</f>
        <v>160928.85</v>
      </c>
      <c r="U19" s="2"/>
      <c r="V19" s="5">
        <f t="shared" si="5"/>
        <v>0</v>
      </c>
      <c r="W19" s="2"/>
      <c r="X19" s="2">
        <f t="shared" si="6"/>
        <v>3144.140000000014</v>
      </c>
      <c r="Y19" s="2"/>
      <c r="Z19" s="5">
        <f t="shared" si="7"/>
        <v>1.9537453974225343E-2</v>
      </c>
    </row>
    <row r="20" spans="1:26" s="69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1689.35</v>
      </c>
      <c r="E20" s="3"/>
      <c r="F20" s="7">
        <f t="shared" si="0"/>
        <v>0</v>
      </c>
      <c r="G20" s="3"/>
      <c r="H20" s="6">
        <v>1630.09</v>
      </c>
      <c r="I20" s="3"/>
      <c r="J20" s="7">
        <f t="shared" si="1"/>
        <v>0</v>
      </c>
      <c r="K20" s="3"/>
      <c r="L20" s="6">
        <f t="shared" si="2"/>
        <v>59.259999999999991</v>
      </c>
      <c r="M20" s="3"/>
      <c r="N20" s="7">
        <f t="shared" si="3"/>
        <v>3.6353820954671212E-2</v>
      </c>
      <c r="O20" s="9"/>
      <c r="P20" s="6">
        <v>21751.43</v>
      </c>
      <c r="Q20" s="3"/>
      <c r="R20" s="7">
        <f t="shared" si="4"/>
        <v>0</v>
      </c>
      <c r="S20" s="3"/>
      <c r="T20" s="6">
        <v>22399.99</v>
      </c>
      <c r="U20" s="3"/>
      <c r="V20" s="7">
        <f t="shared" si="5"/>
        <v>0</v>
      </c>
      <c r="W20" s="3"/>
      <c r="X20" s="6">
        <f t="shared" si="6"/>
        <v>-648.56000000000131</v>
      </c>
      <c r="Y20" s="3"/>
      <c r="Z20" s="7">
        <f t="shared" si="7"/>
        <v>-2.8953584354278784E-2</v>
      </c>
    </row>
    <row r="21" spans="1:26" s="69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-607.01</v>
      </c>
      <c r="E21" s="3"/>
      <c r="F21" s="7">
        <f t="shared" si="0"/>
        <v>0</v>
      </c>
      <c r="G21" s="3"/>
      <c r="H21" s="6">
        <v>70.319999999999993</v>
      </c>
      <c r="I21" s="3"/>
      <c r="J21" s="7">
        <f t="shared" si="1"/>
        <v>0</v>
      </c>
      <c r="K21" s="3"/>
      <c r="L21" s="6">
        <f t="shared" si="2"/>
        <v>-677.32999999999993</v>
      </c>
      <c r="M21" s="3"/>
      <c r="N21" s="7">
        <f t="shared" si="3"/>
        <v>-9.632110352673493</v>
      </c>
      <c r="O21" s="9"/>
      <c r="P21" s="6">
        <v>2830.23</v>
      </c>
      <c r="Q21" s="3"/>
      <c r="R21" s="7">
        <f t="shared" si="4"/>
        <v>0</v>
      </c>
      <c r="S21" s="3"/>
      <c r="T21" s="6">
        <v>964.45</v>
      </c>
      <c r="U21" s="3"/>
      <c r="V21" s="7">
        <f t="shared" si="5"/>
        <v>0</v>
      </c>
      <c r="W21" s="3"/>
      <c r="X21" s="6">
        <f t="shared" si="6"/>
        <v>1865.78</v>
      </c>
      <c r="Y21" s="3"/>
      <c r="Z21" s="7">
        <f t="shared" si="7"/>
        <v>1.9345533723884079</v>
      </c>
    </row>
    <row r="22" spans="1:26" s="69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5721.83</v>
      </c>
      <c r="E22" s="3"/>
      <c r="F22" s="7">
        <f t="shared" si="0"/>
        <v>0</v>
      </c>
      <c r="G22" s="3"/>
      <c r="H22" s="6">
        <v>6236.66</v>
      </c>
      <c r="I22" s="3"/>
      <c r="J22" s="7">
        <f t="shared" si="1"/>
        <v>0</v>
      </c>
      <c r="K22" s="3"/>
      <c r="L22" s="6">
        <f t="shared" si="2"/>
        <v>-514.82999999999993</v>
      </c>
      <c r="M22" s="3"/>
      <c r="N22" s="7">
        <f t="shared" si="3"/>
        <v>-8.2548992569740839E-2</v>
      </c>
      <c r="O22" s="9"/>
      <c r="P22" s="6">
        <v>71705.94</v>
      </c>
      <c r="Q22" s="3"/>
      <c r="R22" s="7">
        <f t="shared" si="4"/>
        <v>0</v>
      </c>
      <c r="S22" s="3"/>
      <c r="T22" s="6">
        <v>72861.240000000005</v>
      </c>
      <c r="U22" s="3"/>
      <c r="V22" s="7">
        <f t="shared" si="5"/>
        <v>0</v>
      </c>
      <c r="W22" s="3"/>
      <c r="X22" s="6">
        <f t="shared" si="6"/>
        <v>-1155.3000000000029</v>
      </c>
      <c r="Y22" s="3"/>
      <c r="Z22" s="7">
        <f t="shared" si="7"/>
        <v>-1.5856167147306342E-2</v>
      </c>
    </row>
    <row r="23" spans="1:26" s="69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55.4</v>
      </c>
      <c r="I23" s="3"/>
      <c r="J23" s="7">
        <f t="shared" si="1"/>
        <v>0</v>
      </c>
      <c r="K23" s="3"/>
      <c r="L23" s="6">
        <f t="shared" si="2"/>
        <v>-55.4</v>
      </c>
      <c r="M23" s="3"/>
      <c r="N23" s="7">
        <f t="shared" si="3"/>
        <v>-1</v>
      </c>
      <c r="O23" s="9"/>
      <c r="P23" s="6">
        <v>692.78</v>
      </c>
      <c r="Q23" s="3"/>
      <c r="R23" s="7">
        <f t="shared" si="4"/>
        <v>0</v>
      </c>
      <c r="S23" s="3"/>
      <c r="T23" s="6">
        <v>759.83</v>
      </c>
      <c r="U23" s="3"/>
      <c r="V23" s="7">
        <f t="shared" si="5"/>
        <v>0</v>
      </c>
      <c r="W23" s="3"/>
      <c r="X23" s="6">
        <f t="shared" si="6"/>
        <v>-67.050000000000068</v>
      </c>
      <c r="Y23" s="3"/>
      <c r="Z23" s="7">
        <f t="shared" si="7"/>
        <v>-8.8243422870905419E-2</v>
      </c>
    </row>
    <row r="24" spans="1:26" s="69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1845.71</v>
      </c>
      <c r="E24" s="3"/>
      <c r="F24" s="7">
        <f t="shared" si="0"/>
        <v>0</v>
      </c>
      <c r="G24" s="3"/>
      <c r="H24" s="6">
        <v>2968.15</v>
      </c>
      <c r="I24" s="3"/>
      <c r="J24" s="7">
        <f t="shared" si="1"/>
        <v>0</v>
      </c>
      <c r="K24" s="3"/>
      <c r="L24" s="6">
        <f t="shared" si="2"/>
        <v>-1122.44</v>
      </c>
      <c r="M24" s="3"/>
      <c r="N24" s="7">
        <f t="shared" si="3"/>
        <v>-0.37816148105722419</v>
      </c>
      <c r="O24" s="9"/>
      <c r="P24" s="6">
        <v>25410.94</v>
      </c>
      <c r="Q24" s="3"/>
      <c r="R24" s="7">
        <f t="shared" si="4"/>
        <v>0</v>
      </c>
      <c r="S24" s="3"/>
      <c r="T24" s="6">
        <v>27564.58</v>
      </c>
      <c r="U24" s="3"/>
      <c r="V24" s="7">
        <f t="shared" si="5"/>
        <v>0</v>
      </c>
      <c r="W24" s="3"/>
      <c r="X24" s="6">
        <f t="shared" si="6"/>
        <v>-2153.6400000000031</v>
      </c>
      <c r="Y24" s="3"/>
      <c r="Z24" s="7">
        <f t="shared" si="7"/>
        <v>-7.813070251750627E-2</v>
      </c>
    </row>
    <row r="25" spans="1:26" s="69" customFormat="1" ht="15" hidden="1" customHeight="1" outlineLevel="2" x14ac:dyDescent="0.3">
      <c r="A25" s="21"/>
      <c r="B25" s="9" t="str">
        <f>CONCATENATE("          ","6118"," - ","VACATION")</f>
        <v xml:space="preserve">          6118 - VACATION</v>
      </c>
      <c r="C25" s="9"/>
      <c r="D25" s="6">
        <v>1710.58</v>
      </c>
      <c r="E25" s="3"/>
      <c r="F25" s="7">
        <f t="shared" si="0"/>
        <v>0</v>
      </c>
      <c r="G25" s="3"/>
      <c r="H25" s="6">
        <v>1606.1</v>
      </c>
      <c r="I25" s="3"/>
      <c r="J25" s="7">
        <f t="shared" si="1"/>
        <v>0</v>
      </c>
      <c r="K25" s="3"/>
      <c r="L25" s="6">
        <f t="shared" si="2"/>
        <v>104.48000000000002</v>
      </c>
      <c r="M25" s="3"/>
      <c r="N25" s="7">
        <f t="shared" si="3"/>
        <v>6.5051989290828727E-2</v>
      </c>
      <c r="O25" s="9"/>
      <c r="P25" s="6">
        <v>19617.18</v>
      </c>
      <c r="Q25" s="3"/>
      <c r="R25" s="7">
        <f t="shared" si="4"/>
        <v>0</v>
      </c>
      <c r="S25" s="3"/>
      <c r="T25" s="6">
        <v>20537.32</v>
      </c>
      <c r="U25" s="3"/>
      <c r="V25" s="7">
        <f t="shared" si="5"/>
        <v>0</v>
      </c>
      <c r="W25" s="3"/>
      <c r="X25" s="6">
        <f t="shared" si="6"/>
        <v>-920.13999999999942</v>
      </c>
      <c r="Y25" s="3"/>
      <c r="Z25" s="7">
        <f t="shared" si="7"/>
        <v>-4.480331416173091E-2</v>
      </c>
    </row>
    <row r="26" spans="1:26" s="69" customFormat="1" ht="15" hidden="1" customHeight="1" outlineLevel="2" x14ac:dyDescent="0.3">
      <c r="A26" s="21"/>
      <c r="B26" s="9" t="str">
        <f>CONCATENATE("          ","6119"," - ","SICK LEAVE")</f>
        <v xml:space="preserve">          6119 - SICK LEAVE</v>
      </c>
      <c r="C26" s="9"/>
      <c r="D26" s="6">
        <v>1018.58</v>
      </c>
      <c r="E26" s="3"/>
      <c r="F26" s="7">
        <f t="shared" si="0"/>
        <v>0</v>
      </c>
      <c r="G26" s="3"/>
      <c r="H26" s="6">
        <v>979.42</v>
      </c>
      <c r="I26" s="3"/>
      <c r="J26" s="7">
        <f t="shared" si="1"/>
        <v>0</v>
      </c>
      <c r="K26" s="3"/>
      <c r="L26" s="6">
        <f t="shared" si="2"/>
        <v>39.160000000000082</v>
      </c>
      <c r="M26" s="3"/>
      <c r="N26" s="7">
        <f t="shared" si="3"/>
        <v>3.9982846991076439E-2</v>
      </c>
      <c r="O26" s="9"/>
      <c r="P26" s="6">
        <v>15509.73</v>
      </c>
      <c r="Q26" s="3"/>
      <c r="R26" s="7">
        <f t="shared" si="4"/>
        <v>0</v>
      </c>
      <c r="S26" s="3"/>
      <c r="T26" s="6">
        <v>12732.46</v>
      </c>
      <c r="U26" s="3"/>
      <c r="V26" s="7">
        <f t="shared" si="5"/>
        <v>0</v>
      </c>
      <c r="W26" s="3"/>
      <c r="X26" s="6">
        <f t="shared" si="6"/>
        <v>2777.2700000000004</v>
      </c>
      <c r="Y26" s="3"/>
      <c r="Z26" s="7">
        <f t="shared" si="7"/>
        <v>0.2181251698414918</v>
      </c>
    </row>
    <row r="27" spans="1:26" s="69" customFormat="1" ht="15" hidden="1" customHeight="1" outlineLevel="2" x14ac:dyDescent="0.3">
      <c r="A27" s="21"/>
      <c r="B27" s="9" t="str">
        <f>CONCATENATE("          ","6156"," - ","EMPLOYEE MEALS")</f>
        <v xml:space="preserve">          6156 - EMPLOYEE MEALS</v>
      </c>
      <c r="C27" s="9"/>
      <c r="D27" s="6">
        <v>570.62</v>
      </c>
      <c r="E27" s="3"/>
      <c r="F27" s="7">
        <f t="shared" si="0"/>
        <v>0</v>
      </c>
      <c r="G27" s="3"/>
      <c r="H27" s="6">
        <v>366.86</v>
      </c>
      <c r="I27" s="3"/>
      <c r="J27" s="7">
        <f t="shared" si="1"/>
        <v>0</v>
      </c>
      <c r="K27" s="3"/>
      <c r="L27" s="6">
        <f t="shared" si="2"/>
        <v>203.76</v>
      </c>
      <c r="M27" s="3"/>
      <c r="N27" s="7">
        <f t="shared" si="3"/>
        <v>0.55541623507605076</v>
      </c>
      <c r="O27" s="9"/>
      <c r="P27" s="6">
        <v>6554.76</v>
      </c>
      <c r="Q27" s="3"/>
      <c r="R27" s="7">
        <f t="shared" si="4"/>
        <v>0</v>
      </c>
      <c r="S27" s="3"/>
      <c r="T27" s="6">
        <v>3108.98</v>
      </c>
      <c r="U27" s="3"/>
      <c r="V27" s="7">
        <f t="shared" si="5"/>
        <v>0</v>
      </c>
      <c r="W27" s="3"/>
      <c r="X27" s="6">
        <f t="shared" si="6"/>
        <v>3445.78</v>
      </c>
      <c r="Y27" s="3"/>
      <c r="Z27" s="7">
        <f t="shared" si="7"/>
        <v>1.1083313498317777</v>
      </c>
    </row>
    <row r="28" spans="1:26" s="68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19685.36</v>
      </c>
      <c r="E28" s="2"/>
      <c r="F28" s="5">
        <f t="shared" si="0"/>
        <v>0</v>
      </c>
      <c r="G28" s="2"/>
      <c r="H28" s="2">
        <f>SUM(OSRRefH22_1x_0)</f>
        <v>19926.53</v>
      </c>
      <c r="I28" s="2"/>
      <c r="J28" s="5">
        <f t="shared" si="1"/>
        <v>0</v>
      </c>
      <c r="K28" s="2"/>
      <c r="L28" s="2">
        <f t="shared" si="2"/>
        <v>-241.16999999999825</v>
      </c>
      <c r="M28" s="2"/>
      <c r="N28" s="5">
        <f t="shared" si="3"/>
        <v>-1.2102960224384189E-2</v>
      </c>
      <c r="O28" s="11"/>
      <c r="P28" s="2">
        <f>SUM(OSRRefP22_1x_0)</f>
        <v>273680.5</v>
      </c>
      <c r="Q28" s="2"/>
      <c r="R28" s="5">
        <f t="shared" si="4"/>
        <v>0</v>
      </c>
      <c r="S28" s="2"/>
      <c r="T28" s="2">
        <f>SUM(OSRRefT22_1x_0)</f>
        <v>254105.55000000002</v>
      </c>
      <c r="U28" s="2"/>
      <c r="V28" s="5">
        <f t="shared" si="5"/>
        <v>0</v>
      </c>
      <c r="W28" s="2"/>
      <c r="X28" s="2">
        <f t="shared" si="6"/>
        <v>19574.949999999983</v>
      </c>
      <c r="Y28" s="2"/>
      <c r="Z28" s="5">
        <f t="shared" si="7"/>
        <v>7.7034720414410396E-2</v>
      </c>
    </row>
    <row r="29" spans="1:26" s="69" customFormat="1" ht="15" hidden="1" customHeight="1" outlineLevel="2" x14ac:dyDescent="0.3">
      <c r="A29" s="21"/>
      <c r="B29" s="9" t="str">
        <f>CONCATENATE("          ","6002"," - ","STAFF SALARIES")</f>
        <v xml:space="preserve">          6002 - STAFF SALARIES</v>
      </c>
      <c r="C29" s="9"/>
      <c r="D29" s="6">
        <v>19685.36</v>
      </c>
      <c r="E29" s="3"/>
      <c r="F29" s="7">
        <f t="shared" si="0"/>
        <v>0</v>
      </c>
      <c r="G29" s="3"/>
      <c r="H29" s="6">
        <v>19926.53</v>
      </c>
      <c r="I29" s="3"/>
      <c r="J29" s="7">
        <f t="shared" si="1"/>
        <v>0</v>
      </c>
      <c r="K29" s="3"/>
      <c r="L29" s="6">
        <f t="shared" si="2"/>
        <v>-241.16999999999825</v>
      </c>
      <c r="M29" s="3"/>
      <c r="N29" s="7">
        <f t="shared" si="3"/>
        <v>-1.2102960224384189E-2</v>
      </c>
      <c r="O29" s="9"/>
      <c r="P29" s="6">
        <v>269227.53999999998</v>
      </c>
      <c r="Q29" s="3"/>
      <c r="R29" s="7">
        <f t="shared" si="4"/>
        <v>0</v>
      </c>
      <c r="S29" s="3"/>
      <c r="T29" s="6">
        <v>253723.79</v>
      </c>
      <c r="U29" s="3"/>
      <c r="V29" s="7">
        <f t="shared" si="5"/>
        <v>0</v>
      </c>
      <c r="W29" s="3"/>
      <c r="X29" s="6">
        <f t="shared" si="6"/>
        <v>15503.749999999971</v>
      </c>
      <c r="Y29" s="3"/>
      <c r="Z29" s="7">
        <f t="shared" si="7"/>
        <v>6.1104833724894184E-2</v>
      </c>
    </row>
    <row r="30" spans="1:26" s="69" customFormat="1" ht="15" hidden="1" customHeight="1" outlineLevel="2" x14ac:dyDescent="0.3">
      <c r="A30" s="21"/>
      <c r="B30" s="9" t="str">
        <f>CONCATENATE("          ","6005"," - ","TEMPORARY WAGES-HOURLY")</f>
        <v xml:space="preserve">          6005 - TEMPORARY WAGES-HOURLY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265.48</v>
      </c>
      <c r="U30" s="3"/>
      <c r="V30" s="7">
        <f t="shared" si="5"/>
        <v>0</v>
      </c>
      <c r="W30" s="3"/>
      <c r="X30" s="6">
        <f t="shared" si="6"/>
        <v>-265.48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1"/>
      <c r="B31" s="9" t="str">
        <f>CONCATENATE("          ","6007"," - ","STUDENT HOURLY")</f>
        <v xml:space="preserve">          6007 - STUDENT HOURLY</v>
      </c>
      <c r="C31" s="9"/>
      <c r="D31" s="6"/>
      <c r="E31" s="3"/>
      <c r="F31" s="7">
        <f t="shared" si="0"/>
        <v>0</v>
      </c>
      <c r="G31" s="3"/>
      <c r="H31" s="6"/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>
        <v>4452.96</v>
      </c>
      <c r="Q31" s="3"/>
      <c r="R31" s="7">
        <f t="shared" si="4"/>
        <v>0</v>
      </c>
      <c r="S31" s="3"/>
      <c r="T31" s="6">
        <v>116.28</v>
      </c>
      <c r="U31" s="3"/>
      <c r="V31" s="7">
        <f t="shared" si="5"/>
        <v>0</v>
      </c>
      <c r="W31" s="3"/>
      <c r="X31" s="6">
        <f t="shared" si="6"/>
        <v>4336.68</v>
      </c>
      <c r="Y31" s="3"/>
      <c r="Z31" s="7">
        <f t="shared" si="7"/>
        <v>37.29514963880289</v>
      </c>
    </row>
    <row r="32" spans="1:26" s="68" customFormat="1" ht="15" customHeight="1" outlineLevel="1" collapsed="1" x14ac:dyDescent="0.3">
      <c r="A32" s="20"/>
      <c r="B32" s="11" t="str">
        <f>CONCATENATE("     ","Depreciation                                      ")</f>
        <v xml:space="preserve">     Depreciation                                      </v>
      </c>
      <c r="C32" s="11"/>
      <c r="D32" s="2">
        <f>SUM(OSRRefD22_2x_0)</f>
        <v>0</v>
      </c>
      <c r="E32" s="2"/>
      <c r="F32" s="5">
        <f t="shared" si="0"/>
        <v>0</v>
      </c>
      <c r="G32" s="2"/>
      <c r="H32" s="2">
        <f>SUM(OSRRefH22_2x_0)</f>
        <v>1558.82</v>
      </c>
      <c r="I32" s="2"/>
      <c r="J32" s="5">
        <f t="shared" si="1"/>
        <v>0</v>
      </c>
      <c r="K32" s="2"/>
      <c r="L32" s="2">
        <f t="shared" si="2"/>
        <v>-1558.82</v>
      </c>
      <c r="M32" s="2"/>
      <c r="N32" s="5">
        <f t="shared" si="3"/>
        <v>-1</v>
      </c>
      <c r="O32" s="11"/>
      <c r="P32" s="2">
        <f>SUM(OSRRefP22_2x_0)</f>
        <v>12471</v>
      </c>
      <c r="Q32" s="2"/>
      <c r="R32" s="5">
        <f t="shared" si="4"/>
        <v>0</v>
      </c>
      <c r="S32" s="2"/>
      <c r="T32" s="2">
        <f>SUM(OSRRefT22_2x_0)</f>
        <v>18706.5</v>
      </c>
      <c r="U32" s="2"/>
      <c r="V32" s="5">
        <f t="shared" si="5"/>
        <v>0</v>
      </c>
      <c r="W32" s="2"/>
      <c r="X32" s="2">
        <f t="shared" si="6"/>
        <v>-6235.5</v>
      </c>
      <c r="Y32" s="2"/>
      <c r="Z32" s="5">
        <f t="shared" si="7"/>
        <v>-0.33333333333333331</v>
      </c>
    </row>
    <row r="33" spans="1:26" s="69" customFormat="1" ht="15" hidden="1" customHeight="1" outlineLevel="2" x14ac:dyDescent="0.3">
      <c r="A33" s="21"/>
      <c r="B33" s="9" t="str">
        <f>CONCATENATE("          ","6322"," - ","EQUIPMENT DEPRECIATION EXPENSE")</f>
        <v xml:space="preserve">          6322 - EQUIPMENT DEPRECIATION EXPENSE</v>
      </c>
      <c r="C33" s="9"/>
      <c r="D33" s="6"/>
      <c r="E33" s="3"/>
      <c r="F33" s="7">
        <f t="shared" si="0"/>
        <v>0</v>
      </c>
      <c r="G33" s="3"/>
      <c r="H33" s="6">
        <v>1558.82</v>
      </c>
      <c r="I33" s="3"/>
      <c r="J33" s="7">
        <f t="shared" si="1"/>
        <v>0</v>
      </c>
      <c r="K33" s="3"/>
      <c r="L33" s="6">
        <f t="shared" si="2"/>
        <v>-1558.82</v>
      </c>
      <c r="M33" s="3"/>
      <c r="N33" s="7">
        <f t="shared" si="3"/>
        <v>-1</v>
      </c>
      <c r="O33" s="9"/>
      <c r="P33" s="6">
        <v>12471</v>
      </c>
      <c r="Q33" s="3"/>
      <c r="R33" s="7">
        <f t="shared" si="4"/>
        <v>0</v>
      </c>
      <c r="S33" s="3"/>
      <c r="T33" s="6">
        <v>18706.5</v>
      </c>
      <c r="U33" s="3"/>
      <c r="V33" s="7">
        <f t="shared" si="5"/>
        <v>0</v>
      </c>
      <c r="W33" s="3"/>
      <c r="X33" s="6">
        <f t="shared" si="6"/>
        <v>-6235.5</v>
      </c>
      <c r="Y33" s="3"/>
      <c r="Z33" s="7">
        <f t="shared" si="7"/>
        <v>-0.33333333333333331</v>
      </c>
    </row>
    <row r="34" spans="1:26" s="68" customFormat="1" ht="15" customHeight="1" outlineLevel="1" collapsed="1" x14ac:dyDescent="0.3">
      <c r="A34" s="20"/>
      <c r="B34" s="11" t="str">
        <f>CONCATENATE("     ","Employees' Appreciation                           ")</f>
        <v xml:space="preserve">     Employees' Appreciation                           </v>
      </c>
      <c r="C34" s="11"/>
      <c r="D34" s="2">
        <f>SUM(OSRRefD22_3x_0)</f>
        <v>0</v>
      </c>
      <c r="E34" s="2"/>
      <c r="F34" s="5">
        <f t="shared" si="0"/>
        <v>0</v>
      </c>
      <c r="G34" s="2"/>
      <c r="H34" s="2">
        <f>SUM(OSRRefH22_3x_0)</f>
        <v>0</v>
      </c>
      <c r="I34" s="2"/>
      <c r="J34" s="5">
        <f t="shared" si="1"/>
        <v>0</v>
      </c>
      <c r="K34" s="2"/>
      <c r="L34" s="2">
        <f t="shared" si="2"/>
        <v>0</v>
      </c>
      <c r="M34" s="2"/>
      <c r="N34" s="5">
        <f t="shared" si="3"/>
        <v>0</v>
      </c>
      <c r="O34" s="11"/>
      <c r="P34" s="2">
        <f>SUM(OSRRefP22_3x_0)</f>
        <v>8.02</v>
      </c>
      <c r="Q34" s="2"/>
      <c r="R34" s="5">
        <f t="shared" si="4"/>
        <v>0</v>
      </c>
      <c r="S34" s="2"/>
      <c r="T34" s="2">
        <f>SUM(OSRRefT22_3x_0)</f>
        <v>0</v>
      </c>
      <c r="U34" s="2"/>
      <c r="V34" s="5">
        <f t="shared" si="5"/>
        <v>0</v>
      </c>
      <c r="W34" s="2"/>
      <c r="X34" s="2">
        <f t="shared" si="6"/>
        <v>8.02</v>
      </c>
      <c r="Y34" s="2"/>
      <c r="Z34" s="5">
        <f t="shared" si="7"/>
        <v>0</v>
      </c>
    </row>
    <row r="35" spans="1:26" s="69" customFormat="1" ht="15" hidden="1" customHeight="1" outlineLevel="2" x14ac:dyDescent="0.3">
      <c r="A35" s="21"/>
      <c r="B35" s="9" t="str">
        <f>CONCATENATE("          ","6277"," - ","EMPLOYEE APPRECIATION")</f>
        <v xml:space="preserve">          6277 - EMPLOYEE APPRECIATION</v>
      </c>
      <c r="C35" s="9"/>
      <c r="D35" s="6"/>
      <c r="E35" s="3"/>
      <c r="F35" s="7">
        <f t="shared" si="0"/>
        <v>0</v>
      </c>
      <c r="G35" s="3"/>
      <c r="H35" s="6"/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>
        <v>8.02</v>
      </c>
      <c r="Q35" s="3"/>
      <c r="R35" s="7">
        <f t="shared" si="4"/>
        <v>0</v>
      </c>
      <c r="S35" s="3"/>
      <c r="T35" s="6"/>
      <c r="U35" s="3"/>
      <c r="V35" s="7">
        <f t="shared" si="5"/>
        <v>0</v>
      </c>
      <c r="W35" s="3"/>
      <c r="X35" s="6">
        <f t="shared" si="6"/>
        <v>8.02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0"/>
      <c r="B36" s="11" t="str">
        <f>CONCATENATE("     ","Equipment Rental                                  ")</f>
        <v xml:space="preserve">     Equipment Rental                                  </v>
      </c>
      <c r="C36" s="11"/>
      <c r="D36" s="2">
        <f>SUM(OSRRefD22_4x_0)</f>
        <v>-13.34</v>
      </c>
      <c r="E36" s="2"/>
      <c r="F36" s="5">
        <f t="shared" si="0"/>
        <v>0</v>
      </c>
      <c r="G36" s="2"/>
      <c r="H36" s="2">
        <f>SUM(OSRRefH22_4x_0)</f>
        <v>91.26</v>
      </c>
      <c r="I36" s="2"/>
      <c r="J36" s="5">
        <f t="shared" si="1"/>
        <v>0</v>
      </c>
      <c r="K36" s="2"/>
      <c r="L36" s="2">
        <f t="shared" si="2"/>
        <v>-104.60000000000001</v>
      </c>
      <c r="M36" s="2"/>
      <c r="N36" s="5">
        <f t="shared" si="3"/>
        <v>-1.1461757615603769</v>
      </c>
      <c r="O36" s="11"/>
      <c r="P36" s="2">
        <f>SUM(OSRRefP22_4x_0)</f>
        <v>990.52</v>
      </c>
      <c r="Q36" s="2"/>
      <c r="R36" s="5">
        <f t="shared" si="4"/>
        <v>0</v>
      </c>
      <c r="S36" s="2"/>
      <c r="T36" s="2">
        <f>SUM(OSRRefT22_4x_0)</f>
        <v>1095.1199999999999</v>
      </c>
      <c r="U36" s="2"/>
      <c r="V36" s="5">
        <f t="shared" si="5"/>
        <v>0</v>
      </c>
      <c r="W36" s="2"/>
      <c r="X36" s="2">
        <f t="shared" si="6"/>
        <v>-104.59999999999991</v>
      </c>
      <c r="Y36" s="2"/>
      <c r="Z36" s="5">
        <f t="shared" si="7"/>
        <v>-9.5514646796698008E-2</v>
      </c>
    </row>
    <row r="37" spans="1:26" s="69" customFormat="1" ht="15" hidden="1" customHeight="1" outlineLevel="2" x14ac:dyDescent="0.3">
      <c r="A37" s="21"/>
      <c r="B37" s="9" t="str">
        <f>CONCATENATE("          ","6351"," - ","EQUIPMENT RENTAL")</f>
        <v xml:space="preserve">          6351 - EQUIPMENT RENTAL</v>
      </c>
      <c r="C37" s="9"/>
      <c r="D37" s="6">
        <v>-13.34</v>
      </c>
      <c r="E37" s="3"/>
      <c r="F37" s="7">
        <f t="shared" si="0"/>
        <v>0</v>
      </c>
      <c r="G37" s="3"/>
      <c r="H37" s="6">
        <v>91.26</v>
      </c>
      <c r="I37" s="3"/>
      <c r="J37" s="7">
        <f t="shared" si="1"/>
        <v>0</v>
      </c>
      <c r="K37" s="3"/>
      <c r="L37" s="6">
        <f t="shared" si="2"/>
        <v>-104.60000000000001</v>
      </c>
      <c r="M37" s="3"/>
      <c r="N37" s="7">
        <f t="shared" si="3"/>
        <v>-1.1461757615603769</v>
      </c>
      <c r="O37" s="9"/>
      <c r="P37" s="6">
        <v>990.52</v>
      </c>
      <c r="Q37" s="3"/>
      <c r="R37" s="7">
        <f t="shared" si="4"/>
        <v>0</v>
      </c>
      <c r="S37" s="3"/>
      <c r="T37" s="6">
        <v>1095.1199999999999</v>
      </c>
      <c r="U37" s="3"/>
      <c r="V37" s="7">
        <f t="shared" si="5"/>
        <v>0</v>
      </c>
      <c r="W37" s="3"/>
      <c r="X37" s="6">
        <f t="shared" si="6"/>
        <v>-104.59999999999991</v>
      </c>
      <c r="Y37" s="3"/>
      <c r="Z37" s="7">
        <f t="shared" si="7"/>
        <v>-9.5514646796698008E-2</v>
      </c>
    </row>
    <row r="38" spans="1:26" s="68" customFormat="1" ht="15" customHeight="1" outlineLevel="1" collapsed="1" x14ac:dyDescent="0.3">
      <c r="A38" s="20"/>
      <c r="B38" s="11" t="str">
        <f>CONCATENATE("     ","Freight out/Postage                               ")</f>
        <v xml:space="preserve">     Freight out/Postage                               </v>
      </c>
      <c r="C38" s="11"/>
      <c r="D38" s="2">
        <f>SUM(OSRRefD22_5x_0)</f>
        <v>127.6</v>
      </c>
      <c r="E38" s="2"/>
      <c r="F38" s="5">
        <f t="shared" si="0"/>
        <v>0</v>
      </c>
      <c r="G38" s="2"/>
      <c r="H38" s="2">
        <f>SUM(OSRRefH22_5x_0)</f>
        <v>82.62</v>
      </c>
      <c r="I38" s="2"/>
      <c r="J38" s="5">
        <f t="shared" si="1"/>
        <v>0</v>
      </c>
      <c r="K38" s="2"/>
      <c r="L38" s="2">
        <f t="shared" si="2"/>
        <v>44.97999999999999</v>
      </c>
      <c r="M38" s="2"/>
      <c r="N38" s="5">
        <f t="shared" si="3"/>
        <v>0.54442023723069455</v>
      </c>
      <c r="O38" s="11"/>
      <c r="P38" s="2">
        <f>SUM(OSRRefP22_5x_0)</f>
        <v>1626.69</v>
      </c>
      <c r="Q38" s="2"/>
      <c r="R38" s="5">
        <f t="shared" si="4"/>
        <v>0</v>
      </c>
      <c r="S38" s="2"/>
      <c r="T38" s="2">
        <f>SUM(OSRRefT22_5x_0)</f>
        <v>1066.93</v>
      </c>
      <c r="U38" s="2"/>
      <c r="V38" s="5">
        <f t="shared" si="5"/>
        <v>0</v>
      </c>
      <c r="W38" s="2"/>
      <c r="X38" s="2">
        <f t="shared" si="6"/>
        <v>559.76</v>
      </c>
      <c r="Y38" s="2"/>
      <c r="Z38" s="5">
        <f t="shared" si="7"/>
        <v>0.52464547814758222</v>
      </c>
    </row>
    <row r="39" spans="1:26" s="69" customFormat="1" ht="15" hidden="1" customHeight="1" outlineLevel="2" x14ac:dyDescent="0.3">
      <c r="A39" s="21"/>
      <c r="B39" s="9" t="str">
        <f>CONCATENATE("          ","6305"," - ","FREIGHT OUT")</f>
        <v xml:space="preserve">          6305 - FREIGHT OUT</v>
      </c>
      <c r="C39" s="9"/>
      <c r="D39" s="6"/>
      <c r="E39" s="3"/>
      <c r="F39" s="7">
        <f t="shared" si="0"/>
        <v>0</v>
      </c>
      <c r="G39" s="3"/>
      <c r="H39" s="6"/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5.41</v>
      </c>
      <c r="U39" s="3"/>
      <c r="V39" s="7">
        <f t="shared" si="5"/>
        <v>0</v>
      </c>
      <c r="W39" s="3"/>
      <c r="X39" s="6">
        <f t="shared" si="6"/>
        <v>-5.41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1"/>
      <c r="B40" s="9" t="str">
        <f>CONCATENATE("          ","6307"," - ","POSTAGE")</f>
        <v xml:space="preserve">          6307 - POSTAGE</v>
      </c>
      <c r="C40" s="9"/>
      <c r="D40" s="6">
        <v>127.6</v>
      </c>
      <c r="E40" s="3"/>
      <c r="F40" s="7">
        <f t="shared" si="0"/>
        <v>0</v>
      </c>
      <c r="G40" s="3"/>
      <c r="H40" s="6">
        <v>82.62</v>
      </c>
      <c r="I40" s="3"/>
      <c r="J40" s="7">
        <f t="shared" si="1"/>
        <v>0</v>
      </c>
      <c r="K40" s="3"/>
      <c r="L40" s="6">
        <f t="shared" si="2"/>
        <v>44.97999999999999</v>
      </c>
      <c r="M40" s="3"/>
      <c r="N40" s="7">
        <f t="shared" si="3"/>
        <v>0.54442023723069455</v>
      </c>
      <c r="O40" s="9"/>
      <c r="P40" s="6">
        <v>1626.69</v>
      </c>
      <c r="Q40" s="3"/>
      <c r="R40" s="7">
        <f t="shared" si="4"/>
        <v>0</v>
      </c>
      <c r="S40" s="3"/>
      <c r="T40" s="6">
        <v>1061.52</v>
      </c>
      <c r="U40" s="3"/>
      <c r="V40" s="7">
        <f t="shared" si="5"/>
        <v>0</v>
      </c>
      <c r="W40" s="3"/>
      <c r="X40" s="6">
        <f t="shared" si="6"/>
        <v>565.17000000000007</v>
      </c>
      <c r="Y40" s="3"/>
      <c r="Z40" s="7">
        <f t="shared" si="7"/>
        <v>0.53241578114401999</v>
      </c>
    </row>
    <row r="41" spans="1:26" s="68" customFormat="1" ht="15" customHeight="1" outlineLevel="1" collapsed="1" x14ac:dyDescent="0.3">
      <c r="A41" s="20"/>
      <c r="B41" s="11" t="str">
        <f>CONCATENATE("     ","General                                           ")</f>
        <v xml:space="preserve">     General                                           </v>
      </c>
      <c r="C41" s="11"/>
      <c r="D41" s="2">
        <f>SUM(OSRRefD22_6x_0)</f>
        <v>7074.13</v>
      </c>
      <c r="E41" s="2"/>
      <c r="F41" s="5">
        <f t="shared" si="0"/>
        <v>0</v>
      </c>
      <c r="G41" s="2"/>
      <c r="H41" s="2">
        <f>SUM(OSRRefH22_6x_0)</f>
        <v>0</v>
      </c>
      <c r="I41" s="2"/>
      <c r="J41" s="5">
        <f t="shared" si="1"/>
        <v>0</v>
      </c>
      <c r="K41" s="2"/>
      <c r="L41" s="2">
        <f t="shared" si="2"/>
        <v>7074.13</v>
      </c>
      <c r="M41" s="2"/>
      <c r="N41" s="5">
        <f t="shared" si="3"/>
        <v>0</v>
      </c>
      <c r="O41" s="11"/>
      <c r="P41" s="2">
        <f>SUM(OSRRefP22_6x_0)</f>
        <v>7074.13</v>
      </c>
      <c r="Q41" s="2"/>
      <c r="R41" s="5">
        <f t="shared" si="4"/>
        <v>0</v>
      </c>
      <c r="S41" s="2"/>
      <c r="T41" s="2">
        <f>SUM(OSRRefT22_6x_0)</f>
        <v>0</v>
      </c>
      <c r="U41" s="2"/>
      <c r="V41" s="5">
        <f t="shared" si="5"/>
        <v>0</v>
      </c>
      <c r="W41" s="2"/>
      <c r="X41" s="2">
        <f t="shared" si="6"/>
        <v>7074.13</v>
      </c>
      <c r="Y41" s="2"/>
      <c r="Z41" s="5">
        <f t="shared" si="7"/>
        <v>0</v>
      </c>
    </row>
    <row r="42" spans="1:26" s="69" customFormat="1" ht="15" hidden="1" customHeight="1" outlineLevel="2" x14ac:dyDescent="0.3">
      <c r="A42" s="21"/>
      <c r="B42" s="9" t="str">
        <f>CONCATENATE("          ","6279"," - ","GENERAL EXPENSE")</f>
        <v xml:space="preserve">          6279 - GENERAL EXPENSE</v>
      </c>
      <c r="C42" s="9"/>
      <c r="D42" s="6">
        <v>7074.13</v>
      </c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7074.13</v>
      </c>
      <c r="M42" s="3"/>
      <c r="N42" s="7">
        <f t="shared" si="3"/>
        <v>0</v>
      </c>
      <c r="O42" s="9"/>
      <c r="P42" s="6">
        <v>7074.13</v>
      </c>
      <c r="Q42" s="3"/>
      <c r="R42" s="7">
        <f t="shared" si="4"/>
        <v>0</v>
      </c>
      <c r="S42" s="3"/>
      <c r="T42" s="6"/>
      <c r="U42" s="3"/>
      <c r="V42" s="7">
        <f t="shared" si="5"/>
        <v>0</v>
      </c>
      <c r="W42" s="3"/>
      <c r="X42" s="6">
        <f t="shared" si="6"/>
        <v>7074.13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0"/>
      <c r="B43" s="11" t="str">
        <f>CONCATENATE("     ","Insurance                                         ")</f>
        <v xml:space="preserve">     Insurance                                         </v>
      </c>
      <c r="C43" s="11"/>
      <c r="D43" s="2">
        <f>SUM(OSRRefD22_7x_0)</f>
        <v>-55.8</v>
      </c>
      <c r="E43" s="2"/>
      <c r="F43" s="5">
        <f t="shared" si="0"/>
        <v>0</v>
      </c>
      <c r="G43" s="2"/>
      <c r="H43" s="2">
        <f>SUM(OSRRefH22_7x_0)</f>
        <v>283.75</v>
      </c>
      <c r="I43" s="2"/>
      <c r="J43" s="5">
        <f t="shared" si="1"/>
        <v>0</v>
      </c>
      <c r="K43" s="2"/>
      <c r="L43" s="2">
        <f t="shared" si="2"/>
        <v>-339.55</v>
      </c>
      <c r="M43" s="2"/>
      <c r="N43" s="5">
        <f t="shared" si="3"/>
        <v>-1.1966519823788546</v>
      </c>
      <c r="O43" s="11"/>
      <c r="P43" s="2">
        <f>SUM(OSRRefP22_7x_0)</f>
        <v>1920.24</v>
      </c>
      <c r="Q43" s="2"/>
      <c r="R43" s="5">
        <f t="shared" si="4"/>
        <v>0</v>
      </c>
      <c r="S43" s="2"/>
      <c r="T43" s="2">
        <f>SUM(OSRRefT22_7x_0)</f>
        <v>1737.62</v>
      </c>
      <c r="U43" s="2"/>
      <c r="V43" s="5">
        <f t="shared" si="5"/>
        <v>0</v>
      </c>
      <c r="W43" s="2"/>
      <c r="X43" s="2">
        <f t="shared" si="6"/>
        <v>182.62000000000012</v>
      </c>
      <c r="Y43" s="2"/>
      <c r="Z43" s="5">
        <f t="shared" si="7"/>
        <v>0.10509777741968908</v>
      </c>
    </row>
    <row r="44" spans="1:26" s="69" customFormat="1" ht="15" hidden="1" customHeight="1" outlineLevel="2" x14ac:dyDescent="0.3">
      <c r="A44" s="21"/>
      <c r="B44" s="9" t="str">
        <f>CONCATENATE("          ","6314"," - ","LIABILITY INSURANCE")</f>
        <v xml:space="preserve">          6314 - LIABILITY INSURANCE</v>
      </c>
      <c r="C44" s="9"/>
      <c r="D44" s="6">
        <v>-55.8</v>
      </c>
      <c r="E44" s="3"/>
      <c r="F44" s="7">
        <f t="shared" si="0"/>
        <v>0</v>
      </c>
      <c r="G44" s="3"/>
      <c r="H44" s="6">
        <v>283.75</v>
      </c>
      <c r="I44" s="3"/>
      <c r="J44" s="7">
        <f t="shared" si="1"/>
        <v>0</v>
      </c>
      <c r="K44" s="3"/>
      <c r="L44" s="6">
        <f t="shared" si="2"/>
        <v>-339.55</v>
      </c>
      <c r="M44" s="3"/>
      <c r="N44" s="7">
        <f t="shared" si="3"/>
        <v>-1.1966519823788546</v>
      </c>
      <c r="O44" s="9"/>
      <c r="P44" s="6">
        <v>1920.24</v>
      </c>
      <c r="Q44" s="3"/>
      <c r="R44" s="7">
        <f t="shared" si="4"/>
        <v>0</v>
      </c>
      <c r="S44" s="3"/>
      <c r="T44" s="6">
        <v>1737.62</v>
      </c>
      <c r="U44" s="3"/>
      <c r="V44" s="7">
        <f t="shared" si="5"/>
        <v>0</v>
      </c>
      <c r="W44" s="3"/>
      <c r="X44" s="6">
        <f t="shared" si="6"/>
        <v>182.62000000000012</v>
      </c>
      <c r="Y44" s="3"/>
      <c r="Z44" s="7">
        <f t="shared" si="7"/>
        <v>0.10509777741968908</v>
      </c>
    </row>
    <row r="45" spans="1:26" s="68" customFormat="1" ht="15" customHeight="1" outlineLevel="1" collapsed="1" x14ac:dyDescent="0.3">
      <c r="A45" s="20"/>
      <c r="B45" s="11" t="str">
        <f>CONCATENATE("     ","Repair and Maintenance                            ")</f>
        <v xml:space="preserve">     Repair and Maintenance                            </v>
      </c>
      <c r="C45" s="11"/>
      <c r="D45" s="2">
        <f>SUM(OSRRefD22_8x_0)</f>
        <v>146.76999999999998</v>
      </c>
      <c r="E45" s="2"/>
      <c r="F45" s="5">
        <f t="shared" si="0"/>
        <v>0</v>
      </c>
      <c r="G45" s="2"/>
      <c r="H45" s="2">
        <f>SUM(OSRRefH22_8x_0)</f>
        <v>316.14</v>
      </c>
      <c r="I45" s="2"/>
      <c r="J45" s="5">
        <f t="shared" si="1"/>
        <v>0</v>
      </c>
      <c r="K45" s="2"/>
      <c r="L45" s="2">
        <f t="shared" si="2"/>
        <v>-169.37</v>
      </c>
      <c r="M45" s="2"/>
      <c r="N45" s="5">
        <f t="shared" si="3"/>
        <v>-0.53574365787309419</v>
      </c>
      <c r="O45" s="11"/>
      <c r="P45" s="2">
        <f>SUM(OSRRefP22_8x_0)</f>
        <v>42766.42</v>
      </c>
      <c r="Q45" s="2"/>
      <c r="R45" s="5">
        <f t="shared" si="4"/>
        <v>0</v>
      </c>
      <c r="S45" s="2"/>
      <c r="T45" s="2">
        <f>SUM(OSRRefT22_8x_0)</f>
        <v>38029.07</v>
      </c>
      <c r="U45" s="2"/>
      <c r="V45" s="5">
        <f t="shared" si="5"/>
        <v>0</v>
      </c>
      <c r="W45" s="2"/>
      <c r="X45" s="2">
        <f t="shared" si="6"/>
        <v>4737.3499999999985</v>
      </c>
      <c r="Y45" s="2"/>
      <c r="Z45" s="5">
        <f t="shared" si="7"/>
        <v>0.12457180783016777</v>
      </c>
    </row>
    <row r="46" spans="1:26" s="69" customFormat="1" ht="15" hidden="1" customHeight="1" outlineLevel="2" x14ac:dyDescent="0.3">
      <c r="A46" s="21"/>
      <c r="B46" s="9" t="str">
        <f>CONCATENATE("          ","6371"," - ","COMPUTER SOFTWARE MAINTENANCE")</f>
        <v xml:space="preserve">          6371 - COMPUTER SOFTWARE MAINTENANCE</v>
      </c>
      <c r="C46" s="9"/>
      <c r="D46" s="6">
        <v>59.95</v>
      </c>
      <c r="E46" s="3"/>
      <c r="F46" s="7">
        <f t="shared" si="0"/>
        <v>0</v>
      </c>
      <c r="G46" s="3"/>
      <c r="H46" s="6">
        <v>307.45</v>
      </c>
      <c r="I46" s="3"/>
      <c r="J46" s="7">
        <f t="shared" si="1"/>
        <v>0</v>
      </c>
      <c r="K46" s="3"/>
      <c r="L46" s="6">
        <f t="shared" si="2"/>
        <v>-247.5</v>
      </c>
      <c r="M46" s="3"/>
      <c r="N46" s="7">
        <f t="shared" si="3"/>
        <v>-0.80500894454382832</v>
      </c>
      <c r="O46" s="9"/>
      <c r="P46" s="6">
        <v>35848.269999999997</v>
      </c>
      <c r="Q46" s="3"/>
      <c r="R46" s="7">
        <f t="shared" si="4"/>
        <v>0</v>
      </c>
      <c r="S46" s="3"/>
      <c r="T46" s="6">
        <v>32660.82</v>
      </c>
      <c r="U46" s="3"/>
      <c r="V46" s="7">
        <f t="shared" si="5"/>
        <v>0</v>
      </c>
      <c r="W46" s="3"/>
      <c r="X46" s="6">
        <f t="shared" si="6"/>
        <v>3187.4499999999971</v>
      </c>
      <c r="Y46" s="3"/>
      <c r="Z46" s="7">
        <f t="shared" si="7"/>
        <v>9.759246705992064E-2</v>
      </c>
    </row>
    <row r="47" spans="1:26" s="69" customFormat="1" ht="15" hidden="1" customHeight="1" outlineLevel="2" x14ac:dyDescent="0.3">
      <c r="A47" s="21"/>
      <c r="B47" s="9" t="str">
        <f>CONCATENATE("          ","6373"," - ","MAINTENANCE CONTRACTS")</f>
        <v xml:space="preserve">          6373 - MAINTENANCE CONTRACTS</v>
      </c>
      <c r="C47" s="9"/>
      <c r="D47" s="6">
        <v>86.82</v>
      </c>
      <c r="E47" s="3"/>
      <c r="F47" s="7">
        <f t="shared" si="0"/>
        <v>0</v>
      </c>
      <c r="G47" s="3"/>
      <c r="H47" s="6">
        <v>8.69</v>
      </c>
      <c r="I47" s="3"/>
      <c r="J47" s="7">
        <f t="shared" si="1"/>
        <v>0</v>
      </c>
      <c r="K47" s="3"/>
      <c r="L47" s="6">
        <f t="shared" si="2"/>
        <v>78.13</v>
      </c>
      <c r="M47" s="3"/>
      <c r="N47" s="7">
        <f t="shared" si="3"/>
        <v>8.9907940161104722</v>
      </c>
      <c r="O47" s="9"/>
      <c r="P47" s="6">
        <v>5360.59</v>
      </c>
      <c r="Q47" s="3"/>
      <c r="R47" s="7">
        <f t="shared" si="4"/>
        <v>0</v>
      </c>
      <c r="S47" s="3"/>
      <c r="T47" s="6">
        <v>5191.1099999999997</v>
      </c>
      <c r="U47" s="3"/>
      <c r="V47" s="7">
        <f t="shared" si="5"/>
        <v>0</v>
      </c>
      <c r="W47" s="3"/>
      <c r="X47" s="6">
        <f t="shared" si="6"/>
        <v>169.48000000000047</v>
      </c>
      <c r="Y47" s="3"/>
      <c r="Z47" s="7">
        <f t="shared" si="7"/>
        <v>3.2648123426396378E-2</v>
      </c>
    </row>
    <row r="48" spans="1:26" s="69" customFormat="1" ht="15" hidden="1" customHeight="1" outlineLevel="2" x14ac:dyDescent="0.3">
      <c r="A48" s="21"/>
      <c r="B48" s="9" t="str">
        <f>CONCATENATE("          ","6375"," - ","OUTSIDE REPAIRS &amp; MAINTENANCE")</f>
        <v xml:space="preserve">          6375 - OUTSIDE REPAIRS &amp; MAINTENANCE</v>
      </c>
      <c r="C48" s="9"/>
      <c r="D48" s="6"/>
      <c r="E48" s="3"/>
      <c r="F48" s="7">
        <f t="shared" si="0"/>
        <v>0</v>
      </c>
      <c r="G48" s="3"/>
      <c r="H48" s="6"/>
      <c r="I48" s="3"/>
      <c r="J48" s="7">
        <f t="shared" si="1"/>
        <v>0</v>
      </c>
      <c r="K48" s="3"/>
      <c r="L48" s="6">
        <f t="shared" si="2"/>
        <v>0</v>
      </c>
      <c r="M48" s="3"/>
      <c r="N48" s="7">
        <f t="shared" si="3"/>
        <v>0</v>
      </c>
      <c r="O48" s="9"/>
      <c r="P48" s="6">
        <v>1557.56</v>
      </c>
      <c r="Q48" s="3"/>
      <c r="R48" s="7">
        <f t="shared" si="4"/>
        <v>0</v>
      </c>
      <c r="S48" s="3"/>
      <c r="T48" s="6">
        <v>177.14</v>
      </c>
      <c r="U48" s="3"/>
      <c r="V48" s="7">
        <f t="shared" si="5"/>
        <v>0</v>
      </c>
      <c r="W48" s="3"/>
      <c r="X48" s="6">
        <f t="shared" si="6"/>
        <v>1380.42</v>
      </c>
      <c r="Y48" s="3"/>
      <c r="Z48" s="7">
        <f t="shared" si="7"/>
        <v>7.7928192390199849</v>
      </c>
    </row>
    <row r="49" spans="1:26" s="68" customFormat="1" ht="15" customHeight="1" outlineLevel="1" collapsed="1" x14ac:dyDescent="0.3">
      <c r="A49" s="20"/>
      <c r="B49" s="11" t="str">
        <f>CONCATENATE("     ","Services                                          ")</f>
        <v xml:space="preserve">     Services                                          </v>
      </c>
      <c r="C49" s="11"/>
      <c r="D49" s="2">
        <f>SUM(OSRRefD22_9x_0)</f>
        <v>2225.33</v>
      </c>
      <c r="E49" s="2"/>
      <c r="F49" s="5">
        <f t="shared" si="0"/>
        <v>0</v>
      </c>
      <c r="G49" s="2"/>
      <c r="H49" s="2">
        <f>SUM(OSRRefH22_9x_0)</f>
        <v>1242.68</v>
      </c>
      <c r="I49" s="2"/>
      <c r="J49" s="5">
        <f t="shared" si="1"/>
        <v>0</v>
      </c>
      <c r="K49" s="2"/>
      <c r="L49" s="2">
        <f t="shared" si="2"/>
        <v>982.64999999999986</v>
      </c>
      <c r="M49" s="2"/>
      <c r="N49" s="5">
        <f t="shared" si="3"/>
        <v>0.79075063572279247</v>
      </c>
      <c r="O49" s="11"/>
      <c r="P49" s="2">
        <f>SUM(OSRRefP22_9x_0)</f>
        <v>11291.15</v>
      </c>
      <c r="Q49" s="2"/>
      <c r="R49" s="5">
        <f t="shared" si="4"/>
        <v>0</v>
      </c>
      <c r="S49" s="2"/>
      <c r="T49" s="2">
        <f>SUM(OSRRefT22_9x_0)</f>
        <v>7444.36</v>
      </c>
      <c r="U49" s="2"/>
      <c r="V49" s="5">
        <f t="shared" si="5"/>
        <v>0</v>
      </c>
      <c r="W49" s="2"/>
      <c r="X49" s="2">
        <f t="shared" si="6"/>
        <v>3846.79</v>
      </c>
      <c r="Y49" s="2"/>
      <c r="Z49" s="5">
        <f t="shared" si="7"/>
        <v>0.51673884658990166</v>
      </c>
    </row>
    <row r="50" spans="1:26" s="69" customFormat="1" ht="15" hidden="1" customHeight="1" outlineLevel="2" x14ac:dyDescent="0.3">
      <c r="A50" s="21"/>
      <c r="B50" s="9" t="str">
        <f>CONCATENATE("          ","6281"," - ","STORAGE FEE")</f>
        <v xml:space="preserve">          6281 - STORAGE FEE</v>
      </c>
      <c r="C50" s="9"/>
      <c r="D50" s="6">
        <v>2225.33</v>
      </c>
      <c r="E50" s="3"/>
      <c r="F50" s="7">
        <f t="shared" si="0"/>
        <v>0</v>
      </c>
      <c r="G50" s="3"/>
      <c r="H50" s="6">
        <v>1242.68</v>
      </c>
      <c r="I50" s="3"/>
      <c r="J50" s="7">
        <f t="shared" si="1"/>
        <v>0</v>
      </c>
      <c r="K50" s="3"/>
      <c r="L50" s="6">
        <f t="shared" si="2"/>
        <v>982.64999999999986</v>
      </c>
      <c r="M50" s="3"/>
      <c r="N50" s="7">
        <f t="shared" si="3"/>
        <v>0.79075063572279247</v>
      </c>
      <c r="O50" s="9"/>
      <c r="P50" s="6">
        <v>11291.15</v>
      </c>
      <c r="Q50" s="3"/>
      <c r="R50" s="7">
        <f t="shared" si="4"/>
        <v>0</v>
      </c>
      <c r="S50" s="3"/>
      <c r="T50" s="6">
        <v>7444.36</v>
      </c>
      <c r="U50" s="3"/>
      <c r="V50" s="7">
        <f t="shared" si="5"/>
        <v>0</v>
      </c>
      <c r="W50" s="3"/>
      <c r="X50" s="6">
        <f t="shared" si="6"/>
        <v>3846.79</v>
      </c>
      <c r="Y50" s="3"/>
      <c r="Z50" s="7">
        <f t="shared" si="7"/>
        <v>0.51673884658990166</v>
      </c>
    </row>
    <row r="51" spans="1:26" s="68" customFormat="1" ht="15" customHeight="1" outlineLevel="1" collapsed="1" x14ac:dyDescent="0.3">
      <c r="A51" s="20"/>
      <c r="B51" s="11" t="str">
        <f>CONCATENATE("     ","Supplies                                          ")</f>
        <v xml:space="preserve">     Supplies                                          </v>
      </c>
      <c r="C51" s="11"/>
      <c r="D51" s="2">
        <f>SUM(OSRRefD22_10x_0)</f>
        <v>62.42</v>
      </c>
      <c r="E51" s="2"/>
      <c r="F51" s="5">
        <f t="shared" si="0"/>
        <v>0</v>
      </c>
      <c r="G51" s="2"/>
      <c r="H51" s="2">
        <f>SUM(OSRRefH22_10x_0)</f>
        <v>15.41</v>
      </c>
      <c r="I51" s="2"/>
      <c r="J51" s="5">
        <f t="shared" si="1"/>
        <v>0</v>
      </c>
      <c r="K51" s="2"/>
      <c r="L51" s="2">
        <f t="shared" si="2"/>
        <v>47.010000000000005</v>
      </c>
      <c r="M51" s="2"/>
      <c r="N51" s="5">
        <f t="shared" si="3"/>
        <v>3.0506164828033748</v>
      </c>
      <c r="O51" s="11"/>
      <c r="P51" s="2">
        <f>SUM(OSRRefP22_10x_0)</f>
        <v>4684.7299999999996</v>
      </c>
      <c r="Q51" s="2"/>
      <c r="R51" s="5">
        <f t="shared" si="4"/>
        <v>0</v>
      </c>
      <c r="S51" s="2"/>
      <c r="T51" s="2">
        <f>SUM(OSRRefT22_10x_0)</f>
        <v>2099.1</v>
      </c>
      <c r="U51" s="2"/>
      <c r="V51" s="5">
        <f t="shared" si="5"/>
        <v>0</v>
      </c>
      <c r="W51" s="2"/>
      <c r="X51" s="2">
        <f t="shared" si="6"/>
        <v>2585.6299999999997</v>
      </c>
      <c r="Y51" s="2"/>
      <c r="Z51" s="5">
        <f t="shared" si="7"/>
        <v>1.2317802867895764</v>
      </c>
    </row>
    <row r="52" spans="1:26" s="69" customFormat="1" ht="15" hidden="1" customHeight="1" outlineLevel="2" x14ac:dyDescent="0.3">
      <c r="A52" s="21"/>
      <c r="B52" s="9" t="str">
        <f>CONCATENATE("          ","6234"," - ","EXPENDABLE SUPPLIES &amp; EQUIPMEN")</f>
        <v xml:space="preserve">          6234 - EXPENDABLE SUPPLIES &amp; EQUIPMEN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2653.16</v>
      </c>
      <c r="Q52" s="3"/>
      <c r="R52" s="7">
        <f t="shared" si="4"/>
        <v>0</v>
      </c>
      <c r="S52" s="3"/>
      <c r="T52" s="6"/>
      <c r="U52" s="3"/>
      <c r="V52" s="7">
        <f t="shared" si="5"/>
        <v>0</v>
      </c>
      <c r="W52" s="3"/>
      <c r="X52" s="6">
        <f t="shared" si="6"/>
        <v>2653.16</v>
      </c>
      <c r="Y52" s="3"/>
      <c r="Z52" s="7">
        <f t="shared" si="7"/>
        <v>0</v>
      </c>
    </row>
    <row r="53" spans="1:26" s="69" customFormat="1" ht="15" hidden="1" customHeight="1" outlineLevel="2" x14ac:dyDescent="0.3">
      <c r="A53" s="21"/>
      <c r="B53" s="9" t="str">
        <f>CONCATENATE("          ","6235"," - ","COVID-19 EXPENSES")</f>
        <v xml:space="preserve">          6235 - COVID-19 EXPENSES</v>
      </c>
      <c r="C53" s="9"/>
      <c r="D53" s="6"/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0</v>
      </c>
      <c r="M53" s="3"/>
      <c r="N53" s="7">
        <f t="shared" si="3"/>
        <v>0</v>
      </c>
      <c r="O53" s="9"/>
      <c r="P53" s="6"/>
      <c r="Q53" s="3"/>
      <c r="R53" s="7">
        <f t="shared" si="4"/>
        <v>0</v>
      </c>
      <c r="S53" s="3"/>
      <c r="T53" s="6">
        <v>426.66</v>
      </c>
      <c r="U53" s="3"/>
      <c r="V53" s="7">
        <f t="shared" si="5"/>
        <v>0</v>
      </c>
      <c r="W53" s="3"/>
      <c r="X53" s="6">
        <f t="shared" si="6"/>
        <v>-426.66</v>
      </c>
      <c r="Y53" s="3"/>
      <c r="Z53" s="7">
        <f t="shared" si="7"/>
        <v>-1</v>
      </c>
    </row>
    <row r="54" spans="1:26" s="69" customFormat="1" ht="15" hidden="1" customHeight="1" outlineLevel="2" x14ac:dyDescent="0.3">
      <c r="A54" s="21"/>
      <c r="B54" s="9" t="str">
        <f>CONCATENATE("          ","6241"," - ","OFFICE EXPENSE")</f>
        <v xml:space="preserve">          6241 - OFFICE EXPENSE</v>
      </c>
      <c r="C54" s="9"/>
      <c r="D54" s="6">
        <v>62.42</v>
      </c>
      <c r="E54" s="3"/>
      <c r="F54" s="7">
        <f t="shared" si="0"/>
        <v>0</v>
      </c>
      <c r="G54" s="3"/>
      <c r="H54" s="6">
        <v>15.41</v>
      </c>
      <c r="I54" s="3"/>
      <c r="J54" s="7">
        <f t="shared" si="1"/>
        <v>0</v>
      </c>
      <c r="K54" s="3"/>
      <c r="L54" s="6">
        <f t="shared" si="2"/>
        <v>47.010000000000005</v>
      </c>
      <c r="M54" s="3"/>
      <c r="N54" s="7">
        <f t="shared" si="3"/>
        <v>3.0506164828033748</v>
      </c>
      <c r="O54" s="9"/>
      <c r="P54" s="6">
        <v>2031.57</v>
      </c>
      <c r="Q54" s="3"/>
      <c r="R54" s="7">
        <f t="shared" si="4"/>
        <v>0</v>
      </c>
      <c r="S54" s="3"/>
      <c r="T54" s="6">
        <v>1672.44</v>
      </c>
      <c r="U54" s="3"/>
      <c r="V54" s="7">
        <f t="shared" si="5"/>
        <v>0</v>
      </c>
      <c r="W54" s="3"/>
      <c r="X54" s="6">
        <f t="shared" si="6"/>
        <v>359.12999999999988</v>
      </c>
      <c r="Y54" s="3"/>
      <c r="Z54" s="7">
        <f t="shared" si="7"/>
        <v>0.21473416086675748</v>
      </c>
    </row>
    <row r="55" spans="1:26" s="68" customFormat="1" ht="15" customHeight="1" outlineLevel="1" collapsed="1" x14ac:dyDescent="0.3">
      <c r="A55" s="20"/>
      <c r="B55" s="11" t="str">
        <f>CONCATENATE("     ","Telephone/Data Lines                              ")</f>
        <v xml:space="preserve">     Telephone/Data Lines                              </v>
      </c>
      <c r="C55" s="11"/>
      <c r="D55" s="2">
        <f>SUM(OSRRefD22_11x_0)</f>
        <v>214.6</v>
      </c>
      <c r="E55" s="2"/>
      <c r="F55" s="5">
        <f t="shared" si="0"/>
        <v>0</v>
      </c>
      <c r="G55" s="2"/>
      <c r="H55" s="2">
        <f>SUM(OSRRefH22_11x_0)</f>
        <v>495.6</v>
      </c>
      <c r="I55" s="2"/>
      <c r="J55" s="5">
        <f t="shared" si="1"/>
        <v>0</v>
      </c>
      <c r="K55" s="2"/>
      <c r="L55" s="2">
        <f t="shared" si="2"/>
        <v>-281</v>
      </c>
      <c r="M55" s="2"/>
      <c r="N55" s="5">
        <f t="shared" si="3"/>
        <v>-0.56698950766747369</v>
      </c>
      <c r="O55" s="11"/>
      <c r="P55" s="2">
        <f>SUM(OSRRefP22_11x_0)</f>
        <v>4598.0200000000004</v>
      </c>
      <c r="Q55" s="2"/>
      <c r="R55" s="5">
        <f t="shared" si="4"/>
        <v>0</v>
      </c>
      <c r="S55" s="2"/>
      <c r="T55" s="2">
        <f>SUM(OSRRefT22_11x_0)</f>
        <v>6068.93</v>
      </c>
      <c r="U55" s="2"/>
      <c r="V55" s="5">
        <f t="shared" si="5"/>
        <v>0</v>
      </c>
      <c r="W55" s="2"/>
      <c r="X55" s="2">
        <f t="shared" si="6"/>
        <v>-1470.9099999999999</v>
      </c>
      <c r="Y55" s="2"/>
      <c r="Z55" s="5">
        <f t="shared" si="7"/>
        <v>-0.24236727067209538</v>
      </c>
    </row>
    <row r="56" spans="1:26" s="69" customFormat="1" ht="15" hidden="1" customHeight="1" outlineLevel="2" x14ac:dyDescent="0.3">
      <c r="A56" s="21"/>
      <c r="B56" s="9" t="str">
        <f>CONCATENATE("          ","6309"," - ","TELEPHONE")</f>
        <v xml:space="preserve">          6309 - TELEPHONE</v>
      </c>
      <c r="C56" s="9"/>
      <c r="D56" s="6">
        <v>214.6</v>
      </c>
      <c r="E56" s="3"/>
      <c r="F56" s="7">
        <f t="shared" si="0"/>
        <v>0</v>
      </c>
      <c r="G56" s="3"/>
      <c r="H56" s="6">
        <v>495.6</v>
      </c>
      <c r="I56" s="3"/>
      <c r="J56" s="7">
        <f t="shared" si="1"/>
        <v>0</v>
      </c>
      <c r="K56" s="3"/>
      <c r="L56" s="6">
        <f t="shared" si="2"/>
        <v>-281</v>
      </c>
      <c r="M56" s="3"/>
      <c r="N56" s="7">
        <f t="shared" si="3"/>
        <v>-0.56698950766747369</v>
      </c>
      <c r="O56" s="9"/>
      <c r="P56" s="6">
        <v>4598.0200000000004</v>
      </c>
      <c r="Q56" s="3"/>
      <c r="R56" s="7">
        <f t="shared" si="4"/>
        <v>0</v>
      </c>
      <c r="S56" s="3"/>
      <c r="T56" s="6">
        <v>6068.93</v>
      </c>
      <c r="U56" s="3"/>
      <c r="V56" s="7">
        <f t="shared" si="5"/>
        <v>0</v>
      </c>
      <c r="W56" s="3"/>
      <c r="X56" s="6">
        <f t="shared" si="6"/>
        <v>-1470.9099999999999</v>
      </c>
      <c r="Y56" s="3"/>
      <c r="Z56" s="7">
        <f t="shared" si="7"/>
        <v>-0.24236727067209538</v>
      </c>
    </row>
    <row r="57" spans="1:26" s="68" customFormat="1" ht="15" customHeight="1" outlineLevel="1" collapsed="1" x14ac:dyDescent="0.3">
      <c r="A57" s="20"/>
      <c r="B57" s="11" t="str">
        <f>CONCATENATE("     ","Training                                          ")</f>
        <v xml:space="preserve">     Training                                          </v>
      </c>
      <c r="C57" s="11"/>
      <c r="D57" s="2">
        <f>SUM(OSRRefD22_12x_0)</f>
        <v>0</v>
      </c>
      <c r="E57" s="2"/>
      <c r="F57" s="5">
        <f t="shared" si="0"/>
        <v>0</v>
      </c>
      <c r="G57" s="2"/>
      <c r="H57" s="2">
        <f>SUM(OSRRefH22_12x_0)</f>
        <v>0</v>
      </c>
      <c r="I57" s="2"/>
      <c r="J57" s="5">
        <f t="shared" si="1"/>
        <v>0</v>
      </c>
      <c r="K57" s="2"/>
      <c r="L57" s="2">
        <f t="shared" si="2"/>
        <v>0</v>
      </c>
      <c r="M57" s="2"/>
      <c r="N57" s="5">
        <f t="shared" si="3"/>
        <v>0</v>
      </c>
      <c r="O57" s="11"/>
      <c r="P57" s="2">
        <f>SUM(OSRRefP22_12x_0)</f>
        <v>595</v>
      </c>
      <c r="Q57" s="2"/>
      <c r="R57" s="5">
        <f t="shared" si="4"/>
        <v>0</v>
      </c>
      <c r="S57" s="2"/>
      <c r="T57" s="2">
        <f>SUM(OSRRefT22_12x_0)</f>
        <v>548</v>
      </c>
      <c r="U57" s="2"/>
      <c r="V57" s="5">
        <f t="shared" si="5"/>
        <v>0</v>
      </c>
      <c r="W57" s="2"/>
      <c r="X57" s="2">
        <f t="shared" si="6"/>
        <v>47</v>
      </c>
      <c r="Y57" s="2"/>
      <c r="Z57" s="5">
        <f t="shared" si="7"/>
        <v>8.576642335766424E-2</v>
      </c>
    </row>
    <row r="58" spans="1:26" s="69" customFormat="1" ht="15" hidden="1" customHeight="1" outlineLevel="2" x14ac:dyDescent="0.3">
      <c r="A58" s="21"/>
      <c r="B58" s="9" t="str">
        <f>CONCATENATE("          ","6376"," - ","TRAINING")</f>
        <v xml:space="preserve">          6376 - TRAINING</v>
      </c>
      <c r="C58" s="9"/>
      <c r="D58" s="6"/>
      <c r="E58" s="3"/>
      <c r="F58" s="7">
        <f t="shared" si="0"/>
        <v>0</v>
      </c>
      <c r="G58" s="3"/>
      <c r="H58" s="6"/>
      <c r="I58" s="3"/>
      <c r="J58" s="7">
        <f t="shared" si="1"/>
        <v>0</v>
      </c>
      <c r="K58" s="3"/>
      <c r="L58" s="6">
        <f t="shared" si="2"/>
        <v>0</v>
      </c>
      <c r="M58" s="3"/>
      <c r="N58" s="7">
        <f t="shared" si="3"/>
        <v>0</v>
      </c>
      <c r="O58" s="9"/>
      <c r="P58" s="6">
        <v>595</v>
      </c>
      <c r="Q58" s="3"/>
      <c r="R58" s="7">
        <f t="shared" si="4"/>
        <v>0</v>
      </c>
      <c r="S58" s="3"/>
      <c r="T58" s="6">
        <v>548</v>
      </c>
      <c r="U58" s="3"/>
      <c r="V58" s="7">
        <f t="shared" si="5"/>
        <v>0</v>
      </c>
      <c r="W58" s="3"/>
      <c r="X58" s="6">
        <f t="shared" si="6"/>
        <v>47</v>
      </c>
      <c r="Y58" s="3"/>
      <c r="Z58" s="7">
        <f t="shared" si="7"/>
        <v>8.576642335766424E-2</v>
      </c>
    </row>
    <row r="59" spans="1:26" s="68" customFormat="1" ht="15" customHeight="1" outlineLevel="1" collapsed="1" x14ac:dyDescent="0.3">
      <c r="A59" s="20"/>
      <c r="B59" s="11" t="str">
        <f>CONCATENATE("     ","Travel                                            ")</f>
        <v xml:space="preserve">     Travel                                            </v>
      </c>
      <c r="C59" s="11"/>
      <c r="D59" s="2">
        <f>SUM(OSRRefD22_13x_0)</f>
        <v>0</v>
      </c>
      <c r="E59" s="2"/>
      <c r="F59" s="5">
        <f t="shared" si="0"/>
        <v>0</v>
      </c>
      <c r="G59" s="2"/>
      <c r="H59" s="2">
        <f>SUM(OSRRefH22_13x_0)</f>
        <v>0</v>
      </c>
      <c r="I59" s="2"/>
      <c r="J59" s="5">
        <f t="shared" si="1"/>
        <v>0</v>
      </c>
      <c r="K59" s="2"/>
      <c r="L59" s="2">
        <f t="shared" si="2"/>
        <v>0</v>
      </c>
      <c r="M59" s="2"/>
      <c r="N59" s="5">
        <f t="shared" si="3"/>
        <v>0</v>
      </c>
      <c r="O59" s="11"/>
      <c r="P59" s="2">
        <f>SUM(OSRRefP22_13x_0)</f>
        <v>30.4</v>
      </c>
      <c r="Q59" s="2"/>
      <c r="R59" s="5">
        <f t="shared" si="4"/>
        <v>0</v>
      </c>
      <c r="S59" s="2"/>
      <c r="T59" s="2">
        <f>SUM(OSRRefT22_13x_0)</f>
        <v>88.72</v>
      </c>
      <c r="U59" s="2"/>
      <c r="V59" s="5">
        <f t="shared" si="5"/>
        <v>0</v>
      </c>
      <c r="W59" s="2"/>
      <c r="X59" s="2">
        <f t="shared" si="6"/>
        <v>-58.32</v>
      </c>
      <c r="Y59" s="2"/>
      <c r="Z59" s="5">
        <f t="shared" si="7"/>
        <v>-0.65734896302975654</v>
      </c>
    </row>
    <row r="60" spans="1:26" s="69" customFormat="1" ht="15" hidden="1" customHeight="1" outlineLevel="2" x14ac:dyDescent="0.3">
      <c r="A60" s="21"/>
      <c r="B60" s="9" t="str">
        <f>CONCATENATE("          ","6294"," - ","TRAVEL OPERATIONAL")</f>
        <v xml:space="preserve">          6294 - TRAVEL OPERATIONAL</v>
      </c>
      <c r="C60" s="9"/>
      <c r="D60" s="6"/>
      <c r="E60" s="3"/>
      <c r="F60" s="7">
        <f t="shared" si="0"/>
        <v>0</v>
      </c>
      <c r="G60" s="3"/>
      <c r="H60" s="6"/>
      <c r="I60" s="3"/>
      <c r="J60" s="7">
        <f t="shared" si="1"/>
        <v>0</v>
      </c>
      <c r="K60" s="3"/>
      <c r="L60" s="6">
        <f t="shared" si="2"/>
        <v>0</v>
      </c>
      <c r="M60" s="3"/>
      <c r="N60" s="7">
        <f t="shared" si="3"/>
        <v>0</v>
      </c>
      <c r="O60" s="9"/>
      <c r="P60" s="6">
        <v>30.4</v>
      </c>
      <c r="Q60" s="3"/>
      <c r="R60" s="7">
        <f t="shared" si="4"/>
        <v>0</v>
      </c>
      <c r="S60" s="3"/>
      <c r="T60" s="6">
        <v>88.72</v>
      </c>
      <c r="U60" s="3"/>
      <c r="V60" s="7">
        <f t="shared" si="5"/>
        <v>0</v>
      </c>
      <c r="W60" s="3"/>
      <c r="X60" s="6">
        <f t="shared" si="6"/>
        <v>-58.32</v>
      </c>
      <c r="Y60" s="3"/>
      <c r="Z60" s="7">
        <f t="shared" si="7"/>
        <v>-0.65734896302975654</v>
      </c>
    </row>
    <row r="61" spans="1:26" s="64" customFormat="1" ht="15" customHeight="1" x14ac:dyDescent="0.3">
      <c r="A61" s="37"/>
      <c r="B61" s="37"/>
      <c r="C61" s="37"/>
      <c r="D61" s="2"/>
      <c r="E61" s="2"/>
      <c r="F61" s="5"/>
      <c r="G61" s="2"/>
      <c r="H61" s="2"/>
      <c r="I61" s="2"/>
      <c r="J61" s="5"/>
      <c r="K61" s="2"/>
      <c r="L61" s="2"/>
      <c r="M61" s="2"/>
      <c r="N61" s="5"/>
      <c r="O61" s="37"/>
      <c r="P61" s="2"/>
      <c r="Q61" s="2"/>
      <c r="R61" s="5"/>
      <c r="S61" s="2"/>
      <c r="T61" s="2"/>
      <c r="U61" s="2"/>
      <c r="V61" s="5"/>
      <c r="W61" s="2"/>
      <c r="X61" s="2"/>
      <c r="Y61" s="2"/>
      <c r="Z61" s="5"/>
    </row>
    <row r="62" spans="1:26" s="62" customFormat="1" ht="15" customHeight="1" x14ac:dyDescent="0.3">
      <c r="A62" s="13"/>
      <c r="B62" s="27" t="s">
        <v>290</v>
      </c>
      <c r="C62" s="13"/>
      <c r="D62" s="8">
        <f>SUM(0)</f>
        <v>0</v>
      </c>
      <c r="E62" s="8"/>
      <c r="F62" s="14">
        <f>IF(D$12=0,0,D62/D$12)</f>
        <v>0</v>
      </c>
      <c r="G62" s="8"/>
      <c r="H62" s="8">
        <f>SUM(0)</f>
        <v>0</v>
      </c>
      <c r="I62" s="8"/>
      <c r="J62" s="14">
        <f>IF(H$12=0,0,H62/H$12)</f>
        <v>0</v>
      </c>
      <c r="K62" s="8"/>
      <c r="L62" s="8">
        <f>+D62-H62</f>
        <v>0</v>
      </c>
      <c r="M62" s="8"/>
      <c r="N62" s="14">
        <f>IF(H62=0,0,L62/H62)</f>
        <v>0</v>
      </c>
      <c r="O62" s="13"/>
      <c r="P62" s="8">
        <f>SUM(0)</f>
        <v>0</v>
      </c>
      <c r="Q62" s="8"/>
      <c r="R62" s="14">
        <f>IF(P$12=0,0,P62/P$12)</f>
        <v>0</v>
      </c>
      <c r="S62" s="8"/>
      <c r="T62" s="8">
        <f>SUM(0)</f>
        <v>0</v>
      </c>
      <c r="U62" s="8"/>
      <c r="V62" s="14">
        <f>IF(T$12=0,0,T62/T$12)</f>
        <v>0</v>
      </c>
      <c r="W62" s="8"/>
      <c r="X62" s="8">
        <f>+P62-T62</f>
        <v>0</v>
      </c>
      <c r="Y62" s="8"/>
      <c r="Z62" s="14">
        <f>IF(T62=0,0,X62/T62)</f>
        <v>0</v>
      </c>
    </row>
    <row r="63" spans="1:26" ht="15" customHeight="1" x14ac:dyDescent="0.3">
      <c r="A63" s="12"/>
      <c r="B63" s="13"/>
      <c r="C63" s="13"/>
      <c r="D63" s="4"/>
      <c r="E63" s="4"/>
      <c r="F63" s="10"/>
      <c r="G63" s="4"/>
      <c r="H63" s="4"/>
      <c r="I63" s="4"/>
      <c r="J63" s="10"/>
      <c r="K63" s="4"/>
      <c r="L63" s="4"/>
      <c r="M63" s="4"/>
      <c r="N63" s="10"/>
      <c r="O63" s="13"/>
      <c r="P63" s="4"/>
      <c r="Q63" s="4"/>
      <c r="R63" s="10"/>
      <c r="S63" s="4"/>
      <c r="T63" s="4"/>
      <c r="U63" s="4"/>
      <c r="V63" s="10"/>
      <c r="W63" s="4"/>
      <c r="X63" s="4"/>
      <c r="Y63" s="4"/>
      <c r="Z63" s="10"/>
    </row>
    <row r="64" spans="1:26" s="62" customFormat="1" ht="15" customHeight="1" x14ac:dyDescent="0.3">
      <c r="A64" s="13"/>
      <c r="B64" s="28" t="s">
        <v>291</v>
      </c>
      <c r="C64" s="28"/>
      <c r="D64" s="22">
        <f>+D16-D18+D62</f>
        <v>-41416.729999999996</v>
      </c>
      <c r="E64" s="15"/>
      <c r="F64" s="24">
        <f>IF(D$12=0,0,D64/D$12)</f>
        <v>0</v>
      </c>
      <c r="G64" s="15"/>
      <c r="H64" s="22">
        <f>+H16-H18+H62</f>
        <v>-37925.810000000005</v>
      </c>
      <c r="I64" s="15"/>
      <c r="J64" s="24">
        <f>IF(H$12=0,0,H64/H$12)</f>
        <v>0</v>
      </c>
      <c r="K64" s="17"/>
      <c r="L64" s="22">
        <f>+D64-H64</f>
        <v>-3490.919999999991</v>
      </c>
      <c r="M64" s="17"/>
      <c r="N64" s="24">
        <f>IF(H64=0,0,L64/H64)</f>
        <v>9.2046023539114674E-2</v>
      </c>
      <c r="O64" s="27"/>
      <c r="P64" s="22">
        <f>+P16-P18+P62</f>
        <v>-525809.81000000017</v>
      </c>
      <c r="Q64" s="15"/>
      <c r="R64" s="24">
        <f>IF(P$12=0,0,P64/P$12)</f>
        <v>0</v>
      </c>
      <c r="S64" s="15"/>
      <c r="T64" s="22">
        <f>+T16-T18+T62</f>
        <v>-491918.74999999994</v>
      </c>
      <c r="U64" s="15"/>
      <c r="V64" s="24">
        <f>IF(T$12=0,0,T64/T$12)</f>
        <v>0</v>
      </c>
      <c r="W64" s="17"/>
      <c r="X64" s="22">
        <f>+P64-T64</f>
        <v>-33891.060000000231</v>
      </c>
      <c r="Y64" s="17"/>
      <c r="Z64" s="24">
        <f>IF(T64=0,0,X64/T64)</f>
        <v>6.8895645876479061E-2</v>
      </c>
    </row>
    <row r="65" spans="1:26" ht="15" customHeight="1" x14ac:dyDescent="0.3">
      <c r="A65" s="12"/>
      <c r="B65" s="13"/>
      <c r="C65" s="12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s="62" customFormat="1" ht="15" customHeight="1" x14ac:dyDescent="0.3">
      <c r="A66" s="48"/>
      <c r="B66" s="13" t="s">
        <v>292</v>
      </c>
      <c r="C66" s="13"/>
      <c r="D66" s="8"/>
      <c r="E66" s="8"/>
      <c r="F66" s="14">
        <f>IF(D$12=0,0,D66/D$12)</f>
        <v>0</v>
      </c>
      <c r="G66" s="8"/>
      <c r="H66" s="8"/>
      <c r="I66" s="8"/>
      <c r="J66" s="14">
        <f>IF(H$12=0,0,H66/H$12)</f>
        <v>0</v>
      </c>
      <c r="K66" s="8"/>
      <c r="L66" s="8">
        <f>+D66-H66</f>
        <v>0</v>
      </c>
      <c r="M66" s="8"/>
      <c r="N66" s="14">
        <f>IF(H66=0,0,L66/H66)</f>
        <v>0</v>
      </c>
      <c r="O66" s="13"/>
      <c r="P66" s="8"/>
      <c r="Q66" s="8"/>
      <c r="R66" s="14">
        <f>IF(P$12=0,0,P66/P$12)</f>
        <v>0</v>
      </c>
      <c r="S66" s="8"/>
      <c r="T66" s="8"/>
      <c r="U66" s="8"/>
      <c r="V66" s="14">
        <f>IF(T$12=0,0,T66/T$12)</f>
        <v>0</v>
      </c>
      <c r="W66" s="8"/>
      <c r="X66" s="8">
        <f>+P66-T66</f>
        <v>0</v>
      </c>
      <c r="Y66" s="8"/>
      <c r="Z66" s="14">
        <f>IF(T66=0,0,X66/T66)</f>
        <v>0</v>
      </c>
    </row>
    <row r="67" spans="1:26" ht="15" customHeight="1" x14ac:dyDescent="0.3">
      <c r="A67" s="12"/>
      <c r="B67" s="13"/>
      <c r="C67" s="13"/>
      <c r="D67" s="4"/>
      <c r="E67" s="4"/>
      <c r="F67" s="10"/>
      <c r="G67" s="4"/>
      <c r="H67" s="4"/>
      <c r="I67" s="4"/>
      <c r="J67" s="10"/>
      <c r="K67" s="4"/>
      <c r="L67" s="4"/>
      <c r="M67" s="4"/>
      <c r="N67" s="10"/>
      <c r="O67" s="13"/>
      <c r="P67" s="4"/>
      <c r="Q67" s="4"/>
      <c r="R67" s="10"/>
      <c r="S67" s="4"/>
      <c r="T67" s="4"/>
      <c r="U67" s="4"/>
      <c r="V67" s="10"/>
      <c r="W67" s="4"/>
      <c r="X67" s="4"/>
      <c r="Y67" s="4"/>
      <c r="Z67" s="10"/>
    </row>
    <row r="68" spans="1:26" s="62" customFormat="1" ht="15" customHeight="1" x14ac:dyDescent="0.3">
      <c r="A68" s="13"/>
      <c r="B68" s="28" t="s">
        <v>293</v>
      </c>
      <c r="C68" s="28"/>
      <c r="D68" s="29">
        <f>+D64-D66</f>
        <v>-41416.729999999996</v>
      </c>
      <c r="E68" s="15"/>
      <c r="F68" s="31">
        <f>IF(D$12=0,0,D68/D$12)</f>
        <v>0</v>
      </c>
      <c r="G68" s="15"/>
      <c r="H68" s="29">
        <f>+H64-H66</f>
        <v>-37925.810000000005</v>
      </c>
      <c r="I68" s="15"/>
      <c r="J68" s="31">
        <f>IF(H$12=0,0,H68/H$12)</f>
        <v>0</v>
      </c>
      <c r="K68" s="17"/>
      <c r="L68" s="29">
        <f>D68-H68</f>
        <v>-3490.919999999991</v>
      </c>
      <c r="M68" s="17"/>
      <c r="N68" s="31">
        <f>IF(H68=0,0,L68/H68)</f>
        <v>9.2046023539114674E-2</v>
      </c>
      <c r="O68" s="27"/>
      <c r="P68" s="29">
        <f>+P64-P66</f>
        <v>-525809.81000000017</v>
      </c>
      <c r="Q68" s="15"/>
      <c r="R68" s="31">
        <f>IF(P$12=0,0,P68/P$12)</f>
        <v>0</v>
      </c>
      <c r="S68" s="15"/>
      <c r="T68" s="29">
        <f>+T64-T66</f>
        <v>-491918.74999999994</v>
      </c>
      <c r="U68" s="15"/>
      <c r="V68" s="31">
        <f>IF(T$12=0,0,T68/T$12)</f>
        <v>0</v>
      </c>
      <c r="W68" s="17"/>
      <c r="X68" s="29">
        <f>P68-T68</f>
        <v>-33891.060000000231</v>
      </c>
      <c r="Y68" s="17"/>
      <c r="Z68" s="31">
        <f>IF(T68=0,0,X68/T68)</f>
        <v>6.8895645876479061E-2</v>
      </c>
    </row>
    <row r="69" spans="1:26" ht="15" customHeight="1" x14ac:dyDescent="0.3">
      <c r="A69" s="12"/>
      <c r="B69" s="12"/>
      <c r="C69" s="12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ht="15" customHeight="1" x14ac:dyDescent="0.3">
      <c r="A70" s="12"/>
      <c r="B70" s="12"/>
      <c r="C70" s="12"/>
      <c r="D70" s="4"/>
      <c r="E70" s="4"/>
      <c r="F70" s="10"/>
      <c r="G70" s="4"/>
      <c r="H70" s="4"/>
      <c r="I70" s="4"/>
      <c r="J70" s="10"/>
      <c r="K70" s="4"/>
      <c r="L70" s="4"/>
      <c r="M70" s="4"/>
      <c r="N70" s="10"/>
      <c r="P70" s="4"/>
      <c r="Q70" s="4"/>
      <c r="R70" s="10"/>
      <c r="S70" s="4"/>
      <c r="T70" s="4"/>
      <c r="U70" s="4"/>
      <c r="V70" s="10"/>
      <c r="W70" s="4"/>
      <c r="X70" s="4"/>
      <c r="Y70" s="4"/>
      <c r="Z70" s="10"/>
    </row>
    <row r="71" spans="1:26" s="62" customFormat="1" ht="15" customHeight="1" x14ac:dyDescent="0.3">
      <c r="A71" s="13"/>
      <c r="B71" s="28" t="s">
        <v>296</v>
      </c>
      <c r="C71" s="28"/>
      <c r="D71" s="30">
        <f>SUM(D68:D70)</f>
        <v>-41416.729999999996</v>
      </c>
      <c r="E71" s="15"/>
      <c r="F71" s="35">
        <f>IF(D$12=0,0,D71/D$12)</f>
        <v>0</v>
      </c>
      <c r="G71" s="15"/>
      <c r="H71" s="30">
        <f>SUM(H68:H70)</f>
        <v>-37925.810000000005</v>
      </c>
      <c r="I71" s="15"/>
      <c r="J71" s="35">
        <f>IF(H$12=0,0,H71/H$12)</f>
        <v>0</v>
      </c>
      <c r="K71" s="17"/>
      <c r="L71" s="30">
        <f>+D71-H71</f>
        <v>-3490.919999999991</v>
      </c>
      <c r="M71" s="17"/>
      <c r="N71" s="35">
        <f>IF(H71=0,0,L71/H71)</f>
        <v>9.2046023539114674E-2</v>
      </c>
      <c r="O71" s="27"/>
      <c r="P71" s="30">
        <f>SUM(P68:P70)</f>
        <v>-525809.81000000017</v>
      </c>
      <c r="Q71" s="15"/>
      <c r="R71" s="35">
        <f>IF(P$12=0,0,P71/P$12)</f>
        <v>0</v>
      </c>
      <c r="S71" s="15"/>
      <c r="T71" s="30">
        <f>SUM(T68:T70)</f>
        <v>-491918.74999999994</v>
      </c>
      <c r="U71" s="15"/>
      <c r="V71" s="35">
        <f>IF(T$12=0,0,T71/T$12)</f>
        <v>0</v>
      </c>
      <c r="W71" s="17"/>
      <c r="X71" s="30">
        <f>+P71-T71</f>
        <v>-33891.060000000231</v>
      </c>
      <c r="Y71" s="17"/>
      <c r="Z71" s="35">
        <f>IF(T71=0,0,X71/T71)</f>
        <v>6.8895645876479061E-2</v>
      </c>
    </row>
    <row r="72" spans="1:26" ht="15" customHeight="1" x14ac:dyDescent="0.3">
      <c r="A72" s="12"/>
      <c r="C72" s="12"/>
      <c r="D72" s="19"/>
      <c r="E72" s="19"/>
      <c r="G72" s="19"/>
      <c r="H72" s="19"/>
      <c r="I72" s="19"/>
      <c r="J72" s="41"/>
      <c r="K72" s="19"/>
      <c r="L72" s="19"/>
      <c r="M72" s="19"/>
      <c r="P72" s="19"/>
      <c r="Q72" s="19"/>
      <c r="R72" s="41"/>
      <c r="S72" s="19"/>
      <c r="T72" s="19"/>
      <c r="U72" s="19"/>
      <c r="V72" s="41"/>
      <c r="W72" s="19"/>
      <c r="X72" s="19"/>
    </row>
    <row r="73" spans="1:26" ht="15" customHeight="1" x14ac:dyDescent="0.3">
      <c r="A73" s="12"/>
      <c r="B73" s="54">
        <v>44767.815885219905</v>
      </c>
      <c r="D73" s="19"/>
      <c r="E73" s="19"/>
      <c r="G73" s="19"/>
      <c r="H73" s="19"/>
      <c r="I73" s="19"/>
      <c r="J73" s="41"/>
      <c r="K73" s="19"/>
      <c r="L73" s="19"/>
      <c r="M73" s="19"/>
      <c r="P73" s="19"/>
      <c r="Q73" s="19"/>
      <c r="R73" s="41"/>
      <c r="S73" s="19"/>
      <c r="T73" s="19"/>
      <c r="U73" s="19"/>
      <c r="V73" s="41"/>
      <c r="W73" s="19"/>
      <c r="X73" s="19"/>
    </row>
    <row r="74" spans="1:26" ht="15" customHeight="1" x14ac:dyDescent="0.3">
      <c r="A74" s="12"/>
      <c r="B74" s="53" t="s">
        <v>297</v>
      </c>
      <c r="D74" s="19"/>
      <c r="E74" s="19"/>
      <c r="G74" s="19"/>
      <c r="H74" s="19"/>
      <c r="I74" s="19"/>
      <c r="J74" s="41"/>
      <c r="K74" s="19"/>
      <c r="L74" s="19"/>
      <c r="M74" s="19"/>
      <c r="P74" s="19"/>
      <c r="Q74" s="19"/>
      <c r="R74" s="41"/>
      <c r="S74" s="19"/>
      <c r="T74" s="19"/>
      <c r="U74" s="19"/>
      <c r="V74" s="41"/>
      <c r="W74" s="19"/>
      <c r="X74" s="19"/>
    </row>
    <row r="75" spans="1:26" ht="15" customHeight="1" x14ac:dyDescent="0.3">
      <c r="A75" s="12"/>
      <c r="B75" s="51"/>
      <c r="D75" s="19"/>
      <c r="E75" s="19"/>
      <c r="G75" s="19"/>
      <c r="H75" s="19"/>
      <c r="I75" s="19"/>
      <c r="J75" s="41"/>
      <c r="K75" s="19"/>
      <c r="L75" s="19"/>
      <c r="M75" s="19"/>
      <c r="P75" s="19"/>
      <c r="Q75" s="19"/>
      <c r="R75" s="41"/>
      <c r="S75" s="19"/>
      <c r="T75" s="19"/>
      <c r="U75" s="19"/>
      <c r="V75" s="41"/>
      <c r="W75" s="19"/>
      <c r="X75" s="19"/>
    </row>
    <row r="76" spans="1:26" ht="15" customHeight="1" x14ac:dyDescent="0.3"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3856</vt:i4>
      </vt:variant>
    </vt:vector>
  </HeadingPairs>
  <TitlesOfParts>
    <vt:vector size="3918" baseType="lpstr">
      <vt:lpstr>Interface</vt:lpstr>
      <vt:lpstr>DataSetting</vt:lpstr>
      <vt:lpstr>Summary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313</vt:lpstr>
      <vt:lpstr>309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'412'!OSRRefD16x_0</vt:lpstr>
      <vt:lpstr>'414'!OSRRefD16x_0</vt:lpstr>
      <vt:lpstr>'415'!OSRRefD16x_0</vt:lpstr>
      <vt:lpstr>'418'!OSRRefD16x_0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'317'!OSRRefD22_12x_0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'321'!OSRRefD22_13x_0</vt:lpstr>
      <vt:lpstr>'325'!OSRRefD22_13x_0</vt:lpstr>
      <vt:lpstr>'326'!OSRRefD22_13x_0</vt:lpstr>
      <vt:lpstr>'331'!OSRRefD22_13x_0</vt:lpstr>
      <vt:lpstr>'332'!OSRRefD22_13x_0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'316'!OSRRefD22_14x_0</vt:lpstr>
      <vt:lpstr>'325'!OSRRefD22_14x_0</vt:lpstr>
      <vt:lpstr>'326'!OSRRefD22_14x_0</vt:lpstr>
      <vt:lpstr>'331'!OSRRefD22_14x_0</vt:lpstr>
      <vt:lpstr>'332'!OSRRefD22_14x_0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'333'!OSRRefD22_17x_0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'333'!OSRRefD22_18x_0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'333'!OSRRefD22_22x_0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'412'!OSRRefD22_6x_0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'412'!OSRRefH16x_0</vt:lpstr>
      <vt:lpstr>'414'!OSRRefH16x_0</vt:lpstr>
      <vt:lpstr>'415'!OSRRefH16x_0</vt:lpstr>
      <vt:lpstr>'418'!OSRRefH16x_0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'317'!OSRRefH22_12x_0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'321'!OSRRefH22_13x_0</vt:lpstr>
      <vt:lpstr>'325'!OSRRefH22_13x_0</vt:lpstr>
      <vt:lpstr>'326'!OSRRefH22_13x_0</vt:lpstr>
      <vt:lpstr>'331'!OSRRefH22_13x_0</vt:lpstr>
      <vt:lpstr>'332'!OSRRefH22_13x_0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'316'!OSRRefH22_14x_0</vt:lpstr>
      <vt:lpstr>'325'!OSRRefH22_14x_0</vt:lpstr>
      <vt:lpstr>'326'!OSRRefH22_14x_0</vt:lpstr>
      <vt:lpstr>'331'!OSRRefH22_14x_0</vt:lpstr>
      <vt:lpstr>'332'!OSRRefH22_14x_0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'333'!OSRRefH22_17x_0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'333'!OSRRefH22_18x_0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'333'!OSRRefH22_22x_0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'412'!OSRRefH22_6x_0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'412'!OSRRefP16x_0</vt:lpstr>
      <vt:lpstr>'414'!OSRRefP16x_0</vt:lpstr>
      <vt:lpstr>'415'!OSRRefP16x_0</vt:lpstr>
      <vt:lpstr>'418'!OSRRefP16x_0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'317'!OSRRefP22_12x_0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'321'!OSRRefP22_13x_0</vt:lpstr>
      <vt:lpstr>'325'!OSRRefP22_13x_0</vt:lpstr>
      <vt:lpstr>'326'!OSRRefP22_13x_0</vt:lpstr>
      <vt:lpstr>'331'!OSRRefP22_13x_0</vt:lpstr>
      <vt:lpstr>'332'!OSRRefP22_13x_0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'316'!OSRRefP22_14x_0</vt:lpstr>
      <vt:lpstr>'325'!OSRRefP22_14x_0</vt:lpstr>
      <vt:lpstr>'326'!OSRRefP22_14x_0</vt:lpstr>
      <vt:lpstr>'331'!OSRRefP22_14x_0</vt:lpstr>
      <vt:lpstr>'332'!OSRRefP22_14x_0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'333'!OSRRefP22_17x_0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'333'!OSRRefP22_18x_0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'333'!OSRRefP22_22x_0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'412'!OSRRefP22_6x_0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'412'!OSRRefT16x_0</vt:lpstr>
      <vt:lpstr>'414'!OSRRefT16x_0</vt:lpstr>
      <vt:lpstr>'415'!OSRRefT16x_0</vt:lpstr>
      <vt:lpstr>'418'!OSRRefT16x_0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'317'!OSRRefT22_12x_0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'321'!OSRRefT22_13x_0</vt:lpstr>
      <vt:lpstr>'325'!OSRRefT22_13x_0</vt:lpstr>
      <vt:lpstr>'326'!OSRRefT22_13x_0</vt:lpstr>
      <vt:lpstr>'331'!OSRRefT22_13x_0</vt:lpstr>
      <vt:lpstr>'332'!OSRRefT22_13x_0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'316'!OSRRefT22_14x_0</vt:lpstr>
      <vt:lpstr>'325'!OSRRefT22_14x_0</vt:lpstr>
      <vt:lpstr>'326'!OSRRefT22_14x_0</vt:lpstr>
      <vt:lpstr>'331'!OSRRefT22_14x_0</vt:lpstr>
      <vt:lpstr>'332'!OSRRefT22_14x_0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'333'!OSRRefT22_17x_0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'333'!OSRRefT22_18x_0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'333'!OSRRefT22_22x_0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'412'!OSRRefT22_6x_0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2022-07-25T19:37:30Z</dcterms:created>
  <dcterms:modified xsi:type="dcterms:W3CDTF">2022-07-25T19:42:41Z</dcterms:modified>
</cp:coreProperties>
</file>